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familia\OneDrive - Secretaria Distrital De La Mujer\SDM_2024\8198\Plan_Acción_2024\Seguimientos PA\"/>
    </mc:Choice>
  </mc:AlternateContent>
  <xr:revisionPtr revIDLastSave="0" documentId="8_{D090F3FD-5BA1-40D5-8EEF-D4A8E2CB4DD7}" xr6:coauthVersionLast="47" xr6:coauthVersionMax="47" xr10:uidLastSave="{00000000-0000-0000-0000-000000000000}"/>
  <bookViews>
    <workbookView xWindow="-120" yWindow="-120" windowWidth="29040" windowHeight="15840" activeTab="8" xr2:uid="{00000000-000D-0000-FFFF-FFFF00000000}"/>
  </bookViews>
  <sheets>
    <sheet name="Instructivo" sheetId="44" r:id="rId1"/>
    <sheet name="Meta.1" sheetId="45" r:id="rId2"/>
    <sheet name="Meta.3" sheetId="40" r:id="rId3"/>
    <sheet name="Meta.4" sheetId="46" r:id="rId4"/>
    <sheet name="Meta.5" sheetId="47" r:id="rId5"/>
    <sheet name="Indicadores PA" sheetId="36" r:id="rId6"/>
    <sheet name="Hoja1" sheetId="42" state="hidden" r:id="rId7"/>
    <sheet name="Territorialización PA" sheetId="37" r:id="rId8"/>
    <sheet name="Control de Cambios" sheetId="41" r:id="rId9"/>
    <sheet name="Proyecto" sheetId="48" r:id="rId10"/>
    <sheet name="8198.SCPI" sheetId="51" r:id="rId11"/>
    <sheet name="listas" sheetId="43" state="hidden" r:id="rId12"/>
  </sheets>
  <definedNames>
    <definedName name="_xlnm._FilterDatabase" localSheetId="10" hidden="1">'8198.SCPI'!$A$1:$BS$37</definedName>
    <definedName name="_xlnm._FilterDatabase" localSheetId="5" hidden="1">'Indicadores PA'!$A$12:$AV$12</definedName>
    <definedName name="_xlnm.Print_Area" localSheetId="5">'Indicadores PA'!$A$1:$AV$23</definedName>
    <definedName name="_xlnm.Print_Area" localSheetId="1">Meta.1!$A$1:$AE$48</definedName>
    <definedName name="_xlnm.Print_Area" localSheetId="2">Meta.3!$A$1:$AE$52</definedName>
    <definedName name="_xlnm.Print_Area" localSheetId="3">Meta.4!$A$1:$AE$46</definedName>
    <definedName name="_xlnm.Print_Area" localSheetId="4">Meta.5!$A$1:$AE$48</definedName>
    <definedName name="_xlnm.Print_Area" localSheetId="7">'Territorialización PA'!$A$1:$BK$86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3" i="36" l="1"/>
  <c r="BK86" i="37"/>
  <c r="BJ86" i="37"/>
  <c r="BI86" i="37"/>
  <c r="BH86" i="37"/>
  <c r="BG86" i="37"/>
  <c r="BF86" i="37"/>
  <c r="BE86" i="37"/>
  <c r="BD86" i="37"/>
  <c r="BC86" i="37"/>
  <c r="BB86" i="37"/>
  <c r="BA86" i="37"/>
  <c r="AZ86" i="37"/>
  <c r="AW86" i="37"/>
  <c r="AQ86" i="37"/>
  <c r="AP86" i="37"/>
  <c r="AO86" i="37"/>
  <c r="AN86" i="37"/>
  <c r="AM86" i="37"/>
  <c r="AL86" i="37"/>
  <c r="AK86" i="37"/>
  <c r="AJ86" i="37"/>
  <c r="AI86" i="37"/>
  <c r="AH86" i="37"/>
  <c r="AE86" i="37"/>
  <c r="AD86" i="37"/>
  <c r="AC86" i="37"/>
  <c r="AB86" i="37"/>
  <c r="AA86" i="37"/>
  <c r="Z86" i="37"/>
  <c r="Y86" i="37"/>
  <c r="X86" i="37"/>
  <c r="W86" i="37"/>
  <c r="V86" i="37"/>
  <c r="U86" i="37"/>
  <c r="T86" i="37"/>
  <c r="Q86" i="37"/>
  <c r="P86" i="37"/>
  <c r="N86" i="37"/>
  <c r="I86" i="37"/>
  <c r="H86" i="37"/>
  <c r="G86" i="37"/>
  <c r="F86" i="37"/>
  <c r="E86" i="37"/>
  <c r="D86" i="37"/>
  <c r="C86" i="37"/>
  <c r="B86" i="37"/>
  <c r="AY85" i="37"/>
  <c r="AX85" i="37"/>
  <c r="S85" i="37"/>
  <c r="R85" i="37"/>
  <c r="AY84" i="37"/>
  <c r="AX84" i="37"/>
  <c r="S84" i="37"/>
  <c r="R84" i="37"/>
  <c r="AY83" i="37"/>
  <c r="AX83" i="37"/>
  <c r="S83" i="37"/>
  <c r="R83" i="37"/>
  <c r="AY82" i="37"/>
  <c r="AX82" i="37"/>
  <c r="S82" i="37"/>
  <c r="R82" i="37"/>
  <c r="AY81" i="37"/>
  <c r="AX81" i="37"/>
  <c r="S81" i="37"/>
  <c r="R81" i="37"/>
  <c r="AY80" i="37"/>
  <c r="AX80" i="37"/>
  <c r="S80" i="37"/>
  <c r="R80" i="37"/>
  <c r="AY79" i="37"/>
  <c r="AX79" i="37"/>
  <c r="S79" i="37"/>
  <c r="R79" i="37"/>
  <c r="AY78" i="37"/>
  <c r="AX78" i="37"/>
  <c r="S78" i="37"/>
  <c r="R78" i="37"/>
  <c r="AY77" i="37"/>
  <c r="AX77" i="37"/>
  <c r="S77" i="37"/>
  <c r="R77" i="37"/>
  <c r="AY76" i="37"/>
  <c r="AX76" i="37"/>
  <c r="S76" i="37"/>
  <c r="R76" i="37"/>
  <c r="AY75" i="37"/>
  <c r="AX75" i="37"/>
  <c r="S75" i="37"/>
  <c r="R75" i="37"/>
  <c r="AY74" i="37"/>
  <c r="AX74" i="37"/>
  <c r="S74" i="37"/>
  <c r="R74" i="37"/>
  <c r="AY73" i="37"/>
  <c r="AX73" i="37"/>
  <c r="S73" i="37"/>
  <c r="R73" i="37"/>
  <c r="AY72" i="37"/>
  <c r="AX72" i="37"/>
  <c r="S72" i="37"/>
  <c r="R72" i="37"/>
  <c r="AY71" i="37"/>
  <c r="AX71" i="37"/>
  <c r="S71" i="37"/>
  <c r="R71" i="37"/>
  <c r="AY70" i="37"/>
  <c r="AX70" i="37"/>
  <c r="S70" i="37"/>
  <c r="R70" i="37"/>
  <c r="AY69" i="37"/>
  <c r="AX69" i="37"/>
  <c r="S69" i="37"/>
  <c r="R69" i="37"/>
  <c r="AY68" i="37"/>
  <c r="AX68" i="37"/>
  <c r="S68" i="37"/>
  <c r="R68" i="37"/>
  <c r="AY67" i="37"/>
  <c r="AY86" i="37" s="1"/>
  <c r="AX67" i="37"/>
  <c r="S67" i="37"/>
  <c r="R67" i="37"/>
  <c r="AY66" i="37"/>
  <c r="AX66" i="37"/>
  <c r="S66" i="37"/>
  <c r="R66" i="37"/>
  <c r="AV86" i="37"/>
  <c r="AU86" i="37"/>
  <c r="AT86" i="37"/>
  <c r="AS86" i="37"/>
  <c r="AR86" i="37"/>
  <c r="M86" i="37"/>
  <c r="L86" i="37"/>
  <c r="K86" i="37"/>
  <c r="J86" i="37"/>
  <c r="AU39" i="37"/>
  <c r="AV39" i="37"/>
  <c r="AT39" i="37"/>
  <c r="AQ39" i="37"/>
  <c r="AR39" i="37"/>
  <c r="AP39" i="37"/>
  <c r="O39" i="37"/>
  <c r="P39" i="37"/>
  <c r="N39" i="37"/>
  <c r="K39" i="37"/>
  <c r="L39" i="37"/>
  <c r="J39" i="37"/>
  <c r="AU11" i="37"/>
  <c r="AV11" i="37"/>
  <c r="AT11" i="37"/>
  <c r="AQ11" i="37"/>
  <c r="AR11" i="37"/>
  <c r="AP11" i="37"/>
  <c r="O11" i="37"/>
  <c r="P11" i="37"/>
  <c r="N11" i="37"/>
  <c r="K11" i="37"/>
  <c r="L11" i="37"/>
  <c r="J11" i="37"/>
  <c r="K97" i="37"/>
  <c r="K96" i="37"/>
  <c r="AS39" i="37"/>
  <c r="AS11" i="37"/>
  <c r="M11" i="37"/>
  <c r="AC25" i="40"/>
  <c r="AX86" i="37" l="1"/>
  <c r="K98" i="37"/>
  <c r="R86" i="37"/>
  <c r="AS89" i="37"/>
  <c r="O86" i="37"/>
  <c r="S86" i="37"/>
  <c r="AX39" i="37"/>
  <c r="R11" i="37"/>
  <c r="AH35" i="47"/>
  <c r="AH35" i="46"/>
  <c r="AH35" i="40"/>
  <c r="AK36" i="45"/>
  <c r="AY15" i="36"/>
  <c r="AY14" i="36"/>
  <c r="BP70" i="51"/>
  <c r="BP65" i="51"/>
  <c r="BR64" i="51"/>
  <c r="BR61" i="51"/>
  <c r="BP77" i="51" s="1"/>
  <c r="BP60" i="51"/>
  <c r="BP59" i="51"/>
  <c r="BS49" i="51"/>
  <c r="BS50" i="51" s="1"/>
  <c r="BH45" i="51"/>
  <c r="BL45" i="51" s="1"/>
  <c r="BH44" i="51"/>
  <c r="BL44" i="51" s="1"/>
  <c r="BH43" i="51"/>
  <c r="BE42" i="51"/>
  <c r="BN42" i="51" s="1"/>
  <c r="BE41" i="51"/>
  <c r="BN41" i="51" s="1"/>
  <c r="BL40" i="51"/>
  <c r="BP40" i="51" s="1"/>
  <c r="BH40" i="51"/>
  <c r="BL39" i="51"/>
  <c r="BH39" i="51"/>
  <c r="BP83" i="51" s="1"/>
  <c r="BS35" i="51"/>
  <c r="BK35" i="51"/>
  <c r="AX35" i="51"/>
  <c r="AL35" i="51"/>
  <c r="AK35" i="51"/>
  <c r="AJ35" i="51"/>
  <c r="AI35" i="51"/>
  <c r="AH35" i="51"/>
  <c r="AG35" i="51"/>
  <c r="AL33" i="51"/>
  <c r="AG33" i="51"/>
  <c r="BH32" i="51"/>
  <c r="AL32" i="51"/>
  <c r="AG32" i="51"/>
  <c r="BH31" i="51"/>
  <c r="AL31" i="51"/>
  <c r="AG31" i="51"/>
  <c r="BH30" i="51"/>
  <c r="AL30" i="51"/>
  <c r="AG30" i="51"/>
  <c r="BU29" i="51"/>
  <c r="BM29" i="51"/>
  <c r="BP29" i="51" s="1"/>
  <c r="AS29" i="51"/>
  <c r="BT28" i="51"/>
  <c r="BL28" i="51"/>
  <c r="BP28" i="51" s="1"/>
  <c r="AS28" i="51"/>
  <c r="BG28" i="51" s="1"/>
  <c r="BU27" i="51"/>
  <c r="BM27" i="51"/>
  <c r="BP27" i="51" s="1"/>
  <c r="AS27" i="51"/>
  <c r="BA27" i="51" s="1"/>
  <c r="BT26" i="51"/>
  <c r="BL26" i="51"/>
  <c r="BP26" i="51" s="1"/>
  <c r="AS26" i="51"/>
  <c r="BC26" i="51" s="1"/>
  <c r="BU25" i="51"/>
  <c r="BM25" i="51"/>
  <c r="BP25" i="51" s="1"/>
  <c r="AS25" i="51"/>
  <c r="BA25" i="51" s="1"/>
  <c r="BT24" i="51"/>
  <c r="BL24" i="51"/>
  <c r="BP24" i="51" s="1"/>
  <c r="AS24" i="51"/>
  <c r="BE24" i="51" s="1"/>
  <c r="BU23" i="51"/>
  <c r="BM23" i="51"/>
  <c r="BP23" i="51" s="1"/>
  <c r="AS23" i="51"/>
  <c r="BT22" i="51"/>
  <c r="BL22" i="51"/>
  <c r="BP22" i="51" s="1"/>
  <c r="AS22" i="51"/>
  <c r="BU21" i="51"/>
  <c r="BM21" i="51"/>
  <c r="BP21" i="51" s="1"/>
  <c r="AS21" i="51"/>
  <c r="BT20" i="51"/>
  <c r="BL20" i="51"/>
  <c r="BP20" i="51" s="1"/>
  <c r="AS20" i="51"/>
  <c r="BC20" i="51" s="1"/>
  <c r="BU19" i="51"/>
  <c r="BM19" i="51"/>
  <c r="BP19" i="51" s="1"/>
  <c r="AS19" i="51"/>
  <c r="BG19" i="51" s="1"/>
  <c r="BT18" i="51"/>
  <c r="BL18" i="51"/>
  <c r="BP18" i="51" s="1"/>
  <c r="AS18" i="51"/>
  <c r="BC18" i="51" s="1"/>
  <c r="BU17" i="51"/>
  <c r="BM17" i="51"/>
  <c r="BP17" i="51" s="1"/>
  <c r="AS17" i="51"/>
  <c r="BE17" i="51" s="1"/>
  <c r="BT16" i="51"/>
  <c r="BL16" i="51"/>
  <c r="BP16" i="51" s="1"/>
  <c r="AS16" i="51"/>
  <c r="BA16" i="51" s="1"/>
  <c r="BU15" i="51"/>
  <c r="BM15" i="51"/>
  <c r="BP15" i="51" s="1"/>
  <c r="AS15" i="51"/>
  <c r="BG15" i="51" s="1"/>
  <c r="BT14" i="51"/>
  <c r="BL14" i="51"/>
  <c r="BP14" i="51" s="1"/>
  <c r="AS14" i="51"/>
  <c r="BU13" i="51"/>
  <c r="BM13" i="51"/>
  <c r="BP13" i="51" s="1"/>
  <c r="AS13" i="51"/>
  <c r="BT12" i="51"/>
  <c r="BL12" i="51"/>
  <c r="BP12" i="51" s="1"/>
  <c r="AS12" i="51"/>
  <c r="BT11" i="51"/>
  <c r="BL11" i="51"/>
  <c r="BP11" i="51" s="1"/>
  <c r="BG11" i="51"/>
  <c r="BE11" i="51"/>
  <c r="BC11" i="51"/>
  <c r="BA11" i="51"/>
  <c r="AY11" i="51"/>
  <c r="AW11" i="51"/>
  <c r="BV10" i="51"/>
  <c r="BN10" i="51"/>
  <c r="BP10" i="51" s="1"/>
  <c r="BE10" i="51"/>
  <c r="BC10" i="51"/>
  <c r="BA10" i="51"/>
  <c r="AY10" i="51"/>
  <c r="AW10" i="51"/>
  <c r="BH10" i="51" s="1"/>
  <c r="BT9" i="51"/>
  <c r="BL9" i="51"/>
  <c r="BP9" i="51" s="1"/>
  <c r="BG9" i="51"/>
  <c r="BE9" i="51"/>
  <c r="BC9" i="51"/>
  <c r="BA9" i="51"/>
  <c r="AY9" i="51"/>
  <c r="AW9" i="51"/>
  <c r="BH9" i="51" s="1"/>
  <c r="BV8" i="51"/>
  <c r="BN8" i="51"/>
  <c r="BP8" i="51" s="1"/>
  <c r="BE8" i="51"/>
  <c r="BC8" i="51"/>
  <c r="BA8" i="51"/>
  <c r="AY8" i="51"/>
  <c r="AW8" i="51"/>
  <c r="BH8" i="51" s="1"/>
  <c r="BU7" i="51"/>
  <c r="BM7" i="51"/>
  <c r="BM35" i="51" s="1"/>
  <c r="BG7" i="51"/>
  <c r="BE7" i="51"/>
  <c r="BC7" i="51"/>
  <c r="BC33" i="51" s="1"/>
  <c r="BA7" i="51"/>
  <c r="BA33" i="51" s="1"/>
  <c r="AY7" i="51"/>
  <c r="AY33" i="51" s="1"/>
  <c r="AW7" i="51"/>
  <c r="BT6" i="51"/>
  <c r="BL6" i="51"/>
  <c r="BP6" i="51" s="1"/>
  <c r="BG6" i="51"/>
  <c r="BE6" i="51"/>
  <c r="BC6" i="51"/>
  <c r="BA6" i="51"/>
  <c r="AY6" i="51"/>
  <c r="AW6" i="51"/>
  <c r="BT5" i="51"/>
  <c r="BL5" i="51"/>
  <c r="BG5" i="51"/>
  <c r="BE5" i="51"/>
  <c r="BC5" i="51"/>
  <c r="BA5" i="51"/>
  <c r="AY5" i="51"/>
  <c r="AW5" i="51"/>
  <c r="BH5" i="51" s="1"/>
  <c r="BR4" i="51"/>
  <c r="BR35" i="51" s="1"/>
  <c r="BJ4" i="51"/>
  <c r="BG4" i="51"/>
  <c r="BC4" i="51"/>
  <c r="BA4" i="51"/>
  <c r="AY4" i="51"/>
  <c r="AW4" i="51"/>
  <c r="BV3" i="51"/>
  <c r="BV35" i="51" s="1"/>
  <c r="BN3" i="51"/>
  <c r="BP3" i="51" s="1"/>
  <c r="BH3" i="51"/>
  <c r="BT2" i="51"/>
  <c r="BL2" i="51"/>
  <c r="BP2" i="51" s="1"/>
  <c r="BH2" i="51"/>
  <c r="P5" i="48"/>
  <c r="O5" i="48"/>
  <c r="P4" i="48"/>
  <c r="O4" i="48"/>
  <c r="P3" i="48"/>
  <c r="O3" i="48"/>
  <c r="P2" i="48"/>
  <c r="P6" i="48" s="1"/>
  <c r="O2" i="48"/>
  <c r="O6" i="48" s="1"/>
  <c r="A35" i="46"/>
  <c r="J10" i="48"/>
  <c r="P7" i="48" l="1"/>
  <c r="BJ35" i="51"/>
  <c r="BP4" i="51"/>
  <c r="BL35" i="51"/>
  <c r="BH6" i="51"/>
  <c r="BT35" i="51"/>
  <c r="BH11" i="51"/>
  <c r="BA12" i="51"/>
  <c r="BG12" i="51"/>
  <c r="BE12" i="51"/>
  <c r="BC12" i="51"/>
  <c r="BC13" i="51"/>
  <c r="BG13" i="51"/>
  <c r="BE13" i="51"/>
  <c r="BE14" i="51"/>
  <c r="BG14" i="51"/>
  <c r="BU35" i="51"/>
  <c r="BG21" i="51"/>
  <c r="BE21" i="51"/>
  <c r="BC21" i="51"/>
  <c r="BA21" i="51"/>
  <c r="AY21" i="51"/>
  <c r="AW21" i="51"/>
  <c r="BH21" i="51" s="1"/>
  <c r="AW22" i="51"/>
  <c r="BE22" i="51"/>
  <c r="BC22" i="51"/>
  <c r="BA22" i="51"/>
  <c r="AY22" i="51"/>
  <c r="BA23" i="51"/>
  <c r="BE23" i="51"/>
  <c r="BC23" i="51"/>
  <c r="BG29" i="51"/>
  <c r="BE29" i="51"/>
  <c r="BC29" i="51"/>
  <c r="BA29" i="51"/>
  <c r="AY29" i="51"/>
  <c r="AW29" i="51"/>
  <c r="BH29" i="51" s="1"/>
  <c r="BP39" i="51"/>
  <c r="BP63" i="51"/>
  <c r="BP62" i="51"/>
  <c r="BQ63" i="51" s="1"/>
  <c r="BR63" i="51" s="1"/>
  <c r="BP84" i="51"/>
  <c r="BR84" i="51" s="1"/>
  <c r="BQ84" i="51"/>
  <c r="AW20" i="51"/>
  <c r="AW28" i="51"/>
  <c r="BH7" i="51"/>
  <c r="AW19" i="51"/>
  <c r="AW27" i="51"/>
  <c r="AY28" i="51"/>
  <c r="BQ83" i="51"/>
  <c r="AW17" i="51"/>
  <c r="AW16" i="51"/>
  <c r="BA18" i="51"/>
  <c r="AW25" i="51"/>
  <c r="BA26" i="51"/>
  <c r="BC27" i="51"/>
  <c r="BE28" i="51"/>
  <c r="AW15" i="51"/>
  <c r="BA17" i="51"/>
  <c r="BE19" i="51"/>
  <c r="BG20" i="51"/>
  <c r="AY25" i="51"/>
  <c r="BE27" i="51"/>
  <c r="BJ43" i="51"/>
  <c r="AY15" i="51"/>
  <c r="BE18" i="51"/>
  <c r="BH4" i="51"/>
  <c r="AW13" i="51"/>
  <c r="BA15" i="51"/>
  <c r="BG18" i="51"/>
  <c r="AY24" i="51"/>
  <c r="BC25" i="51"/>
  <c r="AW12" i="51"/>
  <c r="AY13" i="51"/>
  <c r="BA14" i="51"/>
  <c r="BC15" i="51"/>
  <c r="BE16" i="51"/>
  <c r="BG17" i="51"/>
  <c r="AW23" i="51"/>
  <c r="BA24" i="51"/>
  <c r="BE25" i="51"/>
  <c r="BN35" i="51"/>
  <c r="BO35" i="51" s="1"/>
  <c r="AY20" i="51"/>
  <c r="AY19" i="51"/>
  <c r="AY27" i="51"/>
  <c r="BG27" i="51" s="1"/>
  <c r="BP61" i="51"/>
  <c r="BP71" i="51" s="1"/>
  <c r="BP73" i="51" s="1"/>
  <c r="BA19" i="51"/>
  <c r="BE20" i="51"/>
  <c r="AW14" i="51"/>
  <c r="BC17" i="51"/>
  <c r="BE26" i="51"/>
  <c r="BP5" i="51"/>
  <c r="BC16" i="51"/>
  <c r="AY12" i="51"/>
  <c r="BA13" i="51"/>
  <c r="BC14" i="51"/>
  <c r="BE15" i="51"/>
  <c r="BG16" i="51"/>
  <c r="AY23" i="51"/>
  <c r="BC24" i="51"/>
  <c r="BE33" i="51"/>
  <c r="BH33" i="51" s="1"/>
  <c r="AW18" i="51"/>
  <c r="BA20" i="51"/>
  <c r="AW26" i="51"/>
  <c r="BA28" i="51"/>
  <c r="BP7" i="51"/>
  <c r="AY18" i="51"/>
  <c r="AY26" i="51"/>
  <c r="BG26" i="51" s="1"/>
  <c r="BC28" i="51"/>
  <c r="AY17" i="51"/>
  <c r="BC19" i="51"/>
  <c r="AY16" i="51"/>
  <c r="AW24" i="51"/>
  <c r="BH24" i="51" s="1"/>
  <c r="AY14" i="51"/>
  <c r="AY35" i="51" s="1"/>
  <c r="AY47" i="51" s="1"/>
  <c r="BP79" i="51" s="1"/>
  <c r="BQ79" i="51" s="1"/>
  <c r="BH18" i="51" l="1"/>
  <c r="BC35" i="51"/>
  <c r="BC47" i="51" s="1"/>
  <c r="BP81" i="51" s="1"/>
  <c r="BQ81" i="51" s="1"/>
  <c r="BH23" i="51"/>
  <c r="BG35" i="51"/>
  <c r="BE35" i="51"/>
  <c r="BE47" i="51" s="1"/>
  <c r="BP82" i="51" s="1"/>
  <c r="BQ82" i="51" s="1"/>
  <c r="BH12" i="51"/>
  <c r="BH25" i="51"/>
  <c r="BA35" i="51"/>
  <c r="BA47" i="51" s="1"/>
  <c r="BP80" i="51" s="1"/>
  <c r="BQ80" i="51" s="1"/>
  <c r="BH22" i="51"/>
  <c r="BW35" i="51"/>
  <c r="BG47" i="51"/>
  <c r="BP52" i="51"/>
  <c r="BP49" i="51"/>
  <c r="BP51" i="51" s="1"/>
  <c r="BP54" i="51" s="1"/>
  <c r="BP57" i="51" s="1"/>
  <c r="BP66" i="51" s="1"/>
  <c r="BO36" i="51"/>
  <c r="BH16" i="51"/>
  <c r="BH14" i="51"/>
  <c r="BH17" i="51"/>
  <c r="BH27" i="51"/>
  <c r="BH19" i="51"/>
  <c r="BS84" i="51"/>
  <c r="BH15" i="51"/>
  <c r="BH28" i="51"/>
  <c r="AW35" i="51"/>
  <c r="BH26" i="51"/>
  <c r="BH13" i="51"/>
  <c r="BH20" i="51"/>
  <c r="BH35" i="51" l="1"/>
  <c r="AW47" i="51"/>
  <c r="BI35" i="51"/>
  <c r="BW36" i="51"/>
  <c r="N5" i="48"/>
  <c r="M5" i="48"/>
  <c r="K5" i="48"/>
  <c r="J5" i="48"/>
  <c r="N4" i="48"/>
  <c r="M4" i="48"/>
  <c r="K4" i="48"/>
  <c r="J4" i="48"/>
  <c r="N3" i="48"/>
  <c r="M3" i="48"/>
  <c r="K3" i="48"/>
  <c r="J3" i="48"/>
  <c r="N2" i="48"/>
  <c r="N6" i="48" s="1"/>
  <c r="M2" i="48"/>
  <c r="M6" i="48" s="1"/>
  <c r="K2" i="48"/>
  <c r="J2" i="48"/>
  <c r="J6" i="48" s="1"/>
  <c r="AQ13" i="36" a="1"/>
  <c r="AQ13" i="36" s="1"/>
  <c r="AE15" i="36"/>
  <c r="AF15" i="36"/>
  <c r="AG15" i="36"/>
  <c r="AH15" i="36"/>
  <c r="AI15" i="36"/>
  <c r="AJ15" i="36"/>
  <c r="AD15" i="36"/>
  <c r="B53" i="40"/>
  <c r="B60" i="40"/>
  <c r="B62" i="40"/>
  <c r="B64" i="40"/>
  <c r="B66" i="40"/>
  <c r="B68" i="40"/>
  <c r="B70" i="40"/>
  <c r="A62" i="40"/>
  <c r="A64" i="40"/>
  <c r="A66" i="40"/>
  <c r="A68" i="40"/>
  <c r="A70" i="40"/>
  <c r="A63" i="47"/>
  <c r="A65" i="47"/>
  <c r="A67" i="47"/>
  <c r="B63" i="47"/>
  <c r="B65" i="47"/>
  <c r="B67" i="47"/>
  <c r="B49" i="47"/>
  <c r="P48" i="47"/>
  <c r="P47" i="47"/>
  <c r="P46" i="47"/>
  <c r="P45" i="47"/>
  <c r="B61" i="47"/>
  <c r="A61" i="47"/>
  <c r="B61" i="46"/>
  <c r="A61" i="46"/>
  <c r="B59" i="46"/>
  <c r="A59" i="46"/>
  <c r="B57" i="46"/>
  <c r="A57" i="46"/>
  <c r="A60" i="40"/>
  <c r="R68" i="45"/>
  <c r="R67" i="45"/>
  <c r="R66" i="45"/>
  <c r="R65" i="45"/>
  <c r="B63" i="45"/>
  <c r="A63" i="45"/>
  <c r="B61" i="45"/>
  <c r="A61" i="45"/>
  <c r="B59" i="45"/>
  <c r="A59" i="45"/>
  <c r="B57" i="45"/>
  <c r="A57" i="45"/>
  <c r="D66" i="47" l="1"/>
  <c r="D65" i="47"/>
  <c r="E65" i="47"/>
  <c r="F65" i="47"/>
  <c r="G65" i="47"/>
  <c r="H65" i="47"/>
  <c r="I65" i="47"/>
  <c r="J65" i="47"/>
  <c r="K65" i="47"/>
  <c r="L65" i="47"/>
  <c r="M65" i="47"/>
  <c r="N65" i="47"/>
  <c r="O65" i="47"/>
  <c r="E66" i="47"/>
  <c r="F66" i="47"/>
  <c r="G66" i="47"/>
  <c r="H66" i="47"/>
  <c r="I66" i="47"/>
  <c r="J66" i="47"/>
  <c r="K66" i="47"/>
  <c r="L66" i="47"/>
  <c r="M66" i="47"/>
  <c r="N66" i="47"/>
  <c r="O66" i="47"/>
  <c r="K67" i="47"/>
  <c r="D67" i="47"/>
  <c r="E67" i="47"/>
  <c r="J67" i="47"/>
  <c r="L67" i="47"/>
  <c r="M67" i="47"/>
  <c r="N67" i="47"/>
  <c r="E68" i="47"/>
  <c r="F68" i="47"/>
  <c r="G68" i="47"/>
  <c r="M68" i="47"/>
  <c r="N68" i="47"/>
  <c r="O68" i="47"/>
  <c r="P9" i="48"/>
  <c r="L2" i="48"/>
  <c r="L3" i="48"/>
  <c r="BP78" i="51"/>
  <c r="BI47" i="51"/>
  <c r="L4" i="48"/>
  <c r="L5" i="48"/>
  <c r="K68" i="47"/>
  <c r="I67" i="47"/>
  <c r="J68" i="47"/>
  <c r="H67" i="47"/>
  <c r="I68" i="47"/>
  <c r="G67" i="47"/>
  <c r="H68" i="47"/>
  <c r="F67" i="47"/>
  <c r="O67" i="47"/>
  <c r="D68" i="47"/>
  <c r="L68" i="47"/>
  <c r="BQ78" i="51" l="1"/>
  <c r="BQ85" i="51" s="1"/>
  <c r="BP85" i="51"/>
  <c r="BP86" i="51" s="1"/>
  <c r="BQ86" i="51" s="1"/>
  <c r="B47" i="46"/>
  <c r="H5" i="48"/>
  <c r="H4" i="48"/>
  <c r="H3" i="48"/>
  <c r="H2" i="48"/>
  <c r="P52" i="40"/>
  <c r="P51" i="40"/>
  <c r="P50" i="40"/>
  <c r="P49" i="40"/>
  <c r="A35" i="45"/>
  <c r="A35" i="47"/>
  <c r="A35" i="40"/>
  <c r="B2" i="48"/>
  <c r="Q11" i="37"/>
  <c r="Q39" i="37"/>
  <c r="M39" i="37"/>
  <c r="AB24" i="47"/>
  <c r="AC24" i="47" s="1"/>
  <c r="B5" i="48"/>
  <c r="B4" i="48"/>
  <c r="AB24" i="46"/>
  <c r="AC24" i="46" s="1"/>
  <c r="B3" i="48"/>
  <c r="AB24" i="40"/>
  <c r="AD25" i="40" s="1"/>
  <c r="AB24" i="45"/>
  <c r="P44" i="47"/>
  <c r="P43" i="47"/>
  <c r="P42" i="47"/>
  <c r="P41" i="47"/>
  <c r="P30" i="47"/>
  <c r="AC25" i="47"/>
  <c r="AD25" i="47" s="1"/>
  <c r="N25" i="47"/>
  <c r="O25" i="47" s="1"/>
  <c r="M24" i="47"/>
  <c r="L24" i="47"/>
  <c r="K24" i="47"/>
  <c r="J24" i="47"/>
  <c r="I24" i="47"/>
  <c r="H24" i="47"/>
  <c r="G24" i="47"/>
  <c r="F24" i="47"/>
  <c r="E24" i="47"/>
  <c r="D24" i="47"/>
  <c r="C24" i="47"/>
  <c r="B24" i="47"/>
  <c r="AC23" i="47"/>
  <c r="AD23" i="47" s="1"/>
  <c r="N23" i="47"/>
  <c r="O23" i="47" s="1"/>
  <c r="AC22" i="47"/>
  <c r="C5" i="48" s="1"/>
  <c r="N22" i="47"/>
  <c r="P46" i="46"/>
  <c r="P45" i="46"/>
  <c r="P44" i="46"/>
  <c r="P43" i="46"/>
  <c r="P42" i="46"/>
  <c r="P41" i="46"/>
  <c r="P30" i="46"/>
  <c r="AC25" i="46"/>
  <c r="AD25" i="46" s="1"/>
  <c r="N25" i="46"/>
  <c r="O25" i="46" s="1"/>
  <c r="M24" i="46"/>
  <c r="L24" i="46"/>
  <c r="K24" i="46"/>
  <c r="J24" i="46"/>
  <c r="I24" i="46"/>
  <c r="H24" i="46"/>
  <c r="G24" i="46"/>
  <c r="F24" i="46"/>
  <c r="E24" i="46"/>
  <c r="D24" i="46"/>
  <c r="C24" i="46"/>
  <c r="B24" i="46"/>
  <c r="AC23" i="46"/>
  <c r="AD23" i="46" s="1"/>
  <c r="N23" i="46"/>
  <c r="O23" i="46" s="1"/>
  <c r="AC22" i="46"/>
  <c r="C4" i="48" s="1"/>
  <c r="N22" i="46"/>
  <c r="P48" i="45"/>
  <c r="P47" i="45"/>
  <c r="P46" i="45"/>
  <c r="P45" i="45"/>
  <c r="P44" i="45"/>
  <c r="P43" i="45"/>
  <c r="P42" i="45"/>
  <c r="P41" i="45"/>
  <c r="K58" i="45" s="1"/>
  <c r="P30" i="45"/>
  <c r="AC25" i="45"/>
  <c r="AD25" i="45" s="1"/>
  <c r="N25" i="45"/>
  <c r="O25" i="45" s="1"/>
  <c r="AC24" i="45"/>
  <c r="M24" i="45"/>
  <c r="L24" i="45"/>
  <c r="K24" i="45"/>
  <c r="J24" i="45"/>
  <c r="I24" i="45"/>
  <c r="H24" i="45"/>
  <c r="G24" i="45"/>
  <c r="F24" i="45"/>
  <c r="E24" i="45"/>
  <c r="D24" i="45"/>
  <c r="C24" i="45"/>
  <c r="B24" i="45"/>
  <c r="AC23" i="45"/>
  <c r="AD23" i="45" s="1"/>
  <c r="N23" i="45"/>
  <c r="O23" i="45" s="1"/>
  <c r="AC22" i="45"/>
  <c r="C2" i="48" s="1"/>
  <c r="N22" i="45"/>
  <c r="M24" i="40"/>
  <c r="L24" i="40"/>
  <c r="K24" i="40"/>
  <c r="J24" i="40"/>
  <c r="I24" i="40"/>
  <c r="H24" i="40"/>
  <c r="G24" i="40"/>
  <c r="F24" i="40"/>
  <c r="E24" i="40"/>
  <c r="D24" i="40"/>
  <c r="C24" i="40"/>
  <c r="B24" i="40"/>
  <c r="O64" i="45" l="1"/>
  <c r="N64" i="45"/>
  <c r="M64" i="45"/>
  <c r="L64" i="45"/>
  <c r="K64" i="45"/>
  <c r="J64" i="45"/>
  <c r="I64" i="45"/>
  <c r="H64" i="45"/>
  <c r="G64" i="45"/>
  <c r="F64" i="45"/>
  <c r="E64" i="45"/>
  <c r="O63" i="45"/>
  <c r="N63" i="45"/>
  <c r="M63" i="45"/>
  <c r="L63" i="45"/>
  <c r="K63" i="45"/>
  <c r="J63" i="45"/>
  <c r="I63" i="45"/>
  <c r="H63" i="45"/>
  <c r="G63" i="45"/>
  <c r="F63" i="45"/>
  <c r="E63" i="45"/>
  <c r="D64" i="45"/>
  <c r="P64" i="45" s="1"/>
  <c r="R64" i="45" s="1"/>
  <c r="D63" i="45"/>
  <c r="P63" i="45" s="1"/>
  <c r="R63" i="45" s="1"/>
  <c r="D62" i="47"/>
  <c r="D61" i="47"/>
  <c r="E61" i="47"/>
  <c r="F61" i="47"/>
  <c r="G61" i="47"/>
  <c r="H61" i="47"/>
  <c r="I61" i="47"/>
  <c r="J61" i="47"/>
  <c r="K61" i="47"/>
  <c r="L61" i="47"/>
  <c r="M61" i="47"/>
  <c r="N61" i="47"/>
  <c r="O61" i="47"/>
  <c r="E62" i="47"/>
  <c r="F62" i="47"/>
  <c r="G62" i="47"/>
  <c r="H62" i="47"/>
  <c r="I62" i="47"/>
  <c r="J62" i="47"/>
  <c r="K62" i="47"/>
  <c r="L62" i="47"/>
  <c r="M62" i="47"/>
  <c r="N62" i="47"/>
  <c r="O62" i="47"/>
  <c r="D64" i="47"/>
  <c r="D63" i="47"/>
  <c r="E63" i="47"/>
  <c r="F63" i="47"/>
  <c r="G63" i="47"/>
  <c r="H63" i="47"/>
  <c r="I63" i="47"/>
  <c r="J63" i="47"/>
  <c r="K63" i="47"/>
  <c r="L63" i="47"/>
  <c r="M63" i="47"/>
  <c r="N63" i="47"/>
  <c r="O63" i="47"/>
  <c r="E64" i="47"/>
  <c r="F64" i="47"/>
  <c r="G64" i="47"/>
  <c r="H64" i="47"/>
  <c r="I64" i="47"/>
  <c r="J64" i="47"/>
  <c r="K64" i="47"/>
  <c r="L64" i="47"/>
  <c r="M64" i="47"/>
  <c r="N64" i="47"/>
  <c r="O64" i="47"/>
  <c r="E68" i="40"/>
  <c r="F68" i="40"/>
  <c r="G68" i="40"/>
  <c r="H68" i="40"/>
  <c r="I68" i="40"/>
  <c r="J68" i="40"/>
  <c r="K68" i="40"/>
  <c r="L68" i="40"/>
  <c r="M68" i="40"/>
  <c r="N68" i="40"/>
  <c r="O68" i="40"/>
  <c r="E69" i="40"/>
  <c r="F69" i="40"/>
  <c r="G69" i="40"/>
  <c r="H69" i="40"/>
  <c r="I69" i="40"/>
  <c r="J69" i="40"/>
  <c r="K69" i="40"/>
  <c r="L69" i="40"/>
  <c r="M69" i="40"/>
  <c r="N69" i="40"/>
  <c r="O69" i="40"/>
  <c r="D69" i="40"/>
  <c r="D68" i="40"/>
  <c r="E70" i="40"/>
  <c r="F70" i="40"/>
  <c r="G70" i="40"/>
  <c r="H70" i="40"/>
  <c r="I70" i="40"/>
  <c r="J70" i="40"/>
  <c r="K70" i="40"/>
  <c r="L70" i="40"/>
  <c r="M70" i="40"/>
  <c r="N70" i="40"/>
  <c r="O70" i="40"/>
  <c r="E71" i="40"/>
  <c r="F71" i="40"/>
  <c r="G71" i="40"/>
  <c r="H71" i="40"/>
  <c r="I71" i="40"/>
  <c r="J71" i="40"/>
  <c r="K71" i="40"/>
  <c r="L71" i="40"/>
  <c r="M71" i="40"/>
  <c r="N71" i="40"/>
  <c r="O71" i="40"/>
  <c r="D71" i="40"/>
  <c r="D70" i="40"/>
  <c r="N58" i="46"/>
  <c r="N57" i="46"/>
  <c r="M58" i="46"/>
  <c r="M57" i="46"/>
  <c r="L58" i="46"/>
  <c r="L57" i="46"/>
  <c r="K58" i="46"/>
  <c r="K57" i="46"/>
  <c r="J58" i="46"/>
  <c r="J57" i="46"/>
  <c r="I58" i="46"/>
  <c r="I57" i="46"/>
  <c r="H58" i="46"/>
  <c r="H57" i="46"/>
  <c r="G58" i="46"/>
  <c r="G57" i="46"/>
  <c r="F58" i="46"/>
  <c r="F57" i="46"/>
  <c r="E58" i="46"/>
  <c r="E57" i="46"/>
  <c r="O58" i="46"/>
  <c r="D58" i="46"/>
  <c r="O57" i="46"/>
  <c r="D57" i="46"/>
  <c r="L60" i="46"/>
  <c r="L59" i="46"/>
  <c r="K60" i="46"/>
  <c r="K59" i="46"/>
  <c r="J60" i="46"/>
  <c r="J59" i="46"/>
  <c r="I60" i="46"/>
  <c r="I59" i="46"/>
  <c r="H60" i="46"/>
  <c r="H59" i="46"/>
  <c r="G60" i="46"/>
  <c r="G59" i="46"/>
  <c r="F60" i="46"/>
  <c r="F59" i="46"/>
  <c r="E60" i="46"/>
  <c r="E59" i="46"/>
  <c r="D60" i="46"/>
  <c r="D59" i="46"/>
  <c r="O60" i="46"/>
  <c r="O59" i="46"/>
  <c r="N60" i="46"/>
  <c r="M60" i="46"/>
  <c r="N59" i="46"/>
  <c r="M59" i="46"/>
  <c r="J62" i="46"/>
  <c r="J61" i="46"/>
  <c r="I62" i="46"/>
  <c r="I61" i="46"/>
  <c r="H62" i="46"/>
  <c r="H61" i="46"/>
  <c r="G62" i="46"/>
  <c r="G61" i="46"/>
  <c r="F62" i="46"/>
  <c r="F61" i="46"/>
  <c r="E62" i="46"/>
  <c r="E61" i="46"/>
  <c r="D62" i="46"/>
  <c r="D61" i="46"/>
  <c r="O62" i="46"/>
  <c r="O61" i="46"/>
  <c r="N62" i="46"/>
  <c r="N61" i="46"/>
  <c r="M62" i="46"/>
  <c r="M61" i="46"/>
  <c r="L62" i="46"/>
  <c r="K62" i="46"/>
  <c r="L61" i="46"/>
  <c r="K61" i="46"/>
  <c r="I58" i="45"/>
  <c r="I57" i="45"/>
  <c r="H58" i="45"/>
  <c r="H57" i="45"/>
  <c r="G58" i="45"/>
  <c r="G57" i="45"/>
  <c r="F58" i="45"/>
  <c r="F57" i="45"/>
  <c r="E58" i="45"/>
  <c r="E57" i="45"/>
  <c r="D58" i="45"/>
  <c r="D57" i="45"/>
  <c r="O58" i="45"/>
  <c r="O57" i="45"/>
  <c r="N58" i="45"/>
  <c r="N57" i="45"/>
  <c r="M58" i="45"/>
  <c r="M57" i="45"/>
  <c r="L58" i="45"/>
  <c r="L57" i="45"/>
  <c r="K57" i="45"/>
  <c r="J58" i="45"/>
  <c r="J57" i="45"/>
  <c r="N24" i="45"/>
  <c r="G60" i="45"/>
  <c r="G59" i="45"/>
  <c r="F60" i="45"/>
  <c r="F59" i="45"/>
  <c r="E60" i="45"/>
  <c r="E59" i="45"/>
  <c r="D60" i="45"/>
  <c r="D59" i="45"/>
  <c r="O60" i="45"/>
  <c r="O59" i="45"/>
  <c r="N60" i="45"/>
  <c r="N59" i="45"/>
  <c r="M60" i="45"/>
  <c r="M59" i="45"/>
  <c r="L60" i="45"/>
  <c r="L59" i="45"/>
  <c r="K60" i="45"/>
  <c r="K59" i="45"/>
  <c r="J60" i="45"/>
  <c r="J59" i="45"/>
  <c r="I60" i="45"/>
  <c r="I59" i="45"/>
  <c r="H60" i="45"/>
  <c r="H59" i="45"/>
  <c r="E62" i="45"/>
  <c r="E61" i="45"/>
  <c r="D62" i="45"/>
  <c r="D61" i="45"/>
  <c r="O62" i="45"/>
  <c r="O61" i="45"/>
  <c r="N62" i="45"/>
  <c r="N61" i="45"/>
  <c r="F62" i="45"/>
  <c r="M62" i="45"/>
  <c r="M61" i="45"/>
  <c r="L62" i="45"/>
  <c r="L61" i="45"/>
  <c r="K62" i="45"/>
  <c r="K61" i="45"/>
  <c r="J62" i="45"/>
  <c r="J61" i="45"/>
  <c r="I62" i="45"/>
  <c r="I61" i="45"/>
  <c r="H62" i="45"/>
  <c r="H61" i="45"/>
  <c r="G62" i="45"/>
  <c r="G61" i="45"/>
  <c r="F61" i="45"/>
  <c r="H6" i="48"/>
  <c r="N24" i="47"/>
  <c r="N24" i="46"/>
  <c r="AE25" i="47"/>
  <c r="AE23" i="46"/>
  <c r="AE25" i="45"/>
  <c r="AE23" i="45"/>
  <c r="AE23" i="47"/>
  <c r="AE25" i="46"/>
  <c r="AQ19" i="36"/>
  <c r="AQ18" i="36"/>
  <c r="AP19" i="36"/>
  <c r="AP18" i="36"/>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S39" i="37"/>
  <c r="R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C24" i="40"/>
  <c r="AC23" i="40"/>
  <c r="AD23" i="40" s="1"/>
  <c r="AC22" i="40"/>
  <c r="C3" i="48" s="1"/>
  <c r="N25" i="40"/>
  <c r="O25" i="40" s="1"/>
  <c r="N24" i="40"/>
  <c r="P48" i="40"/>
  <c r="P47" i="40"/>
  <c r="P46" i="40"/>
  <c r="P45" i="40"/>
  <c r="P44" i="40"/>
  <c r="P43" i="40"/>
  <c r="P42"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C32" i="37"/>
  <c r="D32" i="37"/>
  <c r="F32" i="37"/>
  <c r="G32" i="37"/>
  <c r="H32" i="37"/>
  <c r="N32" i="37"/>
  <c r="N60" i="37" s="1"/>
  <c r="O32" i="37"/>
  <c r="O60" i="37" s="1"/>
  <c r="P32" i="37"/>
  <c r="P60" i="37" s="1"/>
  <c r="Y32" i="37"/>
  <c r="Z32" i="37"/>
  <c r="AA32" i="37"/>
  <c r="AB32" i="37"/>
  <c r="AC32" i="37"/>
  <c r="AD32" i="37"/>
  <c r="AE32" i="37"/>
  <c r="B32" i="37"/>
  <c r="BK32" i="37"/>
  <c r="BJ32" i="37"/>
  <c r="BI32" i="37"/>
  <c r="BH32" i="37"/>
  <c r="BG32" i="37"/>
  <c r="BF32" i="37"/>
  <c r="E60" i="40" l="1"/>
  <c r="F60" i="40"/>
  <c r="G60" i="40"/>
  <c r="H60" i="40"/>
  <c r="I60" i="40"/>
  <c r="J60" i="40"/>
  <c r="K60" i="40"/>
  <c r="L60" i="40"/>
  <c r="M60" i="40"/>
  <c r="N60" i="40"/>
  <c r="O60" i="40"/>
  <c r="E61" i="40"/>
  <c r="F61" i="40"/>
  <c r="G61" i="40"/>
  <c r="H61" i="40"/>
  <c r="I61" i="40"/>
  <c r="J61" i="40"/>
  <c r="K61" i="40"/>
  <c r="L61" i="40"/>
  <c r="M61" i="40"/>
  <c r="N61" i="40"/>
  <c r="O61" i="40"/>
  <c r="D61" i="40"/>
  <c r="D60" i="40"/>
  <c r="E62" i="40"/>
  <c r="F62" i="40"/>
  <c r="G62" i="40"/>
  <c r="H62" i="40"/>
  <c r="I62" i="40"/>
  <c r="J62" i="40"/>
  <c r="K62" i="40"/>
  <c r="L62" i="40"/>
  <c r="M62" i="40"/>
  <c r="N62" i="40"/>
  <c r="O62" i="40"/>
  <c r="E63" i="40"/>
  <c r="F63" i="40"/>
  <c r="G63" i="40"/>
  <c r="H63" i="40"/>
  <c r="I63" i="40"/>
  <c r="J63" i="40"/>
  <c r="K63" i="40"/>
  <c r="L63" i="40"/>
  <c r="M63" i="40"/>
  <c r="N63" i="40"/>
  <c r="O63" i="40"/>
  <c r="D63" i="40"/>
  <c r="D62" i="40"/>
  <c r="E64" i="40"/>
  <c r="F64" i="40"/>
  <c r="G64" i="40"/>
  <c r="H64" i="40"/>
  <c r="I64" i="40"/>
  <c r="J64" i="40"/>
  <c r="K64" i="40"/>
  <c r="L64" i="40"/>
  <c r="M64" i="40"/>
  <c r="N64" i="40"/>
  <c r="O64" i="40"/>
  <c r="E65" i="40"/>
  <c r="F65" i="40"/>
  <c r="G65" i="40"/>
  <c r="H65" i="40"/>
  <c r="I65" i="40"/>
  <c r="J65" i="40"/>
  <c r="K65" i="40"/>
  <c r="L65" i="40"/>
  <c r="M65" i="40"/>
  <c r="N65" i="40"/>
  <c r="O65" i="40"/>
  <c r="D65" i="40"/>
  <c r="D64" i="40"/>
  <c r="E66" i="40"/>
  <c r="F66" i="40"/>
  <c r="G66" i="40"/>
  <c r="H66" i="40"/>
  <c r="I66" i="40"/>
  <c r="I81" i="40" s="1"/>
  <c r="I82" i="40" s="1"/>
  <c r="J66" i="40"/>
  <c r="J81" i="40" s="1"/>
  <c r="J82" i="40" s="1"/>
  <c r="K66" i="40"/>
  <c r="L66" i="40"/>
  <c r="M66" i="40"/>
  <c r="N66" i="40"/>
  <c r="O66" i="40"/>
  <c r="E67" i="40"/>
  <c r="F67" i="40"/>
  <c r="G67" i="40"/>
  <c r="H67" i="40"/>
  <c r="I67" i="40"/>
  <c r="J67" i="40"/>
  <c r="K67" i="40"/>
  <c r="L67" i="40"/>
  <c r="M67" i="40"/>
  <c r="N67" i="40"/>
  <c r="O67" i="40"/>
  <c r="D67" i="40"/>
  <c r="D66" i="40"/>
  <c r="AY60" i="37"/>
  <c r="P61" i="45"/>
  <c r="P59" i="45"/>
  <c r="R59" i="45" s="1"/>
  <c r="J74" i="45"/>
  <c r="J75" i="45" s="1"/>
  <c r="J35" i="45" s="1"/>
  <c r="K74" i="45"/>
  <c r="K75" i="45" s="1"/>
  <c r="K35" i="45" s="1"/>
  <c r="L74" i="45"/>
  <c r="L75" i="45" s="1"/>
  <c r="L35" i="45" s="1"/>
  <c r="M74" i="45"/>
  <c r="M75" i="45" s="1"/>
  <c r="M71" i="45"/>
  <c r="M72" i="45" s="1"/>
  <c r="M36" i="45" s="1"/>
  <c r="AM14" i="36" s="1"/>
  <c r="N74" i="45"/>
  <c r="N75" i="45" s="1"/>
  <c r="N35" i="45" s="1"/>
  <c r="N71" i="45"/>
  <c r="N72" i="45" s="1"/>
  <c r="N36" i="45" s="1"/>
  <c r="AN14" i="36" s="1"/>
  <c r="O74" i="45"/>
  <c r="O75" i="45" s="1"/>
  <c r="O71" i="45"/>
  <c r="O72" i="45" s="1"/>
  <c r="O36" i="45" s="1"/>
  <c r="AO14" i="36" s="1"/>
  <c r="D74" i="45"/>
  <c r="D75" i="45" s="1"/>
  <c r="P57" i="45"/>
  <c r="E74" i="45"/>
  <c r="E75" i="45" s="1"/>
  <c r="E35" i="45" s="1"/>
  <c r="F74" i="45"/>
  <c r="F75" i="45" s="1"/>
  <c r="F35" i="45" s="1"/>
  <c r="G74" i="45"/>
  <c r="G75" i="45" s="1"/>
  <c r="G35" i="45" s="1"/>
  <c r="H74" i="45"/>
  <c r="H75" i="45" s="1"/>
  <c r="H35" i="45" s="1"/>
  <c r="I74" i="45"/>
  <c r="I75" i="45" s="1"/>
  <c r="I35" i="45" s="1"/>
  <c r="O72" i="46"/>
  <c r="O73" i="46" s="1"/>
  <c r="O35" i="46" s="1"/>
  <c r="O69" i="46"/>
  <c r="O70" i="46" s="1"/>
  <c r="O36" i="46" s="1"/>
  <c r="AO16" i="36" s="1"/>
  <c r="I72" i="46"/>
  <c r="I73" i="46" s="1"/>
  <c r="I35" i="46" s="1"/>
  <c r="I69" i="46"/>
  <c r="I70" i="46" s="1"/>
  <c r="I36" i="46" s="1"/>
  <c r="AI16" i="36" s="1"/>
  <c r="J72" i="46"/>
  <c r="J73" i="46" s="1"/>
  <c r="J35" i="46" s="1"/>
  <c r="J69" i="46"/>
  <c r="J70" i="46" s="1"/>
  <c r="J36" i="46" s="1"/>
  <c r="AJ16" i="36" s="1"/>
  <c r="M78" i="40"/>
  <c r="M79" i="40" s="1"/>
  <c r="O74" i="47"/>
  <c r="O75" i="47" s="1"/>
  <c r="O36" i="47" s="1"/>
  <c r="N74" i="47"/>
  <c r="N75" i="47" s="1"/>
  <c r="N36" i="47" s="1"/>
  <c r="M74" i="47"/>
  <c r="M75" i="47" s="1"/>
  <c r="M36" i="47" s="1"/>
  <c r="L74" i="47"/>
  <c r="L75" i="47" s="1"/>
  <c r="K74" i="47"/>
  <c r="K75" i="47" s="1"/>
  <c r="J74" i="47"/>
  <c r="J75" i="47" s="1"/>
  <c r="I74" i="47"/>
  <c r="I75" i="47" s="1"/>
  <c r="H74" i="47"/>
  <c r="H75" i="47" s="1"/>
  <c r="G74" i="47"/>
  <c r="G75" i="47" s="1"/>
  <c r="F74" i="47"/>
  <c r="F75" i="47" s="1"/>
  <c r="E74" i="47"/>
  <c r="E75" i="47" s="1"/>
  <c r="O77" i="47"/>
  <c r="O78" i="47" s="1"/>
  <c r="N77" i="47"/>
  <c r="N78" i="47" s="1"/>
  <c r="M77" i="47"/>
  <c r="M78" i="47" s="1"/>
  <c r="L77" i="47"/>
  <c r="L78" i="47" s="1"/>
  <c r="K77" i="47"/>
  <c r="K78" i="47" s="1"/>
  <c r="J77" i="47"/>
  <c r="J78" i="47" s="1"/>
  <c r="I77" i="47"/>
  <c r="I78" i="47" s="1"/>
  <c r="H77" i="47"/>
  <c r="H78" i="47" s="1"/>
  <c r="G77" i="47"/>
  <c r="G78" i="47" s="1"/>
  <c r="F77" i="47"/>
  <c r="F78" i="47" s="1"/>
  <c r="E77" i="47"/>
  <c r="E78" i="47" s="1"/>
  <c r="D77" i="47"/>
  <c r="D74" i="47"/>
  <c r="L71" i="45"/>
  <c r="L72" i="45" s="1"/>
  <c r="L36" i="45" s="1"/>
  <c r="AL14" i="36" s="1"/>
  <c r="F71" i="45"/>
  <c r="G71" i="45"/>
  <c r="H71" i="45"/>
  <c r="H72" i="45" s="1"/>
  <c r="H36" i="45" s="1"/>
  <c r="AH14" i="36" s="1"/>
  <c r="I71" i="45"/>
  <c r="I72" i="45" s="1"/>
  <c r="I36" i="45" s="1"/>
  <c r="AI14" i="36" s="1"/>
  <c r="J71" i="45"/>
  <c r="E71" i="45"/>
  <c r="D71" i="45"/>
  <c r="P58" i="45"/>
  <c r="K71" i="45"/>
  <c r="P65" i="47"/>
  <c r="P66" i="47"/>
  <c r="P67" i="47"/>
  <c r="P68" i="47"/>
  <c r="M35" i="47"/>
  <c r="G35" i="47"/>
  <c r="AO17" i="36"/>
  <c r="I36" i="47"/>
  <c r="AI17" i="36" s="1"/>
  <c r="D78" i="47"/>
  <c r="D35" i="47" s="1"/>
  <c r="J35" i="47"/>
  <c r="D75" i="47"/>
  <c r="D36" i="47" s="1"/>
  <c r="AD17" i="36" s="1"/>
  <c r="J36" i="47"/>
  <c r="AJ17" i="36" s="1"/>
  <c r="AM17" i="36"/>
  <c r="G36" i="47"/>
  <c r="AG17" i="36" s="1"/>
  <c r="N35" i="47"/>
  <c r="H35" i="47"/>
  <c r="AN17" i="36"/>
  <c r="H36" i="47"/>
  <c r="AH17" i="36" s="1"/>
  <c r="O35" i="47"/>
  <c r="I35" i="47"/>
  <c r="K35" i="47"/>
  <c r="K36" i="47"/>
  <c r="AK17" i="36" s="1"/>
  <c r="F35" i="47"/>
  <c r="L35" i="47"/>
  <c r="E35" i="47"/>
  <c r="E36" i="47"/>
  <c r="AE17" i="36" s="1"/>
  <c r="F36" i="47"/>
  <c r="AF17" i="36" s="1"/>
  <c r="L36" i="47"/>
  <c r="AL17" i="36" s="1"/>
  <c r="P61" i="47"/>
  <c r="P62" i="47"/>
  <c r="P63" i="47"/>
  <c r="P64" i="47"/>
  <c r="D72" i="46"/>
  <c r="D73" i="46" s="1"/>
  <c r="D35" i="46" s="1"/>
  <c r="P57" i="46"/>
  <c r="D69" i="46"/>
  <c r="D70" i="46" s="1"/>
  <c r="D36" i="46" s="1"/>
  <c r="AD16" i="36" s="1"/>
  <c r="P58" i="46"/>
  <c r="E72" i="46"/>
  <c r="E73" i="46" s="1"/>
  <c r="E35" i="46" s="1"/>
  <c r="K72" i="46"/>
  <c r="K73" i="46" s="1"/>
  <c r="K35" i="46" s="1"/>
  <c r="E69" i="46"/>
  <c r="E70" i="46" s="1"/>
  <c r="E36" i="46" s="1"/>
  <c r="AE16" i="36" s="1"/>
  <c r="K69" i="46"/>
  <c r="K70" i="46" s="1"/>
  <c r="K36" i="46" s="1"/>
  <c r="AK16" i="36" s="1"/>
  <c r="P59" i="46"/>
  <c r="F72" i="46"/>
  <c r="F73" i="46" s="1"/>
  <c r="F35" i="46" s="1"/>
  <c r="L72" i="46"/>
  <c r="L73" i="46" s="1"/>
  <c r="L35" i="46" s="1"/>
  <c r="P60" i="46"/>
  <c r="F69" i="46"/>
  <c r="F70" i="46" s="1"/>
  <c r="F36" i="46" s="1"/>
  <c r="AF16" i="36" s="1"/>
  <c r="L69" i="46"/>
  <c r="L70" i="46" s="1"/>
  <c r="L36" i="46" s="1"/>
  <c r="AL16" i="36" s="1"/>
  <c r="G72" i="46"/>
  <c r="G73" i="46" s="1"/>
  <c r="G35" i="46" s="1"/>
  <c r="M72" i="46"/>
  <c r="M73" i="46" s="1"/>
  <c r="M35" i="46" s="1"/>
  <c r="G69" i="46"/>
  <c r="G70" i="46" s="1"/>
  <c r="G36" i="46" s="1"/>
  <c r="AG16" i="36" s="1"/>
  <c r="M69" i="46"/>
  <c r="M70" i="46" s="1"/>
  <c r="M36" i="46" s="1"/>
  <c r="AM16" i="36" s="1"/>
  <c r="P61" i="46"/>
  <c r="H72" i="46"/>
  <c r="H73" i="46" s="1"/>
  <c r="H35" i="46" s="1"/>
  <c r="N72" i="46"/>
  <c r="N73" i="46" s="1"/>
  <c r="N35" i="46" s="1"/>
  <c r="P62" i="46"/>
  <c r="H69" i="46"/>
  <c r="H70" i="46" s="1"/>
  <c r="H36" i="46" s="1"/>
  <c r="AH16" i="36" s="1"/>
  <c r="N69" i="46"/>
  <c r="N70" i="46" s="1"/>
  <c r="N36" i="46" s="1"/>
  <c r="AN16" i="36" s="1"/>
  <c r="D35" i="45"/>
  <c r="M35" i="45"/>
  <c r="R61" i="45"/>
  <c r="P60" i="45"/>
  <c r="Q60" i="45" s="1"/>
  <c r="R60" i="45" s="1"/>
  <c r="P62" i="45"/>
  <c r="O35" i="45"/>
  <c r="C6" i="48"/>
  <c r="R32" i="37"/>
  <c r="AY32" i="37"/>
  <c r="AX60" i="37"/>
  <c r="AX32" i="37"/>
  <c r="S32" i="37"/>
  <c r="R60" i="37"/>
  <c r="S60" i="37"/>
  <c r="AE25" i="40"/>
  <c r="AE23" i="40"/>
  <c r="S91" i="37" l="1"/>
  <c r="K10" i="48"/>
  <c r="J9" i="48"/>
  <c r="J7" i="48"/>
  <c r="K72" i="45"/>
  <c r="K36" i="45" s="1"/>
  <c r="AK14" i="36" s="1"/>
  <c r="D72" i="45"/>
  <c r="D36" i="45" s="1"/>
  <c r="AD14" i="36" s="1"/>
  <c r="AP14" i="36" s="1"/>
  <c r="E72" i="45"/>
  <c r="E36" i="45" s="1"/>
  <c r="AE14" i="36" s="1"/>
  <c r="J72" i="45"/>
  <c r="J36" i="45" s="1"/>
  <c r="AJ14" i="36" s="1"/>
  <c r="G72" i="45"/>
  <c r="G36" i="45" s="1"/>
  <c r="AG14" i="36" s="1"/>
  <c r="F72" i="45"/>
  <c r="F36" i="45" s="1"/>
  <c r="AF14" i="36" s="1"/>
  <c r="H81" i="40"/>
  <c r="H82" i="40" s="1"/>
  <c r="G81" i="40"/>
  <c r="G82" i="40" s="1"/>
  <c r="F81" i="40"/>
  <c r="F82" i="40" s="1"/>
  <c r="E81" i="40"/>
  <c r="E82" i="40" s="1"/>
  <c r="D81" i="40"/>
  <c r="D82" i="40" s="1"/>
  <c r="D78" i="40"/>
  <c r="D79" i="40" s="1"/>
  <c r="O78" i="40"/>
  <c r="O79" i="40" s="1"/>
  <c r="O36" i="40" s="1"/>
  <c r="AO15" i="36" s="1"/>
  <c r="N78" i="40"/>
  <c r="N79" i="40" s="1"/>
  <c r="L78" i="40"/>
  <c r="L79" i="40" s="1"/>
  <c r="L36" i="40" s="1"/>
  <c r="AL15" i="36" s="1"/>
  <c r="K78" i="40"/>
  <c r="K79" i="40" s="1"/>
  <c r="K36" i="40" s="1"/>
  <c r="AK15" i="36" s="1"/>
  <c r="J78" i="40"/>
  <c r="J79" i="40" s="1"/>
  <c r="I78" i="40"/>
  <c r="I79" i="40" s="1"/>
  <c r="H78" i="40"/>
  <c r="H79" i="40" s="1"/>
  <c r="G78" i="40"/>
  <c r="G79" i="40" s="1"/>
  <c r="F78" i="40"/>
  <c r="F79" i="40" s="1"/>
  <c r="E78" i="40"/>
  <c r="E79" i="40" s="1"/>
  <c r="O81" i="40"/>
  <c r="O82" i="40" s="1"/>
  <c r="O35" i="40" s="1"/>
  <c r="N81" i="40"/>
  <c r="N82" i="40" s="1"/>
  <c r="M81" i="40"/>
  <c r="M82" i="40" s="1"/>
  <c r="L81" i="40"/>
  <c r="L82" i="40" s="1"/>
  <c r="L35" i="40" s="1"/>
  <c r="K81" i="40"/>
  <c r="K82" i="40" s="1"/>
  <c r="K35" i="40" s="1"/>
  <c r="AQ16" i="36" a="1"/>
  <c r="AQ16" i="36" s="1"/>
  <c r="AP16" i="36"/>
  <c r="AQ17" i="36" a="1"/>
  <c r="AQ17" i="36" s="1"/>
  <c r="AP17" i="36"/>
  <c r="AQ14" i="36" a="1"/>
  <c r="AQ14" i="36" s="1"/>
  <c r="P36" i="46"/>
  <c r="P35" i="46"/>
  <c r="M35" i="40"/>
  <c r="N35" i="40"/>
  <c r="N36" i="40"/>
  <c r="AN15" i="36" s="1"/>
  <c r="M36" i="40"/>
  <c r="AM15" i="36" s="1"/>
  <c r="P35" i="47"/>
  <c r="P75" i="47"/>
  <c r="P74" i="47"/>
  <c r="P77" i="47"/>
  <c r="P36" i="47"/>
  <c r="P78" i="47"/>
  <c r="P69" i="46"/>
  <c r="P72" i="46"/>
  <c r="P70" i="46"/>
  <c r="P73" i="46"/>
  <c r="P70" i="40"/>
  <c r="P69" i="40"/>
  <c r="P68" i="40"/>
  <c r="P71" i="40"/>
  <c r="P64" i="40"/>
  <c r="P62" i="40"/>
  <c r="P61" i="40"/>
  <c r="P63" i="40"/>
  <c r="P66" i="40"/>
  <c r="P60" i="40"/>
  <c r="P67" i="40"/>
  <c r="P65" i="40"/>
  <c r="P35" i="45"/>
  <c r="Q62" i="45"/>
  <c r="R62" i="45" s="1"/>
  <c r="P71" i="45"/>
  <c r="R71" i="45" s="1"/>
  <c r="Q58" i="45"/>
  <c r="R58" i="45" s="1"/>
  <c r="P75" i="45"/>
  <c r="R57" i="45"/>
  <c r="P74" i="45"/>
  <c r="D5" i="48"/>
  <c r="D2" i="48"/>
  <c r="D3" i="48"/>
  <c r="P72" i="45" l="1"/>
  <c r="P36" i="45"/>
  <c r="P82" i="40"/>
  <c r="P79" i="40"/>
  <c r="J11" i="48"/>
  <c r="K11" i="48" s="1"/>
  <c r="K9" i="48"/>
  <c r="AQ15" i="36" a="1"/>
  <c r="AQ15" i="36" s="1"/>
  <c r="AP15" i="36"/>
  <c r="P81" i="40"/>
  <c r="P78" i="40"/>
  <c r="P35" i="40"/>
  <c r="P36"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tc={4016C85B-A447-494D-8446-F2DD50601C79}</author>
  </authors>
  <commentList>
    <comment ref="K7" authorId="0" shapeId="0" xr:uid="{57AF7951-E1EC-41EC-BE56-120E1FDA21B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7445532-D5B1-4ECA-98CD-FD5D7E158754}">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50AEE25-EC29-43DA-95A9-D4FD20BA9C8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334315B-6DE4-452D-A678-5EC36BB675F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BF14EA4E-16A3-4840-80F7-7D9342738C09}">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E8B2AE85-CA96-4567-AC4A-B532258169B9}">
      <text>
        <r>
          <rPr>
            <sz val="9"/>
            <color indexed="81"/>
            <rFont val="Tahoma"/>
            <family val="2"/>
          </rPr>
          <t>En este campo se diligencia el nombre de la actividad del proyecto de inversión</t>
        </r>
      </text>
    </comment>
    <comment ref="A21" authorId="0" shapeId="0" xr:uid="{09E954AE-0809-4B7A-8272-CB204B32F3A4}">
      <text>
        <r>
          <rPr>
            <sz val="9"/>
            <color indexed="81"/>
            <rFont val="Tahoma"/>
            <family val="2"/>
          </rPr>
          <t>Valor de la reserva constituida al inicio de la vigencia</t>
        </r>
      </text>
    </comment>
    <comment ref="AD21" authorId="0" shapeId="0" xr:uid="{2379C265-B541-4A23-88BE-A92C7F039B2F}">
      <text>
        <r>
          <rPr>
            <sz val="9"/>
            <color indexed="81"/>
            <rFont val="Tahoma"/>
            <family val="2"/>
          </rPr>
          <t>Ajustar las sumatorias en las formulas de compromisos y giros según el periodo según corresponda</t>
        </r>
      </text>
    </comment>
    <comment ref="A22" authorId="0" shapeId="0" xr:uid="{B67F681F-1901-4632-B397-E1C7BDA87791}">
      <text>
        <r>
          <rPr>
            <sz val="9"/>
            <color indexed="81"/>
            <rFont val="Tahoma"/>
            <family val="2"/>
          </rPr>
          <t>Programación de acuerdo de desempleño en la ejecución de giros para cada mes de la vigencia.</t>
        </r>
      </text>
    </comment>
    <comment ref="A23" authorId="0" shapeId="0" xr:uid="{412C6367-71BA-452E-A044-2399A771529B}">
      <text>
        <r>
          <rPr>
            <sz val="9"/>
            <color indexed="81"/>
            <rFont val="Tahoma"/>
            <family val="2"/>
          </rPr>
          <t>Liberaciones de reservas realizadas en cada mes de la vigencia.</t>
        </r>
      </text>
    </comment>
    <comment ref="A24" authorId="0" shapeId="0" xr:uid="{3C9345A2-F061-427C-ABAA-BA5D5739814A}">
      <text>
        <r>
          <rPr>
            <sz val="9"/>
            <color indexed="81"/>
            <rFont val="Tahoma"/>
            <family val="2"/>
          </rPr>
          <t>Reserva definitiva después de liberaciones.</t>
        </r>
      </text>
    </comment>
    <comment ref="A25" authorId="0" shapeId="0" xr:uid="{9B255818-EAB3-4F01-A71A-5405BC50100C}">
      <text>
        <r>
          <rPr>
            <sz val="9"/>
            <color indexed="81"/>
            <rFont val="Tahoma"/>
            <family val="2"/>
          </rPr>
          <t>Ejecución de los giros de la reserva para mes</t>
        </r>
      </text>
    </comment>
    <comment ref="A28" authorId="2" shapeId="0" xr:uid="{92FEAD84-9F99-4304-BC3D-5804CEE2C19F}">
      <text>
        <r>
          <rPr>
            <sz val="9"/>
            <color indexed="81"/>
            <rFont val="Tahoma"/>
            <family val="2"/>
          </rPr>
          <t>En este campo se diligencia el nombre de la actividad del proyecto que se reportó con rezago en su cumplimiento físico en la vigencia anterior</t>
        </r>
      </text>
    </comment>
    <comment ref="B28" authorId="2" shapeId="0" xr:uid="{CE76B14E-7BB1-41BC-9316-EF71ADD04A86}">
      <text>
        <r>
          <rPr>
            <sz val="9"/>
            <color indexed="81"/>
            <rFont val="Tahoma"/>
            <family val="2"/>
          </rPr>
          <t>Se diligencia el rezago reportado al corte de diciembre de la vigencia anterior</t>
        </r>
      </text>
    </comment>
    <comment ref="A33" authorId="2" shapeId="0" xr:uid="{E907BDCE-F05F-4E93-B86F-CD83AAC28B77}">
      <text>
        <r>
          <rPr>
            <sz val="9"/>
            <color indexed="81"/>
            <rFont val="Tahoma"/>
            <family val="2"/>
          </rPr>
          <t>En este campo se diligencia el nombre de la actividad del proyecto de inversión</t>
        </r>
      </text>
    </comment>
    <comment ref="B33" authorId="2" shapeId="0" xr:uid="{4337274C-6B37-40C1-9859-0FFFE45B6BF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162CD920-25F3-4B3E-BCA3-4D782BDC1161}">
      <text>
        <r>
          <rPr>
            <sz val="9"/>
            <color indexed="81"/>
            <rFont val="Tahoma"/>
            <family val="2"/>
          </rPr>
          <t>Se diligencia la programación mensual de la actividad proyecto de inversión</t>
        </r>
      </text>
    </comment>
    <comment ref="A39" authorId="2" shapeId="0" xr:uid="{4DB5353B-215C-4461-B2B2-CC9E30D88CEE}">
      <text>
        <r>
          <rPr>
            <sz val="9"/>
            <color indexed="81"/>
            <rFont val="Tahoma"/>
            <family val="2"/>
          </rPr>
          <t>En este campo se diligencia el nombre de la tarea definida para la gestión de cumplimiento de la actividad del proyecto de inversión</t>
        </r>
      </text>
    </comment>
    <comment ref="B39" authorId="2" shapeId="0" xr:uid="{FF408761-0EA9-4053-9F02-C86E9242B48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Y43" authorId="3" shapeId="0" xr:uid="{4016C85B-A447-494D-8446-F2DD50601C7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evidencias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después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5BC318E-76D3-4621-B3F8-495613666A2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CF7F2910-306F-4DCF-926E-F2D428F8211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9219908-ABDE-473C-B5D3-6FEEA498687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1AFCDC34-D025-49AC-9FC8-F0F015430971}">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78FADC25-70EF-4BFB-8827-7505CDC80B87}">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BCDEB57-9FD2-488B-9193-481DF9450A9C}">
      <text>
        <r>
          <rPr>
            <sz val="9"/>
            <color indexed="81"/>
            <rFont val="Tahoma"/>
            <family val="2"/>
          </rPr>
          <t>En este campo se diligencia el nombre de la actividad del proyecto de inversión</t>
        </r>
      </text>
    </comment>
    <comment ref="A21" authorId="0" shapeId="0" xr:uid="{7C5C2336-B581-44B1-B58D-FACC91D39D06}">
      <text>
        <r>
          <rPr>
            <sz val="9"/>
            <color indexed="81"/>
            <rFont val="Tahoma"/>
            <family val="2"/>
          </rPr>
          <t>Valor de la reserva constituida al inicio de la vigencia</t>
        </r>
      </text>
    </comment>
    <comment ref="AD21" authorId="0" shapeId="0" xr:uid="{9FA2BC74-A032-4DB5-9AB4-0BF4A05BA8AD}">
      <text>
        <r>
          <rPr>
            <sz val="9"/>
            <color indexed="81"/>
            <rFont val="Tahoma"/>
            <family val="2"/>
          </rPr>
          <t>Ajustar las sumatorias en las formulas de compromisos y giros según el periodo según corresponda</t>
        </r>
      </text>
    </comment>
    <comment ref="A22" authorId="0" shapeId="0" xr:uid="{9415FA71-5FF6-42BB-9D21-351EFE0A92EC}">
      <text>
        <r>
          <rPr>
            <sz val="9"/>
            <color indexed="81"/>
            <rFont val="Tahoma"/>
            <family val="2"/>
          </rPr>
          <t>Programación de acuerdo de desempeño en la ejecución de giros para cada mes de la vigencia.</t>
        </r>
      </text>
    </comment>
    <comment ref="A23" authorId="0" shapeId="0" xr:uid="{50D747D3-28AC-4C69-A573-A6BEF66857FB}">
      <text>
        <r>
          <rPr>
            <sz val="9"/>
            <color indexed="81"/>
            <rFont val="Tahoma"/>
            <family val="2"/>
          </rPr>
          <t>Liberaciones de reservas realizadas en cada mes de la vigencia.</t>
        </r>
      </text>
    </comment>
    <comment ref="A24" authorId="0" shapeId="0" xr:uid="{96E50303-6E1E-4D5E-B254-431169AB5F27}">
      <text>
        <r>
          <rPr>
            <sz val="9"/>
            <color indexed="81"/>
            <rFont val="Tahoma"/>
            <family val="2"/>
          </rPr>
          <t>Reserva definitiva después de liberaciones.</t>
        </r>
      </text>
    </comment>
    <comment ref="A25" authorId="0" shapeId="0" xr:uid="{732A2381-6159-430F-8FFB-7400DB7128E2}">
      <text>
        <r>
          <rPr>
            <sz val="9"/>
            <color indexed="81"/>
            <rFont val="Tahoma"/>
            <family val="2"/>
          </rPr>
          <t>Ejecución de los giros de la reserva para mes</t>
        </r>
      </text>
    </comment>
    <comment ref="A28" authorId="2" shapeId="0" xr:uid="{12DBA62D-9281-4532-AF48-12C973496AF8}">
      <text>
        <r>
          <rPr>
            <sz val="9"/>
            <color indexed="81"/>
            <rFont val="Tahoma"/>
            <family val="2"/>
          </rPr>
          <t>En este campo se diligencia el nombre de la actividad del proyecto que se reportó con rezago en su cumplimiento físico en la vigencia anterior</t>
        </r>
      </text>
    </comment>
    <comment ref="B28" authorId="2" shapeId="0" xr:uid="{E8CEB343-C3C9-4EB8-875F-051B4905EF8A}">
      <text>
        <r>
          <rPr>
            <sz val="9"/>
            <color indexed="81"/>
            <rFont val="Tahoma"/>
            <family val="2"/>
          </rPr>
          <t>Se diligencia el rezago reportado al corte de diciembre de la vigencia anterior</t>
        </r>
      </text>
    </comment>
    <comment ref="A33" authorId="2" shapeId="0" xr:uid="{BBE20E46-0BDA-46F2-A162-B3883255160A}">
      <text>
        <r>
          <rPr>
            <sz val="9"/>
            <color indexed="81"/>
            <rFont val="Tahoma"/>
            <family val="2"/>
          </rPr>
          <t>En este campo se diligencia el nombre de la actividad del proyecto de inversión</t>
        </r>
      </text>
    </comment>
    <comment ref="B33" authorId="2" shapeId="0" xr:uid="{125E3E25-48A9-46A4-B7C1-75DE6E15F405}">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F2A48844-4178-44B1-AE22-6B06CDAC5AD4}">
      <text>
        <r>
          <rPr>
            <sz val="9"/>
            <color indexed="81"/>
            <rFont val="Tahoma"/>
            <family val="2"/>
          </rPr>
          <t>Se diligencia la programación mensual de la actividad proyecto de inversión</t>
        </r>
      </text>
    </comment>
    <comment ref="A39" authorId="2" shapeId="0" xr:uid="{79AC6C12-2E90-4BB1-945F-1F88AAB11C2D}">
      <text>
        <r>
          <rPr>
            <sz val="9"/>
            <color indexed="81"/>
            <rFont val="Tahoma"/>
            <family val="2"/>
          </rPr>
          <t>En este campo se diligencia el nombre de la tarea definida para la gestión de cumplimiento de la actividad del proyecto de inversión</t>
        </r>
      </text>
    </comment>
    <comment ref="B39" authorId="2" shapeId="0" xr:uid="{3A3370FA-CEB5-4A38-98FC-D05F325C5E65}">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D071EAC2-EE91-4784-BA18-388208AB463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D173F8F-4339-4782-8AA8-8880CF72AFD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BEE76E2-3D0D-41B2-9226-6C430EE101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586B100-EEBD-48AE-BBD0-31169531310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97A9FFD-E5E8-4570-9D9B-14476FFD917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F6A187E1-E7EF-427D-844A-F238D39DE15C}">
      <text>
        <r>
          <rPr>
            <sz val="9"/>
            <color indexed="81"/>
            <rFont val="Tahoma"/>
            <family val="2"/>
          </rPr>
          <t>En este campo se diligencia el nombre de la actividad del proyecto de inversión</t>
        </r>
      </text>
    </comment>
    <comment ref="A21" authorId="0" shapeId="0" xr:uid="{16D52735-39F9-4141-B4A5-A9AD61D8CB32}">
      <text>
        <r>
          <rPr>
            <sz val="9"/>
            <color indexed="81"/>
            <rFont val="Tahoma"/>
            <family val="2"/>
          </rPr>
          <t>Valor de la reserva constituida al inicio de la vigencia</t>
        </r>
      </text>
    </comment>
    <comment ref="AD21" authorId="0" shapeId="0" xr:uid="{43D28251-F09D-484F-8A44-FEB501565007}">
      <text>
        <r>
          <rPr>
            <sz val="9"/>
            <color indexed="81"/>
            <rFont val="Tahoma"/>
            <family val="2"/>
          </rPr>
          <t>Ajustar las sumatorias en las formulas de compromisos y giros según el periodo según corresponda</t>
        </r>
      </text>
    </comment>
    <comment ref="A22" authorId="0" shapeId="0" xr:uid="{42596BB3-F453-4B37-A375-5866206B410A}">
      <text>
        <r>
          <rPr>
            <sz val="9"/>
            <color indexed="81"/>
            <rFont val="Tahoma"/>
            <family val="2"/>
          </rPr>
          <t>Programación de acuerdo de desempeño en la ejecución de giros para cada mes de la vigencia.</t>
        </r>
      </text>
    </comment>
    <comment ref="A23" authorId="0" shapeId="0" xr:uid="{A1DC6DBF-D74D-473D-AD04-45E139B1A8D7}">
      <text>
        <r>
          <rPr>
            <sz val="9"/>
            <color indexed="81"/>
            <rFont val="Tahoma"/>
            <family val="2"/>
          </rPr>
          <t>Liberaciones de reservas realizadas en cada mes de la vigencia.</t>
        </r>
      </text>
    </comment>
    <comment ref="A24" authorId="0" shapeId="0" xr:uid="{09F082F0-FD0B-4FD6-B568-EAEBA544FF29}">
      <text>
        <r>
          <rPr>
            <sz val="9"/>
            <color indexed="81"/>
            <rFont val="Tahoma"/>
            <family val="2"/>
          </rPr>
          <t>Reserva definitiva después de liberaciones.</t>
        </r>
      </text>
    </comment>
    <comment ref="A25" authorId="0" shapeId="0" xr:uid="{30B15797-5083-40CA-9A73-3F53F6283132}">
      <text>
        <r>
          <rPr>
            <sz val="9"/>
            <color indexed="81"/>
            <rFont val="Tahoma"/>
            <family val="2"/>
          </rPr>
          <t>Ejecución de los giros de la reserva para mes</t>
        </r>
      </text>
    </comment>
    <comment ref="A28" authorId="2" shapeId="0" xr:uid="{B90F939B-3976-4D36-930C-D09A653F0345}">
      <text>
        <r>
          <rPr>
            <sz val="9"/>
            <color indexed="81"/>
            <rFont val="Tahoma"/>
            <family val="2"/>
          </rPr>
          <t>En este campo se diligencia el nombre de la actividad del proyecto que se reportó con rezago en su cumplimiento físico en la vigencia anterior</t>
        </r>
      </text>
    </comment>
    <comment ref="B28" authorId="2" shapeId="0" xr:uid="{74E82958-66A9-4CF9-B46B-555F2BBE5404}">
      <text>
        <r>
          <rPr>
            <sz val="9"/>
            <color indexed="81"/>
            <rFont val="Tahoma"/>
            <family val="2"/>
          </rPr>
          <t>Se diligencia el rezago reportado al corte de diciembre de la vigencia anterior</t>
        </r>
      </text>
    </comment>
    <comment ref="A33" authorId="2" shapeId="0" xr:uid="{1B6B692A-3DD0-433C-8B30-19B6BEF601EC}">
      <text>
        <r>
          <rPr>
            <sz val="9"/>
            <color indexed="81"/>
            <rFont val="Tahoma"/>
            <family val="2"/>
          </rPr>
          <t>En este campo se diligencia el nombre de la actividad del proyecto de inversión</t>
        </r>
      </text>
    </comment>
    <comment ref="B33" authorId="2" shapeId="0" xr:uid="{3E07C037-8643-4098-87C4-45CB68C69798}">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42141726-7D65-43D5-88DD-7A9167CD201E}">
      <text>
        <r>
          <rPr>
            <sz val="9"/>
            <color indexed="81"/>
            <rFont val="Tahoma"/>
            <family val="2"/>
          </rPr>
          <t>Se diligencia la programación mensual de la actividad proyecto de inversión</t>
        </r>
      </text>
    </comment>
    <comment ref="A39" authorId="2" shapeId="0" xr:uid="{504830CD-E390-4C46-AD25-F802F33D1C3A}">
      <text>
        <r>
          <rPr>
            <sz val="9"/>
            <color indexed="81"/>
            <rFont val="Tahoma"/>
            <family val="2"/>
          </rPr>
          <t>En este campo se diligencia el nombre de la tarea definida para la gestión de cumplimiento de la actividad del proyecto de inversión</t>
        </r>
      </text>
    </comment>
    <comment ref="B39" authorId="2" shapeId="0" xr:uid="{729BE474-1BCB-489E-8DA8-B82B4092DD0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tc={52512995-20B8-431B-8B61-457F61350873}</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según: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medición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 ref="AQ13" authorId="3" shapeId="0" xr:uid="{52512995-20B8-431B-8B61-457F6135087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@Miguel Giovanny Gómez López  por favor podrías ayudarme a diligenciar de manera urgente este indicador, con la descripción cualitativa del avance, evidencia del avance del periodo. la descripción cualitativa del avance acumulado, si hay retrasos y soluciones para ello si no, se indica no aplica.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5" authorId="0" shapeId="0" xr:uid="{AAD4C76F-565C-4BFB-A569-61F7ABC0A54B}">
      <text>
        <r>
          <rPr>
            <sz val="9"/>
            <color indexed="81"/>
            <rFont val="Tahoma"/>
            <family val="2"/>
          </rPr>
          <t>Se diligencia el nombre del indicador o actividad a territorializar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<sst xmlns="http://schemas.openxmlformats.org/spreadsheetml/2006/main" count="2624" uniqueCount="750">
  <si>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</si>
  <si>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</si>
  <si>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</si>
  <si>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</si>
  <si>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</si>
  <si>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</si>
  <si>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</si>
  <si>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</si>
  <si>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</si>
  <si>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</si>
  <si>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</si>
  <si>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</si>
  <si>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</si>
  <si>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</si>
  <si>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</si>
  <si>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</si>
  <si>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</si>
  <si>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</si>
  <si>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</si>
  <si>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</si>
  <si>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</si>
  <si>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</si>
  <si>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</si>
  <si>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</si>
  <si>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</si>
  <si>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</si>
  <si>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</si>
  <si>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</si>
  <si>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</si>
  <si>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</si>
  <si>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</si>
  <si>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</si>
  <si>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</si>
  <si>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</si>
  <si>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</si>
  <si>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</si>
  <si>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</si>
  <si>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</si>
  <si>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</si>
  <si>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</si>
  <si>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</si>
  <si>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</si>
  <si>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</si>
  <si>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</si>
  <si>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</si>
  <si>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</si>
  <si>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</si>
  <si>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</si>
  <si>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</si>
  <si>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</si>
  <si>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</si>
  <si>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</si>
  <si>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</si>
  <si>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</si>
  <si>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</si>
  <si>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</si>
  <si>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</si>
  <si>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</si>
  <si>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</si>
  <si>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</si>
  <si>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</si>
  <si>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</si>
  <si>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</si>
  <si>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</si>
  <si>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</si>
  <si>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</si>
  <si>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</si>
  <si>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</si>
  <si>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</si>
  <si>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</si>
  <si>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</si>
  <si>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</si>
  <si>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</si>
  <si>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</si>
  <si>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</si>
  <si>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</si>
  <si>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</si>
  <si>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</si>
  <si>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</si>
  <si>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</si>
  <si>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</si>
  <si>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</si>
  <si>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</si>
  <si>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</si>
  <si>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</si>
  <si>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</si>
  <si>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</si>
  <si>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</si>
  <si>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</si>
  <si>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</si>
  <si>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</si>
  <si>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</si>
  <si>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</si>
  <si>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</si>
  <si>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</si>
  <si>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</si>
  <si>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</si>
  <si>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</si>
  <si>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</si>
  <si>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</si>
  <si>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</si>
  <si>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</si>
  <si>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</si>
  <si>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</si>
  <si>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</si>
  <si>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</si>
  <si>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</si>
  <si>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</si>
  <si>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</si>
  <si>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</si>
  <si>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</si>
  <si>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</si>
  <si>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</si>
  <si>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</si>
  <si>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</si>
  <si>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</si>
  <si>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</si>
  <si>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</si>
  <si>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</si>
  <si>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</si>
  <si>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</si>
  <si>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</si>
  <si>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</si>
  <si>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</si>
  <si>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</si>
  <si>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</si>
  <si>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</si>
  <si>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</si>
  <si>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SEP</t>
  </si>
  <si>
    <t>FORMULACION</t>
  </si>
  <si>
    <t>ACTUALIZACION</t>
  </si>
  <si>
    <t>X</t>
  </si>
  <si>
    <t>SEGUIMIENTO</t>
  </si>
  <si>
    <t>8198 - Implementación de la estrategia de transformación cultural de la Secretaría Distrital de la Mujer en Bogotá D.C.</t>
  </si>
  <si>
    <t>2. Bogotá confía en su bien-estar</t>
  </si>
  <si>
    <t>2.12. Bogotá cuida a su gente</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</si>
  <si>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</si>
  <si>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 xml:space="preserve">Formular 9 acciones de transformación cultural que promuevan y garanticen el libre ejercicio de los derechos de las mujeres y la equidad de género a través de mecanismos de cambio cultural y comportamental desarrollados con las comunidades. (Producto MGA - Documento de lineamientos Técnicos)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</si>
  <si>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</si>
  <si>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</si>
  <si>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</si>
  <si>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</si>
  <si>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</si>
  <si>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</si>
  <si>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</si>
  <si>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</si>
  <si>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</si>
  <si>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</si>
  <si>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</si>
  <si>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</si>
  <si>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</si>
  <si>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</si>
  <si>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</si>
  <si>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</si>
  <si>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</si>
  <si>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</si>
  <si>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</si>
  <si>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</si>
  <si>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</si>
  <si>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</si>
  <si>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</si>
  <si>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</si>
  <si>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 xml:space="preserve">
En septiembre se lograron importantes avances en la Estrategia de Transformación Cultural. Se finalizó y remitió al equipo la guía de formulación de documentos técnicos, incluyendo la Guía No. 2, que permitirá un seguimiento más efectivo de las acciones desarrolladas. Además, se completó el diagnóstico sobre violencias y acoso en espacios y transporte público, incorporando datos clave de frentes de obra, lo que fortalece la propuesta de acciones de cambio cultural. A pesar de que no se consolidó el diagnóstico final sobre las barreras culturales para la redistribución del cuidado (80% completado), se proyecta su finalización en octubre. También se iniciaron los procesos de planificación para las estrategias de 2024, reflejados en planes de trabajo y cronogramas. Finalmente, se avanzó en la firma de tres memorandos de entendimiento con entidades clave como DVV International, GE USAID y la Universidad El Bosque, para asegurar alianzas estratégicas.
</t>
  </si>
  <si>
    <t>Durante los meses de agosto y septiembre se consolidaron avances clave en la Estrategia de Transformación Cultural. En agosto, se completó el documento de matriz inicial para la formulación de documentos técnicos de estrategias y acciones de transformación cultural. Este documento incluye marcos de referencia, enfoques e introducciones que estructuran los futuros procesos. Quedó pendiente la Guía No. 2 relacionada con los documentos de balance, cuya finalización se logró en septiembre, permitiendo un mejor seguimiento de las acciones. En cuanto a diagnósticos, en agosto se avanzó en la identificación de barreras culturales, sociales, legales y económicas que dificultan la redistribución equitativa del cuidado. Estos avances quedaron reflejados en el documento técnico titulado "Laboratorio de soluciones para la redistribución de las labores del cuidado" (Capítulos 1 y 3). Para septiembre, se completó el diagnóstico sobre violencias y acoso en espacios y transporte público, incluyendo los frentes de obra, con una propuesta de cambio cultural en el documento "Prevención de Acoso Sexual y Otras Formas de Violencia". También se inició la planificación para la implementación de estrategias en 2024 y se avanzó en la firma de memorandos con DVV International, GE USAID y la Universidad El Bosque, fortaleciendo alianzas estratégicas.</t>
  </si>
  <si>
    <t xml:space="preserve">El diagnóstico sobre las barreras culturales y sociales de la redistribución del cuidado quedó en 80% debido a la priorización de otros requerimientos. por lo que como alternativa se propone reajustar del 50% al 30% en el mes de septiembre y el 20% restante se completará en octubre con ajustes en la distribución de tiempos en el cronograma interno de trabajo. </t>
  </si>
  <si>
    <t>Los avances logrados en la Estrategia de Transformación Cultural han generado importantes beneficios en el marco de los derechos humanos de las mujeres. La finalización de la Guía No. 2 y el avance en la identificación de barreras culturales para la redistribución equitativa del cuidado fortalecen la capacidad institucional para abordar la desigualdad de género, promoviendo el reconocimiento de los derechos de las mujeres en el ámbito del cuidado. Asimismo, el diagnóstico sobre violencias y acoso en espacios y transporte público impulsa acciones concretas de cambio cultural para proteger a las mujeres en estos entornos, garantizando su derecho a la seguridad y a una vida libre de violencias. Las alianzas estratégicas con DVV International, GE USAID y la Universidad El Bosque consolidan esfuerzos interinstitucionales que refuerzan la protección y promoción de los derechos de las mujeres en Bogotá.</t>
  </si>
  <si>
    <t xml:space="preserve">
Guía 2 seguimiento de acciones desarrolladas. Diagnóstico: violencias y acoso en espacios y transporte público incorporando datos de frentes de obra. Estrategias 2024, reflejadas en planes de trabajo y cronogramas. 3 memorandos de entendimiento: DVV International, GE USAID y Universidad El Bosque.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</si>
  <si>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</si>
  <si>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</si>
  <si>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</si>
  <si>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</si>
  <si>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</si>
  <si>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</si>
  <si>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</si>
  <si>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</si>
  <si>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</si>
  <si>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</si>
  <si>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</si>
  <si>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</si>
  <si>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</si>
  <si>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</si>
  <si>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</si>
  <si>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</si>
  <si>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</si>
  <si>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</si>
  <si>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</si>
  <si>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Desarrollar una guía estructurada que sirva como referencia para la creación de documentos técnicos enfocados en la formulación de estrategias de transformación cultural.</t>
  </si>
  <si>
    <t>Se logró consolidar el documento de matriz inicial, que sirve como guía para la la formulación de documentos técnicos de estrategias y acciones de transformación cultural, el cual contiene marcos de referencia, enfoques, introducción, entre otros, para culminar con el desarrollo de esta actividad se encuentra pendiente la guía No 2 relacionada con la elaboración de documentos de balance. 
Para el mes de septiembre, se finaliza y remite al equipo de trabajo de la Estrategia de Transformación Cultural la guía de formulación de documentos técnicos para el desarrollo de acciones. Este logro incluye la creación de la pestaña o Guía No. 2, relacionada con la elaboración de los documentos de balance de las acciones desarrolladas en el marco de la Estrategia de Transformación Cultural. Este avance permite que el equipo cuente con una herramienta técnica clara y organizada para la elaboración de los documentos de seguimiento y evaluación de las acciones, lo que contribuye al fortalecimiento de la planeación estratégica y a la coherencia en el monitoreo de las actividades.</t>
  </si>
  <si>
    <t xml:space="preserve">Agosto 
https://secretariadistritald.sharepoint.com/:f:/s/BogotCaminaSegura/ErEYkwm3ZTJHgHmDcbYV18ABhV2_Xm_hLA5SR1cNmQ7m6g?e=chq82o
Septiembre 
https://secretariadistritald.sharepoint.com/:f:/s/BogotCaminaSegura/EggU7J-fK-FHqJ1haj7YaB0BY_vb3p_P5-kkqsUu-FeKcg?e=RnY26Z
</t>
  </si>
  <si>
    <t xml:space="preserve">2. Adelantar dos diagnósticos para identificar las barreras culturales, sociales, legales y económicas que impiden la redistribución equitativa del cuidado, y sustentan las violencias de género  aplicando los respectivos modelos de cambio cultural y comportamental. </t>
  </si>
  <si>
    <t xml:space="preserve">Se avanza en la primera fase de diagnostico e identificación de factores culturales relacionados con las barreras culturales, sociales, legales y económicas que impiden la redistribución equitativa del cuidado incorporado en el documento técnico de formulación llamado "Laboratorio de soluciones para la redistribución de las labores del cuidado" (Ver capítulos 1 y 3) Así mismo de las violencias y acoso contra las mujeres en espacio y transporte público la cual se encuentra en el documento técnico de formulación desde el capítulo 1 al capítulo 8.
En septiembre se completó el diagnóstico sobre violencias y acoso en espacios y transporte público, incluyendo datos de frentes de obra. El documento "Propuesta Inicial de Acciones de Cambio Cultural" organiza los resultados entre las páginas 2-19 y 50-61, estableciendo una base sólida para futuras acciones.
Retrasos y alternativas de solución:
El diagnóstico sobre las barreras culturales y sociales de la redistribución del cuidado quedó en 80% debido a la priorización de otros requerimientos. por lo que como alternativa se propone reajustar del 50% al 30% en el mes de septiembre y el 20% restante se completará en octubre con ajustes en la distribución de tiempos en el cronograma interno de trabajo. 
</t>
  </si>
  <si>
    <t>Agosto 
https://secretariadistritald.sharepoint.com/:f:/s/BogotCaminaSegura/EjqAGpGrq4FOjG9Opvdc9yoBUeNBDQZiQUOhsXHdCXtTeQ?e=Sg7VNj
Septiembre.
https://secretariadistritald.sharepoint.com/:f:/s/BogotCaminaSegura/Et1U_3KU5g5EjMMre48xljcBYy1DyhZmbjMw3syUO9tx-w?e=qPIC6t</t>
  </si>
  <si>
    <t>3. Planificar la implementación de las estrategias, incluyendo la coordinación con otras dependencias, entidades, organizaciones locales y comunitarias. Establecer alianzas y definir roles y responsabilidades.</t>
  </si>
  <si>
    <t>En septiembre iniciaron los procesos de planificación para implementar las estrategias de transformación cultural 2024, reflejados en planes de trabajo y cronogramas, en coordinación con otras áreas y entidades. Se avanzó en la elaboración de tres memorandos de entendimiento con DVV International, GE USAID y la Universidad El Bosque.</t>
  </si>
  <si>
    <t>Septiembre
https://secretariadistritald.sharepoint.com/:f:/s/BogotCaminaSegura/EhscyWxP_tlJu8-lSiodm2YBvp8gGOz1_uD6c0ldj8TVzw?e=wVLGBb</t>
  </si>
  <si>
    <t>4. Desarrollar un informe de balance general que detalle y evalúe las acciones implementadas bajo la estrategia de transformación cultural durante el año 2024.</t>
  </si>
  <si>
    <t>Actividad no programada para el periodo de reporte</t>
  </si>
  <si>
    <t>Actividad no programada en el periodo de reporte</t>
  </si>
  <si>
    <t>*Incluir tantas filas sean necesarias</t>
  </si>
  <si>
    <t>Implementar 3 acciones de transformación cultural que promuevan la redistribución equitativa de las labores del cuidado en Bogotá. (Producto MGA - Servicio de promoción de la garantía de derechos)</t>
  </si>
  <si>
    <t>Se realiza avance en el diseño de las estrategias de acuerdo a la respectiva programación en las que a partir de la línea base se propone la matriz de consistencia y teoría de cambio, con la estrategia de transformación cultural del laboratorio de soluciones para la redistribución de las labores de cuidado. 
Así mismo, en el marco del acompañamiento a instancias distritales se realizó la mesa coordinadora del CCM del mes de agosto de 2024, con el acompañamiento técnico de la Subsecretaría del Cuidado y Políticas de Igualdad . Se  realizaron  acciones de acompañamiento para la transversalización del enfoque de género en el consejo de Bogotá. 
Septiembre 
Durante el mes de septiembre, se lograron importantes avances en la Estrategia de Transformación Cultural. La propuesta de acciones culturales Caleidoscopio, que busca trabajar con niñas y niños en la prevención de violencias y promoción de la corresponsabilidad en los cuidados, alcanzó un 40% de desarrollo. Se completaron capítulos clave como el diagnóstico, factores culturales y análisis de los modelos COM-B y Ecológico Feminista. Asimismo, se avanzó en la estrategia del laboratorio de soluciones para la redistribución del cuidado, iniciando las jornadas de trabajo para la elaboración del protocolo de acuerdos, fundamental para la implementación de los pilotajes. Aunque la actividad de consolidación de resultados no pudo completarse debido a la falta de insumos, se propuso un ajuste en el cronograma, trasladando la finalización al mes de diciembre, cuando se espera contar con los datos necesarios para la producción de los documentos.
Se realizó acompañamiento técnico al CCMB, mesa coordinadora, mesas de trabajo y Especio Autonomo. Igualmente se realiza acompañamiento al Concejo de Bogotá</t>
  </si>
  <si>
    <t>Durante los meses de agosto y septiembre, se registraron avances significativos en el marco de la Estrategia de Transformación Cultural. En agosto, se trabajó en el diseño de las estrategias programadas, utilizando la línea base para proponer una matriz de consistencia y una teoría de cambio en el laboratorio de soluciones para la redistribución de las labores de cuidado. Además, se llevó a cabo la mesa coordinadora del CCM, con la participación de la Subsecretaría del Cuidado y Políticas de Igualdad, brindando acompañamiento técnico a nivel distrital. En paralelo, se realizaron acciones para transversalizar el enfoque de género en el Consejo de Bogotá, fortaleciendo la implementación de políticas con perspectiva de igualdad.
En septiembre, el diseño de la propuesta Caleidoscopio avanzó un 40%. Esta iniciativa, enfocada en la prevención de violencias y la promoción de la corresponsabilidad en los cuidados con niñas y niños, completó capítulos esenciales como el diagnóstico, análisis de factores culturales y los modelos COM-B y Ecológico Feminista. Además, se dio inicio a las jornadas de trabajo para la elaboración del protocolo de acuerdos dentro de la estrategia del laboratorio de soluciones para la redistribución del cuidado, crucial para los pilotajes con la ciudadanía. Aunque no se pudo consolidar la actividad de resultados debido a la falta de insumos, se ajustó el cronograma para finalizar en diciembre, con los datos necesarios para la producción de los documentos.
Se ha realizado el acompañamiento técnico al  CCM y en el Concejo de Bogotá. Se realizó articulación para el acompañamiento del CCM con Universidad de los Andes, y la formulación del nuevo pacto de alcaldes y alcaldesas</t>
  </si>
  <si>
    <t xml:space="preserve">La consolidación de resultados de las acciones iniciadas en septiembre no pudo completarse durante ese mes debido a la falta de insumos necesarios. Sin embargo, la actividad avanzará conforme se obtengan los resultados en los meses siguientes, garantizando que los documentos reflejen los datos más actualizados y pertinentes para su producción final.
Como alternativa de solución, se propone un ajuste en el cronograma interno de trabajo, trasladando el porcentaje de avance  del 30% y sumarlo al 10% del mes de diciembre, para que al mes de diciembre sea de un (40%), cuando se espera contar con los insumos finales para la consolidación de los resultados. Esta medida permitirá ajustar las expectativas y asegurar que los documentos se produzcan con la información necesaria y de forma completa en el nuevo plazo establecido. 
</t>
  </si>
  <si>
    <t>Durante agosto y septiembre, los avances en la Estrategia de Transformación Cultural aportaron beneficios clave para los derechos humanos de las mujeres. El diseño de estrategias para redistribuir las labores de cuidado impulsa una mayor equidad en el trabajo de cuidado, favoreciendo el reconocimiento de los derechos de las mujeres. El apoyo técnico de la Subsecretaría del Cuidado y la transversalización del enfoque de género en el Consejo de Bogotá fortalecen la implementación de políticas con igualdad de género. La propuesta Caleidoscopio avanzó en la prevención de violencias y la corresponsabilidad en los cuidados desde la infancia, protegiendo los derechos de niñas y niños. La elaboración del protocolo de acuerdos en el laboratorio de soluciones y la reprogramación de actividades garantizan un enfoque participativo que transforma prácticas culturales para reducir las desigualdades de género.</t>
  </si>
  <si>
    <t>Caleidoscopio: trabajará prevención de violencias y promoción de la corresponsabilidad en los cuidados. Capítulos: diagnóstico, factores culturales y análisis de los modelos COM-B y Ecológico Feminista. Lab.sol.redistribución del cuidado: jornadas de trabajo para elaboración de protocolo de acuerdos</t>
  </si>
  <si>
    <t>5. Diseñar dos estrategias de transformación cultural con matrices de consistencia y teorías del cambio (a partir de la línea base de investigación)</t>
  </si>
  <si>
    <t>Agosto
Se realiza avance en el diseño de las estrategias de acuerdo a la respectiva programación en las que a partir de la línea base se propone la matriz de consistencia y teoría de cambio, con la estrategia de transformación cultural del laboratorio de soluciones para la redistribución de las labores de cuidado. Este documento actualmente cuenta con 4 capítulos que brindan el contexto del problema en Bogotá, la identificación de posibles aliadas, la identificación de comportamientos problemáticos, factores culturales asociados, entre otras. 
Septiembre 
Se ha avanzado un 40% en el diseño de la propuesta de acciones culturales Caleidoscopio, enfocada en el trabajo con niñas y niños de Bogotá. La iniciativa busca prevenir violencias y discriminación, además de promover la corresponsabilidad en los cuidados. Los capítulos finalizados incluyen el diagnóstico, factores culturales, y análisis de los modelos COM-B y Ecológico Feminista, lo que proporciona una base sólida para la siguiente fase del diseño.</t>
  </si>
  <si>
    <r>
      <t xml:space="preserve">Agosto 
https://secretariadistritald.sharepoint.com/:w:/s/BogotCaminaSegura/EQigQQA7-5BArSTr3R6K9ZsBghwEozjCVdizdPgRIei2EA?e=6Ksayw
</t>
    </r>
    <r>
      <rPr>
        <sz val="11"/>
        <color rgb="FF000000"/>
        <rFont val="Calibri"/>
        <family val="2"/>
        <scheme val="minor"/>
      </rPr>
      <t xml:space="preserve">Septiembre
https://secretariadistritald.sharepoint.com/:f:/s/BogotCaminaSegura/Eq1MQ8ogKcpDkidr945ED4AB2o7M1vT1XjghA5Q5tgZwwQ?e=mJoZdi
</t>
    </r>
  </si>
  <si>
    <t>6. Ejecutar el pilotaje de las estrategias en comunidades seleccionadas, realizar el seguimiento de su implementación y ajustar las estrategias basándose en los resultados obtenidos. Desarrollar las acciones narrativas y comunicativas de cada estrategia.</t>
  </si>
  <si>
    <t>En septiembre con el avance en el diseño de la estrategia de laboratorio de soluciones para la redistribución del cuidado, se han iniciado las jornadas de trabajo para la elaboración del protocolo de acuerdos. Este protocolo es clave para la ejecución de los pilotajes con la ciudadanía, permitiendo una mayor cohesión entre los diferentes actores involucrados y facilitando una implementación más efectiva de las soluciones propuestas.</t>
  </si>
  <si>
    <t>Septiembre
https://secretariadistritald.sharepoint.com/:f:/s/BogotCaminaSegura/EsswUr345RxNtzHcn_aCFooBbnahSkA1s6jhHknLwBCJMw?e=Uuju7W</t>
  </si>
  <si>
    <t>7. Elaborar documentos de formulación técnica que detallen el desarrollo y los resultados de las estrategias de transformación cultural. Incluir un balance de las acciones adelantadas y su impacto.</t>
  </si>
  <si>
    <t>Esta actividad, que corresponde a la consolidación de resultados de las acciones iniciadas en septiembre, no pudo llevarse a cabo durante ese mes debido a que aún no se contaban con los insumos necesarios. La producción de estos documentos dependerá de los resultados que se obtengan en los meses siguientes.
Retrasos y alternativas de solución:
Como alternativa de solución, se propone un ajuste en el cronograma interno de trabajo, trasladando el porcentaje de avance  del 30% y sumarlo al 10% del mes de diciembre, para que al mes de diciembre sea de un (40%), cuando se espera contar con los insumos finales para la consolidación de los resultados. Esta medida permitirá ajustar las expectativas y asegurar que los documentos se produzcan con la información necesaria y de forma completa.</t>
  </si>
  <si>
    <t>N/A</t>
  </si>
  <si>
    <t>8. Evaluar de manera integral las estrategias implementadas, identificar áreas de mejora y planificar ajustes para futuras intervenciones.</t>
  </si>
  <si>
    <t>Actividad no programada en el periodo del reporte.</t>
  </si>
  <si>
    <t>9. Realizar las acciones pertinentes para el desarrollo de la secretaría técnica del Consejo Consultivo de Mujeres de Bogotá, Mesa Coordinadora, Espacio Autónomo, Espacio Ampliado, según las funciones establecidas en el Decreto 364 de 2021.</t>
  </si>
  <si>
    <t>Durante el mes de agosto se convoca y asiste a la Mesa Coordinadora de agosto en la que se presenta la Estrategia Mujeres y el estado actual de la PPMYEG y de la PPASP. Se acompaña la sesión mensual del Espacio Autónomo con levantamiento del acta. Se acompaña técnicamente dos procesos: a) Pacto de corresponsabilidad, en el cual se analiza la información reportada por las referentes de género sobre el avance en la implementación y se acompaña la construcción del nuevo pacto, a firmar por los nuevos alcaldes y alcaldesas el 19 de septiembre. b) encuentro de construcción de la memoria del espacio autónomo del CCMB, en el cual se construye conjuntamente la metodología. 
Se acompaña técnicamente 3 sesiones de trabajo para la Construcción del contenido del Pacto de Corresponsabilidad por los Derechos Humanos de las Mujeres 2024-2028 (3, 13 y 16 de septiembre). Se convoca y asiste a la reunión ordinaria de la Mesa Coordinadora de septiembre en la que se presenta un recuento del proceso para la construcción del Pacto y se acuerdan pasos a seguir. En la sesión ordinaria del Espacio Autónomo se levanta acta. Además, se da continuidad a la preparación logistica y metodológica del encuentro para la construcción de la memoria colectiva del espacio autónomo del CCMB.</t>
  </si>
  <si>
    <t>Septiembre
https://secretariadistritald.sharepoint.com/:f:/s/BogotCaminaSegura/Ek9tQ6HFzshOgEaGHE0zFI0BhSs9zJzlknMLMTfqPNN-Ug?e=Pp1t1E</t>
  </si>
  <si>
    <t>10. Acompañar técnicamente la transversalización del enfoque de género en el Concejo de Bogotá, con énfasis en las bancadas de mujeres de este órgano</t>
  </si>
  <si>
    <t xml:space="preserve">Durante el mes de agosto la Secretaría Distrital de la Mujer asistió al foro sobre ciudad púrpura convocado por la Comisión Legal de la Mujer en donde se expuso la articulación de la SDMujer con la policía para atender las violencias basadas en género. También se asistió a la bancada Bogotá 24 horas convocada por la HC Donka Atanassova en donde se discute el lanzamiento de la bancada y la SDMujer realiza acompañamiento para transversalizar el enfoque de género. Igualmente, la SDMujer asistió al debate de control político sobre comisarias de familia convocado por la HC Heidy Sánchez en donde se expuso las acciones articuladas de la entidad con la Secretaría de Integración Social en el marco de la atención a casos de violencia intrafamiliar. 
Durante el mes de septiembre, la Secretaría Distrital de la Mujer realizó la entrega de certificados del Sello de Igualdad a las Unidades de Apoyo Normativo que participaron en el ciclo de talleres para la transversalización del enfoque de género. </t>
  </si>
  <si>
    <t>Septiembre
https://secretariadistritald.sharepoint.com/:f:/s/BogotCaminaSegura/EtRZIwiLMldJt6ZjJmQekKoBMA3e9_mB0StKtA3w_8D3Bw?e=aAm038</t>
  </si>
  <si>
    <t>Desarrollar 3 acciones de transformación cultural efectivas para prevenir las violencias contra las mujeres, incluyendo campañas educativas. (Producto MGA - Servicio de promoción de la garantía de derechos)</t>
  </si>
  <si>
    <t>Se desarrolla la formulación del documento técnico de la estrategia de prevención de violencias y acoso contra las mujeres en espacio y transporte público, el cual contiene los datos de diagnostico, la línea base, la identificación del problema comportamientos problemáticos, matriz de consistencia y propuestas de acciones de cambio cultural, el cual contará con tres componentes (espacio publico, parques y calles-Transmilenio-Frentes de Obra). Dentro de la propuesta de formulación de la estrategia de transformación cultural para la prevención de la violencia y el acoso en espacio público, se ha avanzado en el desarrollo de la propuesta de la sobrilla narrativa, las acciones comunicativas y las respectivas recomendaciones en el marco del documento de propuesta de transformación cultural para la prevención de violencias en el espacio y transporte público. 
Septiembre 
En septiembre, se lograron avances clave en la Estrategia de Transformación Cultural. Se integró el capítulo sobre la prevención del acoso sexual en frentes de obra, con diagnósticos y propuestas de cambio cultural, fortaleciendo las intervenciones en entornos laborales. También se inició el pilotaje de la estrategia, con mesas de trabajo junto a la Universidad El Bosque y Transmilenio, enfocadas en laboratorios de cocreación con mujeres en transporte público. Además, se realizaron reuniones con Generando Equidad y la Universidad El Bosque para desarrollar una sinergia comunicativa en la prevención de violencias en espacios públicos y transporte.</t>
  </si>
  <si>
    <t>Durante los meses de agosto y septiembre, se han logrado avances importantes en la Estrategia de Transformación Cultural para la prevención de la violencia y el acoso contra las mujeres en espacios públicos y transporte. En agosto, se completó la matriz inicial para la formulación de documentos técnicos, que incluye marcos de referencia y enfoques, además de avanzar en la sombrilla narrativa, un eje conceptual que articula todas las acciones propuestas. Esta sombrilla asegura la coherencia de las intervenciones, detallada en el capítulo 15 del documento técnico, que incluye campañas informativas, intervenciones artísticas y estrategias pedagógicas para transformar normas y comportamientos que perpetúan la violencia y el acoso.
En septiembre, se integró al documento el capítulo sobre la prevención del acoso sexual en frentes de obra, con diagnósticos y análisis de factores culturales. Además, se avanzó en la priorización de propuestas de cambio cultural, lo que permitió un enfoque más detallado sobre cómo abordar el acoso en estos entornos laborales.
También se inició el pilotaje de la estrategia de transformación cultural mediante mesas de trabajo con la Universidad El Bosque y Transmilenio, en las que se desarrollaron laboratorios de cocreación visual y cartográfica con mujeres de Bogotá que utilizan el transporte público. Esto facilitó la participación ciudadana y permitió avanzar en la formulación de soluciones a partir de sus experiencias.
Por otra parte, se llevaron a cabo reuniones de trabajo con Generando Equidad y la Universidad El Bosque para consolidar una sinergia comunicativa, centrada en la prevención de la violencia y el acoso en espacios públicos y transporte. Estas alianzas estratégicas fortalecerán las futuras campañas y acciones culturales, asegurando una mayor articulación entre los actores clave para garantizar el impacto en la ciudadanía.</t>
  </si>
  <si>
    <t>No se presentaron retrasos conforme a lo programado.</t>
  </si>
  <si>
    <t xml:space="preserve">Los avances en la Estrategia de Transformación Cultural benefician a las mujeres de Bogotá al fortalecer su derecho a un entorno seguro y libre de violencias. Con acciones concretas para prevenir el acoso en espacios públicos, transporte y frentes de obra, se promueven cambios culturales que protegen sus derechos. Además, se fomenta la corresponsabilidad en los cuidados y se generan alianzas estratégicas que garantizan un impacto positivo, mejorando la calidad de vida de las mujeres y promoviendo su participación activa en la transformación social.
</t>
  </si>
  <si>
    <t>Capítulo: prevención acoso sexual en frentes de obra, diagnósticos y propuestas de cambio cultural. Mesas de trabajo (U.Bosque-Transmilenio) enfocadas en laboratorios de cocreación con mujeres en transporte público.Sinergia comunicativa en prevención de violencias en espacios públicos y transporte.</t>
  </si>
  <si>
    <t>11. Diseñar una estrategia de transformación cultural para prevenir las violencias contra las mujeres, incluyendo matrices de consistencia y teorías del cambio (a partir de la línea base de investigación)</t>
  </si>
  <si>
    <t>Durante los meses de agosto y septiembre, se avanzó en la formulación del documento técnico de la estrategia de prevención de violencias y acoso contra las mujeres en espacios y transporte público. Este documento aborda detalladamente el contexto del acoso en Bogotá, con análisis cualitativos y cuantitativos sobre los comportamientos problemáticos y los factores culturales asociados, como el machismo y la normalización del acoso. En particular, se estudia la violencia en Transmilenio y en espacios solitarios como parques, analizando su impacto en los derechos humanos de las mujeres, tales como la libertad de movimiento y la seguridad.
El documento utiliza los modelos COM-B y ecológico feminista para identificar y evaluar los factores culturales que alimentan el problema. Además, propone acciones de transformación cultural, como intervenciones artísticas y pedagógicas en Transmilenio, con la participación ciudadana y campañas de sensibilización. En septiembre, se integró al documento el capítulo sobre la prevención del acoso sexual en frentes de obra, incluyendo diagnósticos, análisis culturales y propuestas de cambio, con una priorización de las acciones sugeridas. Este avance permite abordar el acoso desde diversos contextos, consolidando un enfoque integral de transformación cultural en Bogotá.</t>
  </si>
  <si>
    <t>https://secretariadistritald.sharepoint.com/:x:/s/BogotCaminaSegura/EdG5GPoIaEZMpqqVMbcf5RsBX4-6ozbBhCtvihlnsun1-g?e=fTxwOC
Septiembre 
https://secretariadistritald.sharepoint.com/:f:/s/BogotCaminaSegura/Egivk8RioCZLi_KZbEl1Y6cBq3CQK7R_Zzn6jTi9bg774Q?e=OW2a1y</t>
  </si>
  <si>
    <t xml:space="preserve">12. Desarrollar el pilotaje de la estrategia en comunidades seleccionadas, realizar el seguimiento de su implementación y ajustar las estrategias basándose en los resultados obtenidos. </t>
  </si>
  <si>
    <t>En septiembre se inició el pilotaje de la estrategia mediante mesas de trabajo con la Universidad El Bosque y Transmilenio. Estas mesas están enfocadas en el desarrollo de laboratorios de cocreación cartográfica y visual con mujeres en transporte público. Se consolidó un plan de trabajo que decanta en un primer espacio de pilotaje. Estas acciones permiten una mayor participación ciudadana, específicamente de las mujeres, en el diseño de soluciones visuales y culturales que aborden el acoso sexual en transporte público.</t>
  </si>
  <si>
    <t>Septiembre
https://secretariadistritald.sharepoint.com/:f:/s/BogotCaminaSegura/EnM9nekge0lPuyD2jyZWJZQBk859ES1AIAa19w_sLfZV5w?e=W2yWD7</t>
  </si>
  <si>
    <t>13. Idear  las acciones narrativas y comunicativas de cada estrategia.</t>
  </si>
  <si>
    <t>En agosto, se logró un avance significativo en la formulación de la estrategia de transformación cultural para la prevención de la violencia y el acoso en espacios públicos y transporte. En particular, se desarrolló la sombrilla narrativa, que articula todas las acciones propuestas, asegurando coherencia y efectividad en las intervenciones. Este enfoque conceptual, detallado en el capítulo 15 (páginas 46 a 49), sirve como eje que unifica las actividades bajo un mensaje claro, orientado a sensibilizar y movilizar a la ciudadanía en torno a la prevención de violencias de género. Se han diseñado acciones comunicativas clave, incluyendo campañas informativas, intervenciones artísticas y estrategias pedagógicas que buscan transformar normas y comportamientos que perpetúan la violencia y el acoso.
En septiembre se llevaron a cabo reuniones de trabajo con Generando Equidad y la Universidad El Bosque para desarrollar una sinergia comunicativa. Esta colaboración es clave para articular acciones de cambio cultural enfocadas en la prevención de la violencia y el acoso en espacios públicos y transporte. El desarrollo de estas alianzas fortalece la cohesión entre las diferentes partes interesadas, aumentando el impacto de las futuras acciones comunicativas y culturales.</t>
  </si>
  <si>
    <t xml:space="preserve">Agosto
https://secretariadistritald.sharepoint.com/:w:/s/BogotCaminaSegura/EcFVCbU2lzBFoxGrIvBFfJ8BjE6wtqYX7lrZciB5HzjAWw?e=dGLLhb
Septiembre
https://secretariadistritald.sharepoint.com/:f:/s/BogotCaminaSegura/EpnndnDF0yBImSYbYLPTG4MBbv4vy3FVY__d30bqkUWD_g?e=7vBHZe
</t>
  </si>
  <si>
    <t>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t>
  </si>
  <si>
    <t>Durante los meses de agosto y septiembre se avanzó en la revisión y elaboración de un documento preliminar que presenta el diagnóstico inicial sobre los estereotipos de las mujeres en el deporte. Este análisis se enmarca en los derechos fundamentales de las mujeres, tales como el Derecho a la Igualdad y la No Discriminación, el Derecho a una Vida Libre de Violencia y Discriminación, el Derecho a la Participación y Representación Equitativa, y el Derecho a la Educación y Sensibilización en Igualdad de Género. Estos avances son fundamentales para identificar las barreras que enfrentan las mujeres en el ámbito deportivo, y para establecer propuestas de cambio cultural que contribuyan a la equidad de género en el deporte. El trabajo acumulado en este periodo provee una base sólida para futuras intervenciones y acciones que busquen erradicar los estereotipos y promover la igualdad en todos los niveles del deporte.
El 12 de septiembre, se realizó una submesa de género para evaluar las sesiones de sensibilización del decreto 053 con enfoque de género. Se realizó acompañamiento a los Puestos de Mando Unificados para el mes de septiembre. Se propuso un plan de acción para el trabajo de las consejeras territoriales en el presente periodo.</t>
  </si>
  <si>
    <t>Acompañamiento técnico para el fortalecimiento del derecho a la participación de las mujeres en las diferentes instancias priorizadas, para el posicionamiento de sus agendas.</t>
  </si>
  <si>
    <t xml:space="preserve">Revisión y elaboración documento: Diagnostico sobre estereotipos - mujeres en el deporte, se enmarca en: Der.a la Igualdad y la No Discriminación; Der.Vida Libre de Violencia y Discriminación; Der.a Participación y Representación Equitativa y Der.a Educación y Sensibilización en Igualdad de Género. </t>
  </si>
  <si>
    <t>14. Adelantar la revisión de documentos diagnósticos y complementar las acciones de investigación para la consolidación de la línea base de una estrategia que promueva y garantice el libre ejercicio de los derechos de las mujeres y la equidad de género.</t>
  </si>
  <si>
    <t>Se adelantó el ejercicio de revisión y elaboración de un documento inicial de transformación cultural para la eliminación de imaginarios y estereotipos sobre las mujeres en el deporte, y que contiene un diagnostico inicial entre las páginas 5 y 15 de dicho documento, igualmente incorpora un análisis sobre la afectación de esta problemática en los derechos humanos de las mujeres y que se relacionan a continuación.  
1) Derecho a una Vida Libre de Violencia y Discriminación. 
2) Derecho a la Participación y a la Representación Equitativa. 
3) Derecho a la Educación y Sensibilización en Igualdad de Género.
En el mes de septiembre, se logró la elaboración de una presentación que incluye datos clave sobre las violencias y la afectación de los derechos de las mujeres en el entorno deportivo del ciclismo. Este trabajo se realizó en articulación con la Dirección de Derechos y Diseño de Política. Además, se elaboró un documento general que recopila los resultados de la investigación, con información cualitativa y cuantitativa, que se integrará al documento de la Estrategia de Transformación Cultural. Estos avances permiten visibilizar problemáticas específicas en el ámbito deportivo, aportando una base sólida para futuras acciones de cambio cultural</t>
  </si>
  <si>
    <t>https://secretariadistritald.sharepoint.com/:f:/s/BogotCaminaSegura/Eu4N-xyBKChHnAQz69FsUWEBCRswyizXUXS7hOc1BJ4Y4Q?e=vksH3M
Septiembre
https://secretariadistritald.sharepoint.com/:f:/s/BogotCaminaSegura/EqABrL0MqthBgWAQStdJpFsBPzAzK9oJ8GUnO_ECgrPQ2w?e=Zx3r31</t>
  </si>
  <si>
    <t xml:space="preserve">15. Avanzar en el diseño de una estrategia de transformación cultural que promueva y garantice el libre ejercicio de los derechos de las mujeres y la equidad de género (a partir de la línea base de investigación) </t>
  </si>
  <si>
    <t xml:space="preserve">Actividad no programada para el periodo reportado. </t>
  </si>
  <si>
    <t>16.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t>
  </si>
  <si>
    <t xml:space="preserve">Se realiza submesa de género el día 14 de agosto,  con el fin de realizar evaluación de las sesiones de sensibilización del decreto 053 con enfoque de género.  No se realizó Puesto de Mando Unificado para el mes de agosto.
Se realiza reunión interna de trabajo movilización y protesta social, el día 06 de septiembre para determinar las acciones conjuntas tanto en Puesto de Mando Unificado como en terreno para el día 28 de septiembre denominado Día por la Despenalización y Legalización del Aborto 
Se realiza reunión Secretaría Técnica Decreto 053-2023, el día 12 de septiembre  para realizar coordinación conjunta entre las entidades sobre las acciones que viene desarrollando desde el sector mujer dentro de la Submesa para la Garantía de los Derechos de las mujeres, diversidades, disidencias sexuales y de género y la Secretaría Técnica de la instancia que está a cargo de la Dirección de Derechos Humanos de Gobierno.
Se realiza segundo encuentro manejo universidades públicas en escenarios de protesta. el día 16 de septiembre, con el fin de  consolidar propuestas para el abordaje de la situación actual de las universidades públicas.
Se realiza reunión externa escenario protesta social, el día 18 de septiembre plan de trabajo entre la Secretaría Distrital de la Mujer y la Secretaría Distrital de Gobierno para la Submesa de Género.
Se realiza Puesto de Mando Unificado apoyo reformas del Gobierno Nacional, el día 18 de septiembre, con el fin de realizar acompañamiento por parte de la Secretaría Distrital de la Mujer como firmante del Decreto 053 de 2023.
Se realiza reunión extraordinaria del Decreto 053 de 2023, el día 20 de septiembre con el fin de  la movilización el día 25 de septiembre día por la Despenalización y Legalización del Aborto.
Se realiza Puesto de Mando Unificado despenalización y legalización Aborto el día 28 de septiembre, con el fin de realizar acompañamiento por parte de la Secretaría Distrital de la Mujer como firmante del Decreto 053 de 2023.
</t>
  </si>
  <si>
    <t>https://secretariadistritald.sharepoint.com/:f:/s/BogotCaminaSegura/EjGG13hay6lOve_c8QI_XWgBWLH24DZkBba71WXCGCd55g?e=F2b1OU</t>
  </si>
  <si>
    <t>17. Socializar e implementar la hoja de ruta para incorporar los enfoques de derechos de las mujeres, de género y diferencial, mediante el acompañamiento técnico a dos instancias de participación del Distrito Capital, priorizadas por la Subsecretaría del Cuidado y Políticas de Igualdad</t>
  </si>
  <si>
    <t>Realizada reunión el día 13 de agosto, con el fin de realizar presentación de la nueva Subsecretaria del Cuidado y Políticas de Igualdad y proponer plan de acción para el trabajo de las consejeras territoriales durante este periodo.
En el mes de septiembre Realizado plan de acción CTPD, con el fin de realizar acompañamiento y fortalecimiento de los derechos de las mujeres a las consejeras territoriales CTPD.</t>
  </si>
  <si>
    <t>https://secretariadistritald.sharepoint.com/:f:/s/BogotCaminaSegura/ErDpu_tkZTtJuO_72kGsfkYBz1rUtW9H2n2gW8wmfE6z_Q?e=WUpOxR</t>
  </si>
  <si>
    <t>Página 2 de 4</t>
  </si>
  <si>
    <t xml:space="preserve">PROGRAMACIÓN </t>
  </si>
  <si>
    <t>SOLUCIONES PROPUESTAS PARA RESOLVER LOS RETRASOS Y FACTORES LIMITANTES PARA EL CUMPLIMIENTO</t>
  </si>
  <si>
    <t>PRODUCTO INSTITUCIONAL (PMR):</t>
  </si>
  <si>
    <t>Servicio de coordinación del Sistema Distrital de Cuidado y Servicios Complementarios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</si>
  <si>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</si>
  <si>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</si>
  <si>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</si>
  <si>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</si>
  <si>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</si>
  <si>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</si>
  <si>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</si>
  <si>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</si>
  <si>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Implementar acciones de transformación cultural que promuevan la redistribución equitativa de las labores del cuidado en Bogotá.</t>
  </si>
  <si>
    <t xml:space="preserve">Número de personas que participan de las acciones y procesos de transformación cultural para las redistribución de los trabajos de cuidado no remunerados. </t>
  </si>
  <si>
    <t>Número de personas vinculadas a los talleres de cambio cultural</t>
  </si>
  <si>
    <t>Suma</t>
  </si>
  <si>
    <t xml:space="preserve">número </t>
  </si>
  <si>
    <t xml:space="preserve">sumatoria de personas participantes. </t>
  </si>
  <si>
    <t>Profesional/contratista responsable de instrumentos de planeación 2024</t>
  </si>
  <si>
    <t xml:space="preserve">Mensual </t>
  </si>
  <si>
    <t>Plan de acción del proyecto - SIMISIONAL</t>
  </si>
  <si>
    <t>Septiembre.
Se realizaron un total de 13 actividades de transformación cultural para aportar al reconocimiento y la redistribución de los trabajos de cuidados no remunerados. Se implementaron los módulos "A cuidar se aprende" y "Cuidamos a las que nos cuidan". Estas actividades se desarrollaron en las unidades operativas del Sistema de Cuidado: Manzanas del cuidado y otras unidades operativas.</t>
  </si>
  <si>
    <t>Se han realizaron un total de 13 actividades de transformación cultural para aportar al reconocimiento y la redistribución de los trabajos de cuidados no remunerados. Se implementaron los módulos "A cuidar se aprende" y "Cuidamos a las que nos cuidan". Estas actividades se desarrollaron en las unidades operativas del Sistema de Cuidado: Manzanas del cuidado y otras unidades operativas.</t>
  </si>
  <si>
    <t>Las acciones iniciaron a mediados de septiembre debido a las demoras para acordar las manzanas priorizadas entre la estrategia de Transformaciones Culturales de la Subsecretaría de Políticas de Igualdad y el liderazgo del Sistema Distrital del Cuidado.</t>
  </si>
  <si>
    <t>Se realizaran nuevas convocatorias con diferentes aliadas del Sistema de cuidado y la Estrategia para llegar a la meta de septiembre y octubre.</t>
  </si>
  <si>
    <t>M1. Formular 9 acciones de transformación cultural que promuevan y garanticen el libre ejercicio de los derechos de las mujeres y la equidad de género a través de mecanismos de cambio cultural y comportamental desarrollados con las comunidades.</t>
  </si>
  <si>
    <t xml:space="preserve">Número de documentos técnicos desarrollados que contienen estrategias de transformación cultural, revisados y aprobados. </t>
  </si>
  <si>
    <t xml:space="preserve">Sumatoria del número de documentos técnicos formulados. </t>
  </si>
  <si>
    <t xml:space="preserve">Sumatoria de documentos producidos </t>
  </si>
  <si>
    <t>Durante el periodo de reporte, se avanzó en la formulación del documento técnico para la acción de transformación cultural enfocada en la prevención de violencias y acoso en transporte y espacio público, abarcando tres componentes diferenciados: Transmilenio, calles y parques, y frentes de obra. Este documento, que se ajusta según las articulaciones con dependencias y entidades aliadas, presenta un avance del 70% y se espera finalizar entre octubre y noviembre.
Asimismo, se ha trabajado en el documento técnico de la estrategia del Laboratorio de Soluciones para la Redistribución de los Trabajos de Cuidado, que cuenta con un 60% de progreso.
Finalmente, se inició la formulación del documento de transformación cultural Caleidoscopio, destinado a la prevención de violencias, discriminación y la promoción de la corresponsabilidad en los trabajos de cuidado con niñas y niños, el cual se encuentra en un 50% de avance.</t>
  </si>
  <si>
    <t>https://secretariadistritald.sharepoint.com/:b:/s/BogotCaminaSegura/EcOOl3MsjxdHiwJpPbmv7F0B8cCGq1_P9VbGx8RFKwfA0g?e=eiOU48
https://secretariadistritald.sharepoint.com/:b:/s/BogotCaminaSegura/ESD19aneqfNImRWUsXXZ1oIB1PoiBxpMhUcOwofMYwYODg?e=vgkouI
https://secretariadistritald.sharepoint.com/:w:/s/BogotCaminaSegura/EQigQQA7-5BArSTr3R6K9ZsBghwEozjCVdizdPgRIei2EA?e=BnZP5u</t>
  </si>
  <si>
    <t>Durante el periodo de reporte, se avanzó significativamente en la formulación de documentos clave para la transformación cultural. El documento técnico para la prevención de violencias y acoso en transporte y espacio público, con tres componentes específicos (Transmilenio, calles y parques, y frentes de obra), alcanzó un 70% de avance, con finalización prevista para octubre o noviembre. Paralelamente, se trabajó en el documento del Laboratorio de Soluciones para la Redistribución de los Trabajos de Cuidado, que tiene un 60% de progreso. Además, se inició la formulación de Caleidoscopio, una estrategia orientada a la prevención de violencias y la promoción de corresponsabilidad en los trabajos de cuidado con niñas y niños, con un 50% de avance.</t>
  </si>
  <si>
    <t>No aplica</t>
  </si>
  <si>
    <t>1) Documento: Prevención violencias y acoso en transporte y espacio público. 2) Laboratorio de Soluciones para la Redistribución de Trabajos de Cuidado. 3) Caleidoscopio, estrategia orientada a la prevención de violencias y promoción de corresponsabilidad en trabajos de cuidado con niñas y niños.</t>
  </si>
  <si>
    <t>suma</t>
  </si>
  <si>
    <t>M3. Implementar 3 acciones de transformación cultural que promuevan la redistribución equitativa de las labores del cuidado en Bogotá. (Producto MGA - Servicio de promoción de la garantía de derechos)</t>
  </si>
  <si>
    <t>Número de estrategias de transformación cultural implementadas.</t>
  </si>
  <si>
    <t xml:space="preserve">Sumatoria del número de estrategias de transformación cultural implementadas. </t>
  </si>
  <si>
    <t xml:space="preserve">Sumatoria de estrategias implementadas </t>
  </si>
  <si>
    <t xml:space="preserve">Plan de acción del proyecto </t>
  </si>
  <si>
    <t>Septiembre
Durante el periodo de reporte, se avanzó en dos de las estrategias de transformación cultural para el reconocimiento y la redistribución de los trabajos de cuidados no remunerados (TCNR), así:
1. Partiendo del documento técnico "Laboratorio de Soluciones para la Redistribución de los Trabajos de Cuidado “se avanzó en la primera versión del documento "Protocolo de acuerdos" el cual fungirá como eje central del Laboratorio, facilitando y guiando las conversaciones de las familias beneficiaras de los laboratorios para la redistribución de los TCNR.
2. Se inicia la implementación de la estrategia de transformaciones culturales y cuidado en las unidades operativas del Sistema Distrital del Cuidado, para esto se formuló la matriz de consistencia de la estrategia, y se hizo revisión del conjunto de metodologías de las sensibilizaciones que se realizan con la estrategia de Asistencia en Casa del Sistema Distrital del Cuidado. A demás, se da inicio de la operación en 12 manzanas del cuidado, según se acordó con la dirección del Sistema.</t>
  </si>
  <si>
    <t>Protocolo de acuerdos:
https://secretariadistritald-my.sharepoint.com/:b:/g/personal/jdcortes_sdmujer_gov_co/ERZY7vdye5lPrrCkLZKpDtoBiOxrrGiF2IcZhVwkq9pQ0w?e=wMZuXZ 
Acciones de transformación cultural y cuidado:
https://secretariadistritald-my.sharepoint.com/:x:/g/personal/jdcortes_sdmujer_gov_co/EbKwAZungqRIpS_F0zoocR0BmRWbxiji-9PblEaQwKiohg?e=aYYCYK
Matriz de consistencia TCYC: https://secretariadistritald-my.sharepoint.com/:b:/g/personal/jdcortes_sdmujer_gov_co/EVGc9p-ePT1IuB55WuWRjOIBK2H3tj5U8PeehY43CR2heA?e=hiiLjc</t>
  </si>
  <si>
    <t xml:space="preserve">Durante el periodo de reporte, se avanzó en dos de las estrategias de transformación cultural para el reconocimiento y la redistribución de los trabajos de cuidados no remunerados (TCNR), así:
1. Partiendo del documento técnico "Laboratorio de Soluciones para la Redistribución de los Trabajos de Cuidado “se avanzó en la primera versión del documento "Protocolo de acuerdos" el cual fungirá como eje central del Laboratorio, facilitando y guiando las conversaciones de las familias beneficiaras de los laboratorios para la redistribución de los TCNR.
2. Se inicia la implementación de la estrategia de transformaciones culturales y cuidado en las unidades operativas del Sistema Distrital del Cuidado, para esto se formuló la matriz de consistencia de la estrategia, y se hizo revisión del conjunto de metodologías de las sensibilizaciones que se realizan con la estrategia de Asistencia en Casa del Sistema Distrital del Cuidado. A demás, se da inicio de la operación en 12 manzanas del cuidado, según se acordó con la dirección del Sistema.
</t>
  </si>
  <si>
    <t>1) Protocolo de acuerdos, facilita y guía conversaciones de familias beneficiaras. 2) Estrategia de transformaciones culturales y cuidado, matriz : consistencia de la estrategia, revisión de metodologías de las sensibilizaciones de la estrategia (Asistencia en Casa), operación 12 manzanas de cuidado</t>
  </si>
  <si>
    <t>decreciente</t>
  </si>
  <si>
    <t>M4. Desarrollar 3 acciones de transformación cultural efectivas para prevenir las violencias contra las mujeres, incluyendo campañas educativas. (Producto MGA - Servicio de promoción de la garantía de derechos)</t>
  </si>
  <si>
    <t>Septiembre
Durante el periodo de reporte, se avanzó en la consolidación de la estrategia de transformación cultural para para la prevención y la eliminación de violencias basadas en género hacia las mujeres, así:
1.	Se avanzo en el documento de plan de acción de la estrategia para la prevención y la eliminación de violencias basadas en género hacia las mujeres.
2.	Se avanzó en el diseño e inicio de implementación del laboratorio “Acoso entre líneas” que busca prevenir el acoso en espacios y transporte público, por medio de la finalización del documento, así como la revisión y él envió del memorando de entendimiento con la Universidad del Bosque para la implementación del laboratorio y su presentación en el marco de la conmemoración del 25 de noviembre.
3.	Respecto a la consolidación de una estrategia narrativa y comunicativa para la prevención y eliminación de las violencias basadas en género se avanzó en el memorando de entendimiento con Generando Equidad de USAID, bajo el cual se financiará la contratación de un comic cuyo objetivo es tener perspectivas visuales diferente que aporten a la recordación de la estrategia y permitirá su difusión de forma física y digital.</t>
  </si>
  <si>
    <t>Septiembre
https://secretariadistritald.sharepoint.com/:f:/s/BogotCaminaSegura/EgVER33aJPRCn-X7zurFc8MByoxoEg89Xg2tGMLxCispMQ?e=cKgmsm</t>
  </si>
  <si>
    <t>Septiembre
Durante el periodo de reporte, se avanzó en la consolidación de la estrategia de transformación cultural para para la prevención y la eliminación de violencias basadas en género hacia las mujeres, así:
1.	Se avanzo en el documento de plan de acción de la estrategia para la prevención y la eliminación de violencias basadas en género hacia las mujeres.
2.	Se avanzó en el diseño e inicio de implementación del laboratorio “Acoso entre líneas” que busca prevenir el acoso en espacios y transporte público, por medio de la finalización del documento, así como la revisión y él envió del memorando de entendimiento con la Universidad del Bosque para la implementación del laboratorio y su presentación en el marco de la conmemoración del 25 de noviembre.
3.	Respecto a la consolidación de una estrategia narrativa y comunicativa para la prevención y eliminación de las violencias basadas en género se avanzó en el memorando de entendimiento con Generando Equidad de USAID, bajo el cual se financiará la contratación de un comic cuyo objetivo es xxx y permitirá su difusión de forma física y digital.</t>
  </si>
  <si>
    <t>constante</t>
  </si>
  <si>
    <t>M5. 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t>
  </si>
  <si>
    <t>Actividad no programada para en el periodo de reporte, sin embargo en septiembre se adelantó el ejercicio de revisión y elaboración de un documento preliminar que contiene el diagnostico inicial sobre los estereotipos de las mujeres en el deporte, y que  se enmarca en el Derecho a la Igualdad y la No Discriminación; Derecho a una Vida Libre de Violencia y Discriminación; Derecho a la Participación y a la Representación Equitativa y Derecho a la Educación y Sensibilización en Igualdad de Género.</t>
  </si>
  <si>
    <t>https://secretariadistritald.sharepoint.com/:f:/s/BogotCaminaSegura/EuLUxDauiN9GnbuLPhE_OtMB5li4o2hq05MItAx9x27lcA?e=mZWdSI</t>
  </si>
  <si>
    <t>Durante los meses de agosto y septiembre se avanzó en la revisión y elaboración de un documento preliminar que presenta el diagnóstico inicial sobre los estereotipos de las mujeres en el deporte. Este análisis se enmarca en los derechos fundamentales de las mujeres, tales como el Derecho a la Igualdad y la No Discriminación, el Derecho a una Vida Libre de Violencia y Discriminación, el Derecho a la Participación y Representación Equitativa, y el Derecho a la Educación y Sensibilización en Igualdad de Género. Estos avances son fundamentales para identificar las barreras que enfrentan las mujeres en el ámbito deportivo, y para establecer propuestas de cambio cultural que contribuyan a la equidad de género en el deporte. El trabajo acumulado en este periodo provee una base sólida para futuras intervenciones y acciones que busquen erradicar los estereotipos y promover la igualdad en todos los niveles del deporte.</t>
  </si>
  <si>
    <t>ELABORÓ</t>
  </si>
  <si>
    <t>Firma:</t>
  </si>
  <si>
    <t>APROBÓ (Según aplique Gerenta de proyecto, Líder técnica y responsable de proceso)</t>
  </si>
  <si>
    <t>REVISÓ OFICINA ASESORA DE PLANEACIÓN</t>
  </si>
  <si>
    <t xml:space="preserve">VoBo. </t>
  </si>
  <si>
    <t>Nombre: Juan David Cortes González</t>
  </si>
  <si>
    <t>Nombre: Liza Yomara García Reyes</t>
  </si>
  <si>
    <t>Nombre:</t>
  </si>
  <si>
    <t>Cargo: Contratistas - SCPI</t>
  </si>
  <si>
    <t xml:space="preserve">Cargo: Líder Técnico proyecto de inversión 8198
</t>
  </si>
  <si>
    <t>Cargo:  Subsecretaria del Cuidado y Políticas de Igualdad</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</si>
  <si>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</si>
  <si>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</si>
  <si>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</si>
  <si>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</si>
  <si>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</si>
  <si>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</si>
  <si>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</si>
  <si>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</si>
  <si>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</si>
  <si>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</si>
  <si>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</si>
  <si>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</si>
  <si>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</si>
  <si>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</si>
  <si>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</si>
  <si>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</si>
  <si>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</si>
  <si>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</si>
  <si>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</si>
  <si>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</si>
  <si>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</si>
  <si>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</si>
  <si>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</si>
  <si>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</si>
  <si>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</si>
  <si>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Meta 3. Implementar 3 acciones de transformación cultural que promuevan la redistribución equitativa de las labores del cuidado en Bogotá. (Producto MGA - Servicio de promoción de la garantía de derechos)</t>
  </si>
  <si>
    <t>LOCALIDAD</t>
  </si>
  <si>
    <t>TOTAL POR LOCALIDAD</t>
  </si>
  <si>
    <t xml:space="preserve">ENFOQUE DIFERENCIAL </t>
  </si>
  <si>
    <t>GRUPO ETARIO</t>
  </si>
  <si>
    <t>Magnitud</t>
  </si>
  <si>
    <t>Presupuesto</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</si>
  <si>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</si>
  <si>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</si>
  <si>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</si>
  <si>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</si>
  <si>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</si>
  <si>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</si>
  <si>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</si>
  <si>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</si>
  <si>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</si>
  <si>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</si>
  <si>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</si>
  <si>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</si>
  <si>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</si>
  <si>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</si>
  <si>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</si>
  <si>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</si>
  <si>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</si>
  <si>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</si>
  <si>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</si>
  <si>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</si>
  <si>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</si>
  <si>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</si>
  <si>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</si>
  <si>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</si>
  <si>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</si>
  <si>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</si>
  <si>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</si>
  <si>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</si>
  <si>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</si>
  <si>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</si>
  <si>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</si>
  <si>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</si>
  <si>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</si>
  <si>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</si>
  <si>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Meta 4: Desarrollar 3 acciones de transformación cultural efectivas para prevenir las violencias contra las mujeres, incluyendo campañas educativas. (Producto MGA - Servicio de promoción de la garantía de derechos)</t>
  </si>
  <si>
    <t>ago</t>
  </si>
  <si>
    <t>sep</t>
  </si>
  <si>
    <t>oct</t>
  </si>
  <si>
    <t>nov</t>
  </si>
  <si>
    <t>dic</t>
  </si>
  <si>
    <t>Territorialización M3 - Gestoras</t>
  </si>
  <si>
    <t>Territorialización M4 - Gestoras</t>
  </si>
  <si>
    <t>Territorialización (contratos gestoras)</t>
  </si>
  <si>
    <t>Página 4 de 4</t>
  </si>
  <si>
    <t>CONTROL DE CAMBIOS EN EL PLAN DE ACCIÓN</t>
  </si>
  <si>
    <t>Fecha de aprobación</t>
  </si>
  <si>
    <t>Cambio</t>
  </si>
  <si>
    <t>Justificación del cambio</t>
  </si>
  <si>
    <t xml:space="preserve">reprogramación tarea 2 - meta 1 </t>
  </si>
  <si>
    <t>reprogramación tarea 7 - meta 3</t>
  </si>
  <si>
    <t>Como alternativa de solución, se propone un ajuste en el cronograma interno de trabajo, trasladando el porcentaje de avance  del 30% y sumarlo al 10% del mes de diciembre, para que al mes de diciembre sea de un (40%), cuando se espera contar con los insumos finales para la consolidación de los resultados. Esta medida permitirá ajustar las expectativas y asegurar que los documentos se produzcan con la información necesaria y de forma completa.</t>
  </si>
  <si>
    <t xml:space="preserve">Reprogramación Número de personas que participan de las acciones y procesos de transformación cultural para las redistribución de los trabajos de cuidado no remunerados (1500 personas). indicador PA </t>
  </si>
  <si>
    <t>Las acciones iniciaron a mediados de septiembre debido a las demoras para acordar las manzanas priorizadas entre la estrategia de Transformaciones Culturales de la Subsecretaría de Políticas de Igualdad y el liderazgo del Sistema Distrital del Cuidado. Se realizaran nuevas convocatorias con diferentes aliadas del Sistema de cuidado y la Estrategia para llegar a la meta de septiembre y octubre.</t>
  </si>
  <si>
    <t>Meta</t>
  </si>
  <si>
    <t>Recursos 2024</t>
  </si>
  <si>
    <t>Porcentaje</t>
  </si>
  <si>
    <t>Producto MGA</t>
  </si>
  <si>
    <t>Programación 2024</t>
  </si>
  <si>
    <t>Recursos programados agosto</t>
  </si>
  <si>
    <t>Recursos comprometidos agosto</t>
  </si>
  <si>
    <t>%</t>
  </si>
  <si>
    <t>Giros programados agosto</t>
  </si>
  <si>
    <t>Giros comprometidos agosto</t>
  </si>
  <si>
    <t>Documento de Lineamientos Técnicos</t>
  </si>
  <si>
    <t>Servicios de Promoción de la Garantía de Derechos</t>
  </si>
  <si>
    <t>Techo presupuestal 2024</t>
  </si>
  <si>
    <t xml:space="preserve">por apropiar </t>
  </si>
  <si>
    <t>liberaciones</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</si>
  <si>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</si>
  <si>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</si>
  <si>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</si>
  <si>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</si>
  <si>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</si>
  <si>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</si>
  <si>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</si>
  <si>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</si>
  <si>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</si>
  <si>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</si>
  <si>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</si>
  <si>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</si>
  <si>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</si>
  <si>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</si>
  <si>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</si>
  <si>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</si>
  <si>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</si>
  <si>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</si>
  <si>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</si>
  <si>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</si>
  <si>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</si>
  <si>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</si>
  <si>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</si>
  <si>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</si>
  <si>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</si>
  <si>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</si>
  <si>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</si>
  <si>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</si>
  <si>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</si>
  <si>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</si>
  <si>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</si>
  <si>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</si>
  <si>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</si>
  <si>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</si>
  <si>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</si>
  <si>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</si>
  <si>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</si>
  <si>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</si>
  <si>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</si>
  <si>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</si>
  <si>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</si>
  <si>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Proyecto</t>
  </si>
  <si>
    <t>Honorarios</t>
  </si>
  <si>
    <t>Fecha inicio cto</t>
  </si>
  <si>
    <t>Fecha final cto</t>
  </si>
  <si>
    <t>Dependencia</t>
  </si>
  <si>
    <t>prog.ago (giro sep)</t>
  </si>
  <si>
    <t>giros.sep</t>
  </si>
  <si>
    <t>prog.sep (giro oct)</t>
  </si>
  <si>
    <t>giros.oct</t>
  </si>
  <si>
    <t>prog.oct (giro nov)</t>
  </si>
  <si>
    <t>giros.nov</t>
  </si>
  <si>
    <t>prog.nov (giro dic)</t>
  </si>
  <si>
    <t>giros.dic</t>
  </si>
  <si>
    <t>prog.dic (giro ene)</t>
  </si>
  <si>
    <t>giros.ene</t>
  </si>
  <si>
    <t>saldo a liberar (2do pago / liberación)</t>
  </si>
  <si>
    <t>Total Giros</t>
  </si>
  <si>
    <t>META 1</t>
  </si>
  <si>
    <t>META 2</t>
  </si>
  <si>
    <t>META 3</t>
  </si>
  <si>
    <t>META 4</t>
  </si>
  <si>
    <t>META 5</t>
  </si>
  <si>
    <t>0121-01</t>
  </si>
  <si>
    <t>12</t>
  </si>
  <si>
    <t>CONTRATO DE PRESTACION DE SERVICIOS</t>
  </si>
  <si>
    <t>1040</t>
  </si>
  <si>
    <t>159</t>
  </si>
  <si>
    <t>02</t>
  </si>
  <si>
    <t>ORDENES DE PAGO</t>
  </si>
  <si>
    <t>Prestar los servicios de apoyo logístico para atender las actividades misionales y/o de apoyo que adelante la Secretaría Distrital de la Mujer en cumplimiento de sus funciones, de conformidad con el anexo técnico y la oferta presentada por el contratista.</t>
  </si>
  <si>
    <t>O23011745022024028908032</t>
  </si>
  <si>
    <t>Documentos de lineamientos técnicos</t>
  </si>
  <si>
    <t>1-100-F001</t>
  </si>
  <si>
    <t>VA-Recursos distrito</t>
  </si>
  <si>
    <t>O232020200885961</t>
  </si>
  <si>
    <t>Servicios de organización y asistencia de convenciones</t>
  </si>
  <si>
    <t>PM/0121/0108/45020320289</t>
  </si>
  <si>
    <t/>
  </si>
  <si>
    <t>Servicio de promoción de la garantía de derechos</t>
  </si>
  <si>
    <t>01</t>
  </si>
  <si>
    <t>LICITACIÓN PÚBLICA</t>
  </si>
  <si>
    <t>1000629251</t>
  </si>
  <si>
    <t>NIT</t>
  </si>
  <si>
    <t>900391059</t>
  </si>
  <si>
    <t>QUINTA GENERACION SAS</t>
  </si>
  <si>
    <t>Subsecretaría del Cuidado y Políticas de Igualdad</t>
  </si>
  <si>
    <t>145</t>
  </si>
  <si>
    <t>CONTRATO DE PRESTACION DE SERVICIOS PROFESIONALES</t>
  </si>
  <si>
    <t>151</t>
  </si>
  <si>
    <t>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t>
  </si>
  <si>
    <t>O232020200991122</t>
  </si>
  <si>
    <t>Servicios de la administración pública relacionados con la salud</t>
  </si>
  <si>
    <t>10</t>
  </si>
  <si>
    <t>CONTRATACIÓN DIRECTA</t>
  </si>
  <si>
    <t>1000135892</t>
  </si>
  <si>
    <t>CC</t>
  </si>
  <si>
    <t>80283677</t>
  </si>
  <si>
    <t>JUAN DAVID CORTES GONZALEZ</t>
  </si>
  <si>
    <t>Prestar servicios profesionales a la Subsecretaría del Cuidado y Políticas de Igualdad en la coordinación de acciones que conlleven a la consolidación y seguimiento de la información presupuestal y física de los proyectos de inversión que la componen.</t>
  </si>
  <si>
    <t>O232020200991114</t>
  </si>
  <si>
    <t>Servicios de planificación económica, social y estadística de la administración publica</t>
  </si>
  <si>
    <t>1000143764</t>
  </si>
  <si>
    <t>52737116</t>
  </si>
  <si>
    <t>ANGELA ADRIANA AVILA OSPINA</t>
  </si>
  <si>
    <t>1326</t>
  </si>
  <si>
    <t>144</t>
  </si>
  <si>
    <t>Prestar servicios profesionales de apoyo en la planificación, ejecución, seguimiento y evaluación de acciones orientadas para la redistribución de los trabajos de cuidado no remunerados, y la promoción de los derechos humanos de las mujeres, el marco de la Estrategia de Transformación Cultural de la Secretaría Distrital de la Mujer.</t>
  </si>
  <si>
    <t>1010730554</t>
  </si>
  <si>
    <t>1015436980</t>
  </si>
  <si>
    <t>MIGUEL GIOVANNY GOMEZ LOPEZ</t>
  </si>
  <si>
    <t>1327</t>
  </si>
  <si>
    <t>Prestar servicios profesionales de apoyo en la planificación, ejecución, seguimiento y evaluación de acciones orientadas a la prevención de violencias basadas en género, y la promoción de derechos humanos de las mujeres, en el marco de la Estrategia de Transformación Cultural de la Secretaría Distrital de la Mujer.</t>
  </si>
  <si>
    <t>1008938488</t>
  </si>
  <si>
    <t>1014248098</t>
  </si>
  <si>
    <t>PAULA ANDREA MORALES LEAL</t>
  </si>
  <si>
    <t>127</t>
  </si>
  <si>
    <t>Prestar servicios profesionales para apoyar a la Subsecretaría del Cuidado y Políticas de Igualdad en el fortalecimiento de capacidades ciudadanas de las instancias priorizadas de la Secretaría Distrital de la Mujer.</t>
  </si>
  <si>
    <t>1009799962</t>
  </si>
  <si>
    <t>1085274653</t>
  </si>
  <si>
    <t>MARIA CONSTANZA LOPEZ MEJIA</t>
  </si>
  <si>
    <t>1383</t>
  </si>
  <si>
    <t>148</t>
  </si>
  <si>
    <t>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t>
  </si>
  <si>
    <t>1011938666</t>
  </si>
  <si>
    <t>1018486213</t>
  </si>
  <si>
    <t>MARIA ISABEL PARRA ROJAS</t>
  </si>
  <si>
    <t>1384</t>
  </si>
  <si>
    <t>Prestar servicios profesionales para apoyar la implementación de alianzas estratégicas con actores diversos, que le permitan, faciliten y apoyen a la Secretaría Distrital de la Mujer el cumplimiento de los logros correspondientes al sector mujeres.</t>
  </si>
  <si>
    <t>1012067035</t>
  </si>
  <si>
    <t>1019088049</t>
  </si>
  <si>
    <t>LAURA  PEREZ CAMACHO</t>
  </si>
  <si>
    <t>Prestar servicios profesionales para apoyar a la Subsecretaría del Cuidado y Políticas de Igualdad en el fortalecimiento de capacidades ciudadanas del Consejo Consultivo de Mujeres.</t>
  </si>
  <si>
    <t>1010757501</t>
  </si>
  <si>
    <t>1018454387</t>
  </si>
  <si>
    <t>JINETH LILIANA GARCIA LARROTTA</t>
  </si>
  <si>
    <t>1634</t>
  </si>
  <si>
    <t>137</t>
  </si>
  <si>
    <t>Prestar servicios profesionales de apoyo en la planificación, ejecución, seguimiento y evaluación de la Estrategia de Transformación Cultural de la Secretaría Distrital de la Mujer.</t>
  </si>
  <si>
    <t>1000579039</t>
  </si>
  <si>
    <t>1014239350</t>
  </si>
  <si>
    <t>NATHALIE VIVIANA CONTRERAS TELLEZ</t>
  </si>
  <si>
    <t>1667</t>
  </si>
  <si>
    <t>133</t>
  </si>
  <si>
    <t>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t>
  </si>
  <si>
    <t>1000142728</t>
  </si>
  <si>
    <t>1018453055</t>
  </si>
  <si>
    <t>LUZ MAGNOLIA TIRADO CUELLAR</t>
  </si>
  <si>
    <t>1668</t>
  </si>
  <si>
    <t>1009792112</t>
  </si>
  <si>
    <t>1018487742</t>
  </si>
  <si>
    <t>SHIRLY VANESSA SANCHEZ MARTINEZ</t>
  </si>
  <si>
    <t>1672</t>
  </si>
  <si>
    <t>1000198316</t>
  </si>
  <si>
    <t>1032379438</t>
  </si>
  <si>
    <t>LUIS CARLOS VEGA BARRETO</t>
  </si>
  <si>
    <t>1673</t>
  </si>
  <si>
    <t>1012069635</t>
  </si>
  <si>
    <t>1144074564</t>
  </si>
  <si>
    <t>JOSE LUIS GUTIERREZ CRUZ</t>
  </si>
  <si>
    <t>1674</t>
  </si>
  <si>
    <t>1008943936</t>
  </si>
  <si>
    <t>1030578775</t>
  </si>
  <si>
    <t>JENY PAOLA FUQUENE SALAS</t>
  </si>
  <si>
    <t>1690</t>
  </si>
  <si>
    <t>130</t>
  </si>
  <si>
    <t>1013043536</t>
  </si>
  <si>
    <t>1233897607</t>
  </si>
  <si>
    <t>FELIPE  ROJAS BARRERA</t>
  </si>
  <si>
    <t>1691</t>
  </si>
  <si>
    <t>132</t>
  </si>
  <si>
    <t>1005558136</t>
  </si>
  <si>
    <t>1015394684</t>
  </si>
  <si>
    <t>HUGO MAURICIO ZAMBRANO GALVIS</t>
  </si>
  <si>
    <t>1692</t>
  </si>
  <si>
    <t>1013640651</t>
  </si>
  <si>
    <t>1020816925</t>
  </si>
  <si>
    <t>CATALINA  ARANGO SALGADO</t>
  </si>
  <si>
    <t>ABOGADA</t>
  </si>
  <si>
    <t>LÍDER TÉCNICA</t>
  </si>
  <si>
    <t>CORRESPONSABILIDAD</t>
  </si>
  <si>
    <t>ADICIÓN MARIA ISABEL PARRA</t>
  </si>
  <si>
    <t>Cumplido</t>
  </si>
  <si>
    <t>Operador logístico</t>
  </si>
  <si>
    <t>1328</t>
  </si>
  <si>
    <t>María Constanza López Mejía</t>
  </si>
  <si>
    <t>Laura Pérez Camaho</t>
  </si>
  <si>
    <t>1275</t>
  </si>
  <si>
    <t>Juan David Cortés</t>
  </si>
  <si>
    <t>1277</t>
  </si>
  <si>
    <t xml:space="preserve">Angela Adriana Avila </t>
  </si>
  <si>
    <t>1428</t>
  </si>
  <si>
    <t>Jineth Liliana García</t>
  </si>
  <si>
    <t>Techo presupuestal</t>
  </si>
  <si>
    <t>Techo</t>
  </si>
  <si>
    <t>Comprometido (RP) a 31-ago-2024</t>
  </si>
  <si>
    <t>X comprometer</t>
  </si>
  <si>
    <t>Liberaciones sep</t>
  </si>
  <si>
    <t>Liberaciones oct</t>
  </si>
  <si>
    <t>Por comprometer + liberaciones</t>
  </si>
  <si>
    <t>Traslado (oct-nov)</t>
  </si>
  <si>
    <t>PROYECCIÓN EJECUCIÓN RECURSOS</t>
  </si>
  <si>
    <t>Contrato abogada</t>
  </si>
  <si>
    <t>Contrato proceso elecccionario</t>
  </si>
  <si>
    <t>Proyección adiciones (completar vigencia)</t>
  </si>
  <si>
    <t>Techo pptal con traslado</t>
  </si>
  <si>
    <t>Proyección adiciones (reserva pptal)</t>
  </si>
  <si>
    <t>Adición operador (reserva pptal)</t>
  </si>
  <si>
    <t>Adición María Isabel (8.400.000)</t>
  </si>
  <si>
    <t>contrato (apoyo técnico investigación)</t>
  </si>
  <si>
    <t>Posible saldo sin ejecutar</t>
  </si>
  <si>
    <t>contrato (líder técnico DHM)</t>
  </si>
  <si>
    <t>PAC</t>
  </si>
  <si>
    <t>Total Proyecto</t>
  </si>
  <si>
    <t>Pesos en millones</t>
  </si>
  <si>
    <t xml:space="preserve">Valor total Proyectos </t>
  </si>
  <si>
    <t>Valor total de Giros Agosto</t>
  </si>
  <si>
    <t>Valor total de Giros Septiembre</t>
  </si>
  <si>
    <t>Valor total de Giros Octubre</t>
  </si>
  <si>
    <t>Valor total de Giros Noviembre</t>
  </si>
  <si>
    <t>Valor total de Giros Diciembre (por pagar en Enero)</t>
  </si>
  <si>
    <t>Reservas 2025 (op.log)</t>
  </si>
  <si>
    <t>Reservas 2025 (OPS)</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</si>
  <si>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</si>
  <si>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</si>
  <si>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</si>
  <si>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</si>
  <si>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</si>
  <si>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</si>
  <si>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</si>
  <si>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</si>
  <si>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</si>
  <si>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</si>
  <si>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</si>
  <si>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</si>
  <si>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</si>
  <si>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</si>
  <si>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</si>
  <si>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</si>
  <si>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</si>
  <si>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</si>
  <si>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</si>
  <si>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</si>
  <si>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</si>
  <si>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</si>
  <si>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</si>
  <si>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</si>
  <si>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</si>
  <si>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</si>
  <si>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Indigenas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</si>
  <si>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</si>
  <si>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</si>
  <si>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</si>
  <si>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</si>
  <si>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</si>
  <si>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</si>
  <si>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</si>
  <si>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</si>
  <si>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</si>
  <si>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</si>
  <si>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</si>
  <si>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</si>
  <si>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</si>
  <si>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</si>
  <si>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</si>
  <si>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</si>
  <si>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</si>
  <si>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</si>
  <si>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</si>
  <si>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</si>
  <si>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</si>
  <si>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</si>
  <si>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</si>
  <si>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</si>
  <si>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</si>
  <si>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</si>
  <si>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</si>
  <si>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</si>
  <si>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</si>
  <si>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</si>
  <si>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</si>
  <si>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</si>
  <si>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</si>
  <si>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</si>
  <si>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</si>
  <si>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</si>
  <si>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</si>
  <si>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</si>
  <si>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</si>
  <si>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</si>
  <si>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</si>
  <si>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</si>
  <si>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</si>
  <si>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</si>
  <si>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</si>
  <si>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</si>
  <si>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</si>
  <si>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</si>
  <si>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</si>
  <si>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</si>
  <si>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</si>
  <si>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</si>
  <si>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</si>
  <si>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</si>
  <si>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</si>
  <si>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</si>
  <si>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</si>
  <si>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</si>
  <si>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</si>
  <si>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</si>
  <si>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</si>
  <si>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</si>
  <si>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</si>
  <si>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</si>
  <si>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</si>
  <si>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</si>
  <si>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</si>
  <si>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</si>
  <si>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</si>
  <si>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</si>
  <si>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</si>
  <si>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</si>
  <si>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</si>
  <si>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</si>
  <si>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oct giro nov</t>
  </si>
  <si>
    <t>nov giro dic</t>
  </si>
  <si>
    <t>dic giro ene</t>
  </si>
  <si>
    <t>ago giro sep</t>
  </si>
  <si>
    <t>sep giro oct</t>
  </si>
  <si>
    <t xml:space="preserve">En septiembre Se adelantó  la elaboración de una presentación que incluye datos clave sobre las violencias y la afectación de los derechos de las mujeres en el entorno deportivo del ciclismo. Este trabajo se realizó en articulación con la Dirección de Derechos y Diseño de Política y que se incorporará en el  documento preliminar que contiene el diagnostico inicial sobre los estereotipos de las mujeres en el deporte, y que  se enmarca en el Derecho a la Igualdad y la No Discriminación; Derecho a una Vida Libre de Violencia y Discriminación; Derecho a la Participación y a la Representación Equitativa y Derecho a la Educación y Sensibilización en Igualdad de Género.
Así mismo en el marco de las acciones programadas para instancias distritales se realizó la Submesa de género del mes de agosto de 2024, con el acompañamiento técnico de la Subsecretaría del Cuidado y Políticas de Igualdad . Se  realizaron  acciones de acompañamiento para la transversalización del enfoque de género en el Consejo Territorial de Planeación Distrital. </t>
  </si>
  <si>
    <t>SEGUIMIENTO PMR (META 3 Y META EQUIPO TERRITORIAL GESTORAS TRANSFORMACIÓN CULTURAL)</t>
  </si>
  <si>
    <t>Nombre: Juan David Cortes González  
Ángela Adriana Ávila Ospina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</si>
</sst>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164" formatCode="&quot;$&quot;\ #,##0;[Red]\-&quot;$&quot;\ #,##0"/>
    <numFmt numFmtId="165" formatCode="&quot;$&quot;\ #,##0.00;[Red]\-&quot;$&quot;\ #,##0.00"/>
    <numFmt numFmtId="166" formatCode="#,##0\ &quot;€&quot;;\-#,##0\ &quot;€&quot;"/>
    <numFmt numFmtId="167" formatCode="_-* #,##0\ &quot;€&quot;_-;\-* #,##0\ &quot;€&quot;_-;_-* &quot;-&quot;\ &quot;€&quot;_-;_-@_-"/>
    <numFmt numFmtId="168" formatCode="_-* #,##0.00\ &quot;€&quot;_-;\-* #,##0.00\ &quot;€&quot;_-;_-* &quot;-&quot;??\ &quot;€&quot;_-;_-@_-"/>
    <numFmt numFmtId="169" formatCode="_-&quot;$&quot;* #,##0.00_-;\-&quot;$&quot;* #,##0.00_-;_-&quot;$&quot;* &quot;-&quot;??_-;_-@_-"/>
    <numFmt numFmtId="170" formatCode="_-* #,##0\ _€_-;\-* #,##0\ _€_-;_-* &quot;-&quot;\ _€_-;_-@_-"/>
    <numFmt numFmtId="171" formatCode="_-* #,##0.00\ _€_-;\-* #,##0.00\ _€_-;_-* &quot;-&quot;??\ _€_-;_-@_-"/>
    <numFmt numFmtId="172" formatCode="_(&quot;$&quot;\ * #,##0.00_);_(&quot;$&quot;\ * \(#,##0.00\);_(&quot;$&quot;\ * &quot;-&quot;??_);_(@_)"/>
    <numFmt numFmtId="173" formatCode="_ &quot;$&quot;\ * #,##0.00_ ;_ &quot;$&quot;\ * \-#,##0.00_ ;_ &quot;$&quot;\ * &quot;-&quot;??_ ;_ @_ "/>
    <numFmt numFmtId="174" formatCode="_-* #,##0\ _€_-;\-* #,##0\ _€_-;_-* &quot;-&quot;??\ _€_-;_-@_-"/>
    <numFmt numFmtId="175" formatCode="0.0%"/>
    <numFmt numFmtId="176" formatCode="#,##0;[Red]#,##0"/>
    <numFmt numFmtId="177" formatCode="_-[$$-240A]\ * #,##0.00_-;\-[$$-240A]\ * #,##0.00_-;_-[$$-240A]\ * &quot;-&quot;??_-;_-@_-"/>
    <numFmt numFmtId="178" formatCode="&quot;$&quot;\ #,##0.00"/>
    <numFmt numFmtId="179" formatCode="&quot;$&quot;\ #,##0"/>
    <numFmt numFmtId="180" formatCode="0.000"/>
    <numFmt numFmtId="181" formatCode="0.00000"/>
    <numFmt numFmtId="182" formatCode="0.0000"/>
  </numFmts>
  <fonts count="82"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8"/>
      <color theme="1"/>
      <name val="Calibri"/>
      <family val="2"/>
      <scheme val="minor"/>
    </font>
    <font>
      <b/>
      <sz val="8"/>
      <color theme="1"/>
      <name val="Calibri"/>
      <family val="2"/>
      <scheme val="minor"/>
    </font>
    <font>
      <sz val="8"/>
      <color theme="1"/>
      <name val="Arial"/>
      <family val="2"/>
    </font>
    <font>
      <b/>
      <sz val="8"/>
      <color theme="1"/>
      <name val="Arial"/>
      <family val="2"/>
    </font>
    <font>
      <u/>
      <sz val="11"/>
      <color theme="10"/>
      <name val="Calibri"/>
      <family val="2"/>
      <scheme val="minor"/>
    </font>
    <font>
      <sz val="11"/>
      <name val="Times New Roman"/>
      <family val="1"/>
    </font>
    <font>
      <b/>
      <sz val="8"/>
      <color rgb="FF000000"/>
      <name val="Calibri"/>
      <family val="2"/>
      <scheme val="minor"/>
    </font>
    <font>
      <sz val="8"/>
      <color rgb="FF000000"/>
      <name val="Calibri"/>
      <family val="2"/>
      <scheme val="minor"/>
    </font>
    <font>
      <sz val="10"/>
      <name val="Arial"/>
      <family val="2"/>
    </font>
    <font>
      <b/>
      <sz val="9"/>
      <name val="Arial"/>
      <family val="2"/>
    </font>
    <font>
      <b/>
      <sz val="9"/>
      <color theme="0"/>
      <name val="Arial"/>
      <family val="2"/>
    </font>
    <font>
      <b/>
      <sz val="9"/>
      <color theme="0"/>
      <name val="Calibri"/>
      <family val="2"/>
      <scheme val="minor"/>
    </font>
    <font>
      <sz val="9"/>
      <name val="Arial"/>
      <family val="2"/>
    </font>
    <font>
      <sz val="9"/>
      <name val="Calibri"/>
      <family val="2"/>
    </font>
    <font>
      <sz val="9"/>
      <color theme="5"/>
      <name val="Arial"/>
      <family val="2"/>
    </font>
    <font>
      <sz val="9"/>
      <color rgb="FF0070C0"/>
      <name val="Arial"/>
      <family val="2"/>
    </font>
    <font>
      <sz val="9"/>
      <color rgb="FF0070C0"/>
      <name val="Calibri"/>
      <family val="2"/>
    </font>
    <font>
      <b/>
      <sz val="9"/>
      <color rgb="FF0070C0"/>
      <name val="Arial"/>
      <family val="2"/>
    </font>
    <font>
      <sz val="10"/>
      <name val="Arial"/>
      <family val="2"/>
    </font>
    <font>
      <b/>
      <sz val="18"/>
      <name val="Arial"/>
      <family val="2"/>
    </font>
    <font>
      <u/>
      <sz val="11"/>
      <name val="Calibri"/>
      <family val="2"/>
      <scheme val="minor"/>
    </font>
    <font>
      <b/>
      <sz val="8"/>
      <name val="Times New Roman"/>
      <family val="1"/>
    </font>
    <font>
      <sz val="8"/>
      <name val="Times New Roman"/>
      <family val="1"/>
    </font>
    <font>
      <sz val="7"/>
      <name val="Times New Roman"/>
      <family val="1"/>
    </font>
    <font>
      <sz val="10"/>
      <name val="Times New Roman"/>
      <family val="1"/>
    </font>
    <font>
      <sz val="11"/>
      <color rgb="FF000000"/>
      <name val="Arial"/>
      <family val="2"/>
    </font>
    <font>
      <u/>
      <sz val="11"/>
      <color rgb="FF000000"/>
      <name val="Calibri"/>
      <family val="2"/>
      <scheme val="minor"/>
    </font>
    <font>
      <sz val="11"/>
      <color theme="1" tint="4.9989318521683403E-2"/>
      <name val="Arial"/>
      <family val="2"/>
    </font>
    <font>
      <sz val="9"/>
      <color theme="1"/>
      <name val="Arial"/>
      <family val="2"/>
    </font>
    <font>
      <sz val="9"/>
      <color theme="1"/>
      <name val="Calibri"/>
      <family val="2"/>
    </font>
    <font>
      <b/>
      <sz val="9"/>
      <color theme="1"/>
      <name val="Arial"/>
      <family val="2"/>
    </font>
    <font>
      <sz val="10"/>
      <color theme="1"/>
      <name val="Arial"/>
      <family val="2"/>
    </font>
    <font>
      <b/>
      <sz val="9"/>
      <color rgb="FF0070C0"/>
      <name val="Calibri"/>
      <family val="2"/>
    </font>
    <font>
      <b/>
      <sz val="9"/>
      <color theme="5"/>
      <name val="Arial"/>
      <family val="2"/>
    </font>
    <font>
      <b/>
      <sz val="9"/>
      <name val="Calibri"/>
      <family val="2"/>
    </font>
    <font>
      <b/>
      <sz val="9"/>
      <color rgb="FF7030A0"/>
      <name val="Arial"/>
      <family val="2"/>
    </font>
    <font>
      <sz val="10"/>
      <color rgb="FFFF0000"/>
      <name val="Arial"/>
      <family val="2"/>
    </font>
    <font>
      <sz val="9"/>
      <color rgb="FFFF0000"/>
      <name val="Arial"/>
      <family val="2"/>
    </font>
    <font>
      <sz val="10"/>
      <color rgb="FF7030A0"/>
      <name val="Arial"/>
      <family val="2"/>
    </font>
    <font>
      <sz val="9"/>
      <color rgb="FF7030A0"/>
      <name val="Arial"/>
      <family val="2"/>
    </font>
    <font>
      <b/>
      <sz val="9"/>
      <color rgb="FFFF0000"/>
      <name val="Arial"/>
      <family val="2"/>
    </font>
    <font>
      <b/>
      <sz val="9"/>
      <color rgb="FF000000"/>
      <name val="Aptos"/>
      <family val="2"/>
    </font>
    <font>
      <sz val="9"/>
      <color rgb="FF000000"/>
      <name val="Aptos"/>
      <family val="2"/>
    </font>
    <font>
      <sz val="7"/>
      <color theme="1"/>
      <name val="Arial"/>
      <family val="2"/>
    </font>
  </fonts>
  <fills count="3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FF"/>
        <bgColor rgb="FF000000"/>
      </patternFill>
    </fill>
    <fill>
      <patternFill patternType="solid">
        <fgColor rgb="FFCCC0DA"/>
        <bgColor rgb="FF000000"/>
      </patternFill>
    </fill>
    <fill>
      <patternFill patternType="solid">
        <fgColor rgb="FFFCD5B4"/>
        <bgColor rgb="FF000000"/>
      </patternFill>
    </fill>
    <fill>
      <patternFill patternType="solid">
        <fgColor indexed="22"/>
        <bgColor indexed="64"/>
      </patternFill>
    </fill>
    <fill>
      <patternFill patternType="solid">
        <fgColor theme="5"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66FF66"/>
        <bgColor indexed="64"/>
      </patternFill>
    </fill>
    <fill>
      <patternFill patternType="solid">
        <fgColor theme="6" tint="-0.249977111117893"/>
        <bgColor indexed="64"/>
      </patternFill>
    </fill>
  </fills>
  <borders count="10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n">
        <color indexed="64"/>
      </right>
      <top/>
      <bottom style="medium">
        <color rgb="FF000000"/>
      </bottom>
      <diagonal/>
    </border>
    <border>
      <left/>
      <right style="medium">
        <color rgb="FF000000"/>
      </right>
      <top style="thin">
        <color indexed="64"/>
      </top>
      <bottom/>
      <diagonal/>
    </border>
    <border>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s>
  <cellStyleXfs count="39">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71" fontId="8" fillId="0" borderId="0" applyFont="0" applyFill="0" applyBorder="0" applyAlignment="0" applyProtection="0"/>
    <xf numFmtId="170" fontId="8" fillId="0" borderId="0" applyFont="0" applyFill="0" applyBorder="0" applyAlignment="0" applyProtection="0"/>
    <xf numFmtId="41" fontId="8" fillId="0" borderId="0" applyFont="0" applyFill="0" applyBorder="0" applyAlignment="0" applyProtection="0"/>
    <xf numFmtId="171" fontId="3"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9" fontId="8" fillId="0" borderId="0" applyFont="0" applyFill="0" applyBorder="0" applyAlignment="0" applyProtection="0"/>
    <xf numFmtId="173" fontId="2" fillId="0" borderId="0" applyFont="0" applyFill="0" applyBorder="0" applyAlignment="0" applyProtection="0"/>
    <xf numFmtId="172" fontId="8" fillId="0" borderId="0" applyFont="0" applyFill="0" applyBorder="0" applyAlignment="0" applyProtection="0"/>
    <xf numFmtId="169" fontId="1" fillId="0" borderId="0" applyFont="0" applyFill="0" applyBorder="0" applyAlignment="0" applyProtection="0"/>
    <xf numFmtId="166"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2" fillId="0" borderId="0" applyNumberFormat="0" applyFill="0" applyBorder="0" applyAlignment="0" applyProtection="0"/>
    <xf numFmtId="0" fontId="42" fillId="0" borderId="0" applyNumberFormat="0" applyFill="0" applyBorder="0" applyAlignment="0" applyProtection="0"/>
    <xf numFmtId="0" fontId="46" fillId="0" borderId="0"/>
    <xf numFmtId="0" fontId="56" fillId="0" borderId="0"/>
    <xf numFmtId="9" fontId="2" fillId="0" borderId="0" applyFont="0" applyFill="0" applyBorder="0" applyAlignment="0" applyProtection="0"/>
  </cellStyleXfs>
  <cellXfs count="811">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29" fillId="0" borderId="0" xfId="0" applyFont="1" applyAlignment="1">
      <alignment horizontal="center" vertical="center"/>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3" fillId="9" borderId="0" xfId="22" applyFont="1" applyFill="1" applyAlignment="1">
      <alignment horizontal="center" vertical="center" wrapText="1"/>
    </xf>
    <xf numFmtId="0" fontId="27" fillId="9" borderId="0" xfId="22" applyFont="1" applyFill="1" applyAlignment="1">
      <alignment horizontal="center" vertical="center" wrapText="1"/>
    </xf>
    <xf numFmtId="0" fontId="33" fillId="0" borderId="0" xfId="22" applyFont="1" applyAlignment="1">
      <alignment horizontal="center" vertical="center" wrapText="1"/>
    </xf>
    <xf numFmtId="0" fontId="27" fillId="2" borderId="0" xfId="22" applyFont="1" applyFill="1" applyAlignment="1">
      <alignment vertical="center" wrapText="1"/>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0" fontId="27" fillId="13" borderId="20" xfId="22" applyFont="1" applyFill="1" applyBorder="1" applyAlignment="1">
      <alignment vertical="center" wrapText="1"/>
    </xf>
    <xf numFmtId="0" fontId="27" fillId="13" borderId="13" xfId="22" applyFont="1" applyFill="1" applyBorder="1" applyAlignment="1">
      <alignment vertical="center" wrapText="1"/>
    </xf>
    <xf numFmtId="0" fontId="27" fillId="13" borderId="23" xfId="22" applyFont="1" applyFill="1" applyBorder="1" applyAlignment="1">
      <alignment vertical="center" wrapText="1"/>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70"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70" fontId="27" fillId="0" borderId="0" xfId="11" applyFont="1" applyFill="1" applyBorder="1" applyAlignment="1" applyProtection="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2" fillId="14" borderId="6" xfId="0" applyFont="1" applyFill="1" applyBorder="1" applyAlignment="1">
      <alignment horizontal="left" vertical="center"/>
    </xf>
    <xf numFmtId="0" fontId="32" fillId="14" borderId="6" xfId="0" applyFont="1" applyFill="1" applyBorder="1" applyAlignment="1">
      <alignment horizontal="center" vertical="center"/>
    </xf>
    <xf numFmtId="0" fontId="32" fillId="0" borderId="6" xfId="0" applyFont="1" applyBorder="1" applyAlignment="1">
      <alignment horizontal="left" vertical="center"/>
    </xf>
    <xf numFmtId="0" fontId="29" fillId="0" borderId="3" xfId="0" applyFont="1" applyBorder="1" applyAlignment="1">
      <alignment horizontal="left" vertical="center"/>
    </xf>
    <xf numFmtId="0" fontId="35"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2"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2" fillId="0" borderId="6" xfId="0" applyFont="1" applyBorder="1" applyAlignment="1">
      <alignment horizontal="left" vertical="center" wrapText="1"/>
    </xf>
    <xf numFmtId="0" fontId="32" fillId="16" borderId="6" xfId="0" applyFont="1" applyFill="1" applyBorder="1" applyAlignment="1">
      <alignment horizontal="left" vertical="center" wrapText="1"/>
    </xf>
    <xf numFmtId="0" fontId="32"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2" fillId="10" borderId="7"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2" fillId="10" borderId="7" xfId="0" applyFont="1" applyFill="1" applyBorder="1" applyAlignment="1">
      <alignment vertical="center"/>
    </xf>
    <xf numFmtId="0" fontId="32" fillId="10" borderId="0" xfId="0" applyFont="1" applyFill="1" applyAlignment="1">
      <alignment horizontal="center" vertical="center"/>
    </xf>
    <xf numFmtId="0" fontId="29" fillId="0" borderId="30" xfId="0" applyFont="1" applyBorder="1" applyAlignment="1">
      <alignment horizontal="center" vertical="center"/>
    </xf>
    <xf numFmtId="0" fontId="32" fillId="10" borderId="0" xfId="0" applyFont="1" applyFill="1" applyAlignment="1">
      <alignment vertical="center"/>
    </xf>
    <xf numFmtId="0" fontId="29" fillId="0" borderId="15" xfId="0" applyFont="1" applyBorder="1" applyAlignment="1">
      <alignment horizontal="center" vertical="center"/>
    </xf>
    <xf numFmtId="0" fontId="32" fillId="10" borderId="10" xfId="0" applyFont="1" applyFill="1" applyBorder="1" applyAlignment="1">
      <alignment vertical="center"/>
    </xf>
    <xf numFmtId="0" fontId="32" fillId="10" borderId="10" xfId="0" applyFont="1" applyFill="1" applyBorder="1" applyAlignment="1">
      <alignment horizontal="center" vertical="center"/>
    </xf>
    <xf numFmtId="0" fontId="27" fillId="10" borderId="3" xfId="0" applyFont="1" applyFill="1" applyBorder="1" applyAlignment="1">
      <alignment horizontal="center" vertical="center" wrapText="1"/>
    </xf>
    <xf numFmtId="9" fontId="32" fillId="10" borderId="6" xfId="28" applyFont="1" applyFill="1" applyBorder="1" applyAlignment="1">
      <alignment horizontal="center" vertical="center" wrapText="1"/>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6" fillId="9" borderId="0" xfId="0" applyFont="1" applyFill="1" applyAlignment="1">
      <alignment vertical="center"/>
    </xf>
    <xf numFmtId="0" fontId="36"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7" fillId="10" borderId="17" xfId="0" applyFont="1" applyFill="1" applyBorder="1" applyAlignment="1">
      <alignment horizontal="center" vertical="center" wrapText="1"/>
    </xf>
    <xf numFmtId="0" fontId="37"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7" fillId="10" borderId="3" xfId="0" applyFont="1" applyFill="1" applyBorder="1" applyAlignment="1">
      <alignment horizontal="center" vertical="center" wrapText="1"/>
    </xf>
    <xf numFmtId="49" fontId="37" fillId="10" borderId="3" xfId="0" applyNumberFormat="1" applyFont="1" applyFill="1" applyBorder="1" applyAlignment="1">
      <alignment horizontal="center" vertical="center" wrapText="1"/>
    </xf>
    <xf numFmtId="0" fontId="36" fillId="0" borderId="6" xfId="0" applyFont="1" applyBorder="1" applyAlignment="1">
      <alignment vertical="center"/>
    </xf>
    <xf numFmtId="178" fontId="36" fillId="0" borderId="6" xfId="14" applyNumberFormat="1" applyFont="1" applyBorder="1" applyAlignment="1">
      <alignment vertical="center"/>
    </xf>
    <xf numFmtId="0" fontId="36" fillId="12" borderId="6" xfId="0" applyFont="1" applyFill="1" applyBorder="1" applyAlignment="1">
      <alignment horizontal="center" vertical="center"/>
    </xf>
    <xf numFmtId="177" fontId="35" fillId="11" borderId="6" xfId="15" applyNumberFormat="1" applyFont="1" applyFill="1" applyBorder="1" applyAlignment="1">
      <alignment horizontal="center" vertical="center"/>
    </xf>
    <xf numFmtId="177" fontId="35" fillId="0" borderId="6" xfId="15" applyNumberFormat="1" applyFont="1" applyFill="1" applyBorder="1" applyAlignment="1">
      <alignment horizontal="center" vertical="center"/>
    </xf>
    <xf numFmtId="0" fontId="35" fillId="0" borderId="6" xfId="0" applyFont="1" applyBorder="1" applyAlignment="1">
      <alignment vertical="center"/>
    </xf>
    <xf numFmtId="0" fontId="35" fillId="0" borderId="6" xfId="0" applyFont="1" applyBorder="1" applyAlignment="1">
      <alignment vertical="center" wrapText="1"/>
    </xf>
    <xf numFmtId="0" fontId="35" fillId="11" borderId="6" xfId="0" applyFont="1" applyFill="1" applyBorder="1" applyAlignment="1">
      <alignment horizontal="left" vertical="center"/>
    </xf>
    <xf numFmtId="0" fontId="35" fillId="11" borderId="6" xfId="0" applyFont="1" applyFill="1" applyBorder="1" applyAlignment="1">
      <alignment horizontal="center" vertical="center"/>
    </xf>
    <xf numFmtId="178" fontId="35" fillId="11" borderId="6" xfId="14" applyNumberFormat="1" applyFont="1" applyFill="1" applyBorder="1" applyAlignment="1">
      <alignment horizontal="center" vertical="center"/>
    </xf>
    <xf numFmtId="0" fontId="35" fillId="12" borderId="6" xfId="0" applyFont="1" applyFill="1" applyBorder="1" applyAlignment="1">
      <alignment horizontal="center" vertical="center"/>
    </xf>
    <xf numFmtId="177" fontId="35"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7" fontId="26" fillId="0" borderId="0" xfId="15" applyFont="1" applyAlignment="1">
      <alignment vertical="center"/>
    </xf>
    <xf numFmtId="0" fontId="38"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0" fontId="38" fillId="0" borderId="0" xfId="0" applyFont="1" applyAlignment="1">
      <alignment horizontal="center" vertical="center" wrapText="1"/>
    </xf>
    <xf numFmtId="178" fontId="38" fillId="0" borderId="0" xfId="0" applyNumberFormat="1" applyFont="1" applyAlignment="1">
      <alignment horizontal="justify" vertical="center" wrapText="1"/>
    </xf>
    <xf numFmtId="178" fontId="38" fillId="0" borderId="0" xfId="0" applyNumberFormat="1" applyFont="1" applyAlignment="1">
      <alignment vertical="center" wrapText="1"/>
    </xf>
    <xf numFmtId="3" fontId="38" fillId="0" borderId="0" xfId="0" applyNumberFormat="1" applyFont="1" applyAlignment="1">
      <alignment horizontal="center" vertical="center" wrapText="1"/>
    </xf>
    <xf numFmtId="0" fontId="39" fillId="19" borderId="0" xfId="0" applyFont="1" applyFill="1" applyAlignment="1">
      <alignment horizontal="center" vertical="center" wrapText="1"/>
    </xf>
    <xf numFmtId="178" fontId="39" fillId="19" borderId="0" xfId="0" applyNumberFormat="1" applyFont="1" applyFill="1" applyAlignment="1">
      <alignment horizontal="center" vertical="center" wrapText="1"/>
    </xf>
    <xf numFmtId="3" fontId="39" fillId="19" borderId="0" xfId="0" applyNumberFormat="1" applyFont="1" applyFill="1" applyAlignment="1">
      <alignment horizontal="center" vertical="center" wrapText="1"/>
    </xf>
    <xf numFmtId="9" fontId="39" fillId="19" borderId="0" xfId="28" applyFont="1" applyFill="1" applyAlignment="1">
      <alignment horizontal="center" vertical="center" wrapText="1"/>
    </xf>
    <xf numFmtId="9" fontId="38" fillId="0" borderId="0" xfId="28" applyFont="1" applyAlignment="1">
      <alignment horizontal="center" vertical="center" wrapText="1"/>
    </xf>
    <xf numFmtId="9" fontId="27" fillId="0" borderId="3" xfId="22" applyNumberFormat="1" applyFont="1" applyBorder="1" applyAlignment="1">
      <alignment horizontal="center" vertical="center" wrapText="1"/>
    </xf>
    <xf numFmtId="0" fontId="40" fillId="0" borderId="0" xfId="0" applyFont="1" applyAlignment="1">
      <alignment horizontal="center" vertical="center"/>
    </xf>
    <xf numFmtId="0" fontId="40" fillId="0" borderId="0" xfId="0" applyFont="1" applyAlignment="1">
      <alignment horizontal="center" vertical="center" wrapText="1"/>
    </xf>
    <xf numFmtId="179" fontId="40" fillId="0" borderId="0" xfId="0" applyNumberFormat="1" applyFont="1" applyAlignment="1">
      <alignment horizontal="center" vertical="center"/>
    </xf>
    <xf numFmtId="0" fontId="41" fillId="0" borderId="0" xfId="0" applyFont="1" applyAlignment="1">
      <alignment horizontal="center" vertical="center"/>
    </xf>
    <xf numFmtId="0" fontId="29" fillId="0" borderId="6" xfId="0" applyFont="1" applyBorder="1" applyAlignment="1">
      <alignment horizontal="justify" vertical="center" wrapText="1"/>
    </xf>
    <xf numFmtId="0" fontId="29" fillId="0" borderId="6" xfId="0" applyFont="1" applyBorder="1" applyAlignment="1">
      <alignment horizontal="justify" vertical="center"/>
    </xf>
    <xf numFmtId="170" fontId="29" fillId="0" borderId="6" xfId="11" applyFont="1" applyBorder="1" applyAlignment="1">
      <alignment horizontal="justify" vertical="center" wrapText="1"/>
    </xf>
    <xf numFmtId="9" fontId="29" fillId="0" borderId="6" xfId="28" applyFont="1" applyBorder="1" applyAlignment="1">
      <alignment horizontal="justify" vertical="center"/>
    </xf>
    <xf numFmtId="0" fontId="29" fillId="0" borderId="0" xfId="0" applyFont="1" applyAlignment="1">
      <alignment horizontal="justify" vertical="center"/>
    </xf>
    <xf numFmtId="9" fontId="26" fillId="10" borderId="3" xfId="28" applyFont="1" applyFill="1" applyBorder="1" applyAlignment="1" applyProtection="1">
      <alignment horizontal="center" vertical="center" wrapText="1"/>
      <protection locked="0"/>
    </xf>
    <xf numFmtId="0" fontId="27" fillId="0" borderId="39" xfId="22" applyFont="1" applyBorder="1" applyAlignment="1">
      <alignment horizontal="left" vertical="center" wrapText="1"/>
    </xf>
    <xf numFmtId="0" fontId="27" fillId="10" borderId="8" xfId="22" applyFont="1" applyFill="1" applyBorder="1" applyAlignment="1">
      <alignment horizontal="left" vertical="center" wrapText="1"/>
    </xf>
    <xf numFmtId="9" fontId="26" fillId="0" borderId="6" xfId="29" applyFont="1" applyBorder="1" applyAlignment="1" applyProtection="1">
      <alignment horizontal="center" vertical="center" wrapText="1"/>
      <protection locked="0"/>
    </xf>
    <xf numFmtId="0" fontId="29" fillId="0" borderId="12" xfId="0" applyFont="1" applyBorder="1" applyAlignment="1">
      <alignment horizontal="justify" vertical="center"/>
    </xf>
    <xf numFmtId="0" fontId="29" fillId="0" borderId="39" xfId="0" applyFont="1" applyBorder="1" applyAlignment="1">
      <alignment horizontal="justify" vertical="center" wrapText="1"/>
    </xf>
    <xf numFmtId="0" fontId="29" fillId="0" borderId="4" xfId="0" applyFont="1" applyBorder="1" applyAlignment="1">
      <alignment horizontal="justify" vertical="center"/>
    </xf>
    <xf numFmtId="0" fontId="29" fillId="0" borderId="71" xfId="0" applyFont="1" applyBorder="1" applyAlignment="1">
      <alignment vertical="center" wrapText="1"/>
    </xf>
    <xf numFmtId="0" fontId="32" fillId="10" borderId="29"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15" xfId="0" applyFont="1" applyFill="1" applyBorder="1" applyAlignment="1">
      <alignment horizontal="center" vertical="center"/>
    </xf>
    <xf numFmtId="3" fontId="38" fillId="0" borderId="0" xfId="0" applyNumberFormat="1" applyFont="1" applyAlignment="1">
      <alignment vertical="center" wrapText="1"/>
    </xf>
    <xf numFmtId="0" fontId="39" fillId="0" borderId="0" xfId="0" applyFont="1" applyAlignment="1">
      <alignment horizontal="center" vertical="center"/>
    </xf>
    <xf numFmtId="9" fontId="39" fillId="0" borderId="0" xfId="0" applyNumberFormat="1" applyFont="1" applyAlignment="1">
      <alignment horizontal="center" vertical="center"/>
    </xf>
    <xf numFmtId="0" fontId="29" fillId="0" borderId="6" xfId="0" applyFont="1" applyBorder="1" applyAlignment="1">
      <alignment horizontal="center" vertical="center" wrapText="1"/>
    </xf>
    <xf numFmtId="4" fontId="27" fillId="0" borderId="3" xfId="22" applyNumberFormat="1" applyFont="1" applyBorder="1" applyAlignment="1">
      <alignment horizontal="center" vertical="center" wrapText="1"/>
    </xf>
    <xf numFmtId="4" fontId="27" fillId="10" borderId="5" xfId="28" applyNumberFormat="1" applyFont="1" applyFill="1" applyBorder="1" applyAlignment="1" applyProtection="1">
      <alignment horizontal="center" vertical="center" wrapText="1"/>
    </xf>
    <xf numFmtId="4" fontId="27" fillId="0" borderId="3" xfId="10" applyNumberFormat="1" applyFont="1" applyFill="1" applyBorder="1" applyAlignment="1" applyProtection="1">
      <alignment horizontal="center" vertical="center" wrapText="1"/>
    </xf>
    <xf numFmtId="4" fontId="26" fillId="10" borderId="5" xfId="30" applyNumberFormat="1" applyFont="1" applyFill="1" applyBorder="1" applyAlignment="1" applyProtection="1">
      <alignment horizontal="center" vertical="center" wrapText="1"/>
    </xf>
    <xf numFmtId="4" fontId="27" fillId="0" borderId="4" xfId="22" applyNumberFormat="1" applyFont="1" applyBorder="1" applyAlignment="1">
      <alignment horizontal="left" vertical="center" wrapText="1"/>
    </xf>
    <xf numFmtId="4" fontId="27" fillId="10" borderId="5" xfId="22" applyNumberFormat="1" applyFont="1" applyFill="1" applyBorder="1" applyAlignment="1">
      <alignment horizontal="left" vertical="center" wrapText="1"/>
    </xf>
    <xf numFmtId="0" fontId="27" fillId="9" borderId="67" xfId="22" applyFont="1" applyFill="1" applyBorder="1" applyAlignment="1">
      <alignment horizontal="center" vertical="center" wrapText="1"/>
    </xf>
    <xf numFmtId="4" fontId="29" fillId="0" borderId="6" xfId="0" applyNumberFormat="1" applyFont="1" applyBorder="1" applyAlignment="1">
      <alignment horizontal="center" vertical="center"/>
    </xf>
    <xf numFmtId="9" fontId="29" fillId="0" borderId="6" xfId="28" applyFont="1" applyBorder="1" applyAlignment="1">
      <alignment horizontal="center" vertical="center"/>
    </xf>
    <xf numFmtId="9" fontId="29" fillId="0" borderId="0" xfId="28" applyFont="1" applyAlignment="1">
      <alignment horizontal="center" vertical="center"/>
    </xf>
    <xf numFmtId="9" fontId="27" fillId="10" borderId="6" xfId="28" applyFont="1" applyFill="1" applyBorder="1" applyAlignment="1" applyProtection="1">
      <alignment horizontal="center" vertical="center" wrapText="1"/>
      <protection locked="0"/>
    </xf>
    <xf numFmtId="0" fontId="44" fillId="26" borderId="0" xfId="0" applyFont="1" applyFill="1" applyAlignment="1">
      <alignment horizontal="center" vertical="center" wrapText="1"/>
    </xf>
    <xf numFmtId="0" fontId="45" fillId="27" borderId="0" xfId="0" applyFont="1" applyFill="1" applyAlignment="1">
      <alignment horizontal="center" vertical="center" wrapText="1"/>
    </xf>
    <xf numFmtId="165" fontId="45" fillId="0" borderId="0" xfId="0" applyNumberFormat="1" applyFont="1" applyAlignment="1">
      <alignment vertical="center" wrapText="1"/>
    </xf>
    <xf numFmtId="10" fontId="45" fillId="0" borderId="0" xfId="0" applyNumberFormat="1" applyFont="1" applyAlignment="1">
      <alignment vertical="center" wrapText="1"/>
    </xf>
    <xf numFmtId="10" fontId="38" fillId="0" borderId="0" xfId="0" applyNumberFormat="1" applyFont="1" applyAlignment="1">
      <alignment vertical="center"/>
    </xf>
    <xf numFmtId="165" fontId="38" fillId="0" borderId="0" xfId="0" applyNumberFormat="1" applyFont="1" applyAlignment="1">
      <alignment vertical="center"/>
    </xf>
    <xf numFmtId="10" fontId="44" fillId="26" borderId="0" xfId="0" applyNumberFormat="1" applyFont="1" applyFill="1" applyAlignment="1">
      <alignment horizontal="center" vertical="center" wrapText="1"/>
    </xf>
    <xf numFmtId="0" fontId="39" fillId="0" borderId="0" xfId="0" applyFont="1" applyAlignment="1">
      <alignment horizontal="right" vertical="center" wrapText="1"/>
    </xf>
    <xf numFmtId="178" fontId="39" fillId="0" borderId="0" xfId="0" applyNumberFormat="1" applyFont="1" applyAlignment="1">
      <alignment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26" fillId="9" borderId="1" xfId="0" applyFont="1" applyFill="1" applyBorder="1" applyAlignment="1">
      <alignment vertical="center"/>
    </xf>
    <xf numFmtId="0" fontId="26" fillId="9" borderId="0" xfId="0" applyFont="1" applyFill="1" applyAlignment="1">
      <alignment vertical="center"/>
    </xf>
    <xf numFmtId="0" fontId="26" fillId="9" borderId="2" xfId="0" applyFont="1" applyFill="1" applyBorder="1" applyAlignment="1">
      <alignment vertical="center"/>
    </xf>
    <xf numFmtId="176" fontId="26" fillId="0" borderId="0" xfId="0" applyNumberFormat="1" applyFont="1" applyAlignment="1">
      <alignment vertical="center"/>
    </xf>
    <xf numFmtId="176" fontId="26" fillId="0" borderId="0" xfId="14" applyNumberFormat="1" applyFont="1" applyBorder="1" applyAlignment="1">
      <alignment vertical="center"/>
    </xf>
    <xf numFmtId="174" fontId="26" fillId="0" borderId="14" xfId="10" applyNumberFormat="1" applyFont="1" applyBorder="1" applyAlignment="1">
      <alignment vertical="center"/>
    </xf>
    <xf numFmtId="174" fontId="26" fillId="0" borderId="4" xfId="10" applyNumberFormat="1" applyFont="1" applyBorder="1" applyAlignment="1">
      <alignment vertical="center"/>
    </xf>
    <xf numFmtId="174" fontId="26" fillId="0" borderId="15" xfId="10" applyNumberFormat="1" applyFont="1" applyBorder="1" applyAlignment="1">
      <alignment vertical="center"/>
    </xf>
    <xf numFmtId="174" fontId="26" fillId="0" borderId="20" xfId="10" applyNumberFormat="1" applyFont="1" applyBorder="1" applyAlignment="1">
      <alignment vertical="center"/>
    </xf>
    <xf numFmtId="174" fontId="26" fillId="0" borderId="21" xfId="10" applyNumberFormat="1" applyFont="1" applyBorder="1" applyAlignment="1">
      <alignment vertical="center"/>
    </xf>
    <xf numFmtId="174" fontId="26" fillId="0" borderId="21" xfId="10" applyNumberFormat="1" applyFont="1" applyFill="1" applyBorder="1" applyAlignment="1">
      <alignment vertical="center"/>
    </xf>
    <xf numFmtId="174" fontId="26" fillId="0" borderId="22" xfId="10" applyNumberFormat="1" applyFont="1" applyBorder="1" applyAlignment="1">
      <alignment vertical="center"/>
    </xf>
    <xf numFmtId="174" fontId="26" fillId="0" borderId="13" xfId="10" applyNumberFormat="1" applyFont="1" applyBorder="1" applyAlignment="1">
      <alignment vertical="center"/>
    </xf>
    <xf numFmtId="174" fontId="26" fillId="0" borderId="6" xfId="10" applyNumberFormat="1" applyFont="1" applyBorder="1" applyAlignment="1">
      <alignment vertical="center"/>
    </xf>
    <xf numFmtId="9" fontId="26" fillId="0" borderId="12" xfId="28" applyFont="1" applyBorder="1" applyAlignment="1">
      <alignment vertical="center"/>
    </xf>
    <xf numFmtId="174" fontId="26" fillId="0" borderId="6" xfId="10" applyNumberFormat="1" applyFont="1" applyFill="1" applyBorder="1" applyAlignment="1">
      <alignment vertical="center"/>
    </xf>
    <xf numFmtId="9" fontId="26" fillId="0" borderId="16" xfId="28" applyFont="1" applyBorder="1" applyAlignment="1">
      <alignment vertical="center"/>
    </xf>
    <xf numFmtId="174" fontId="26" fillId="0" borderId="12" xfId="10" applyNumberFormat="1" applyFont="1" applyBorder="1" applyAlignment="1">
      <alignment vertical="center"/>
    </xf>
    <xf numFmtId="174" fontId="26" fillId="0" borderId="16" xfId="10" applyNumberFormat="1" applyFont="1" applyBorder="1" applyAlignment="1">
      <alignment vertical="center"/>
    </xf>
    <xf numFmtId="174" fontId="26" fillId="0" borderId="23" xfId="10" applyNumberFormat="1" applyFont="1" applyBorder="1" applyAlignment="1">
      <alignment vertical="center"/>
    </xf>
    <xf numFmtId="174" fontId="26" fillId="0" borderId="5" xfId="10" applyNumberFormat="1" applyFont="1" applyBorder="1" applyAlignment="1">
      <alignment vertical="center"/>
    </xf>
    <xf numFmtId="174" fontId="26" fillId="0" borderId="27" xfId="10" applyNumberFormat="1" applyFont="1" applyBorder="1" applyAlignment="1">
      <alignment vertical="center"/>
    </xf>
    <xf numFmtId="9" fontId="26" fillId="0" borderId="28" xfId="28" applyFont="1" applyBorder="1" applyAlignment="1">
      <alignment vertical="center"/>
    </xf>
    <xf numFmtId="0" fontId="26" fillId="0" borderId="0" xfId="0" applyFont="1"/>
    <xf numFmtId="167" fontId="27" fillId="0" borderId="0" xfId="15" applyFont="1" applyAlignment="1">
      <alignment vertical="center"/>
    </xf>
    <xf numFmtId="0" fontId="27" fillId="0" borderId="0" xfId="0" applyFont="1" applyAlignment="1">
      <alignment vertical="center"/>
    </xf>
    <xf numFmtId="0" fontId="26" fillId="0" borderId="0" xfId="0" applyFont="1" applyAlignment="1">
      <alignment horizontal="justify" vertical="center"/>
    </xf>
    <xf numFmtId="0" fontId="60" fillId="0" borderId="0" xfId="0" applyFont="1" applyAlignment="1">
      <alignment horizontal="justify" vertical="center" wrapText="1"/>
    </xf>
    <xf numFmtId="0" fontId="15" fillId="0" borderId="0" xfId="0" applyFont="1" applyAlignment="1">
      <alignment horizontal="justify" vertical="center" wrapText="1"/>
    </xf>
    <xf numFmtId="0" fontId="15" fillId="0" borderId="0" xfId="0" applyFont="1" applyAlignment="1">
      <alignment horizontal="justify" vertical="center"/>
    </xf>
    <xf numFmtId="0" fontId="15" fillId="0" borderId="0" xfId="0" applyFont="1" applyAlignment="1">
      <alignment vertical="center"/>
    </xf>
    <xf numFmtId="0" fontId="59" fillId="20" borderId="71" xfId="0" applyFont="1" applyFill="1" applyBorder="1" applyAlignment="1">
      <alignment horizontal="center" vertical="center" wrapText="1"/>
    </xf>
    <xf numFmtId="0" fontId="59" fillId="20" borderId="83" xfId="0" applyFont="1" applyFill="1" applyBorder="1" applyAlignment="1">
      <alignment horizontal="center" vertical="center" wrapText="1"/>
    </xf>
    <xf numFmtId="0" fontId="59" fillId="0" borderId="71" xfId="0" applyFont="1" applyBorder="1" applyAlignment="1">
      <alignment horizontal="center" vertical="center" wrapText="1"/>
    </xf>
    <xf numFmtId="9" fontId="60" fillId="0" borderId="0" xfId="0" applyNumberFormat="1" applyFont="1" applyAlignment="1">
      <alignment horizontal="center" vertical="center"/>
    </xf>
    <xf numFmtId="180" fontId="59" fillId="21" borderId="2" xfId="0" applyNumberFormat="1" applyFont="1" applyFill="1" applyBorder="1" applyAlignment="1">
      <alignment horizontal="center" vertical="center"/>
    </xf>
    <xf numFmtId="0" fontId="43" fillId="0" borderId="0" xfId="0" applyFont="1" applyAlignment="1">
      <alignment horizontal="justify" vertical="center" wrapText="1"/>
    </xf>
    <xf numFmtId="180" fontId="60" fillId="0" borderId="0" xfId="0" applyNumberFormat="1" applyFont="1" applyAlignment="1">
      <alignment horizontal="justify" vertical="center" wrapText="1"/>
    </xf>
    <xf numFmtId="0" fontId="59" fillId="22" borderId="71" xfId="0" applyFont="1" applyFill="1" applyBorder="1" applyAlignment="1">
      <alignment horizontal="center" vertical="center" wrapText="1"/>
    </xf>
    <xf numFmtId="180" fontId="60" fillId="22" borderId="0" xfId="0" applyNumberFormat="1" applyFont="1" applyFill="1" applyAlignment="1">
      <alignment horizontal="center" vertical="center"/>
    </xf>
    <xf numFmtId="180" fontId="59" fillId="22" borderId="2" xfId="0" applyNumberFormat="1" applyFont="1" applyFill="1" applyBorder="1" applyAlignment="1">
      <alignment horizontal="center" vertical="center"/>
    </xf>
    <xf numFmtId="180" fontId="43" fillId="0" borderId="0" xfId="0" applyNumberFormat="1" applyFont="1" applyAlignment="1">
      <alignment horizontal="justify" vertical="center" wrapText="1"/>
    </xf>
    <xf numFmtId="10" fontId="60" fillId="22" borderId="0" xfId="0" applyNumberFormat="1" applyFont="1" applyFill="1" applyAlignment="1">
      <alignment horizontal="center" vertical="center"/>
    </xf>
    <xf numFmtId="0" fontId="59" fillId="22" borderId="85" xfId="0" applyFont="1" applyFill="1" applyBorder="1" applyAlignment="1">
      <alignment horizontal="center" vertical="center" wrapText="1"/>
    </xf>
    <xf numFmtId="0" fontId="59" fillId="0" borderId="0" xfId="0" applyFont="1" applyAlignment="1">
      <alignment horizontal="center" vertical="center" wrapText="1"/>
    </xf>
    <xf numFmtId="180" fontId="59" fillId="0" borderId="0" xfId="0" applyNumberFormat="1" applyFont="1" applyAlignment="1">
      <alignment horizontal="center" vertical="center"/>
    </xf>
    <xf numFmtId="0" fontId="61" fillId="0" borderId="0" xfId="0" applyFont="1" applyAlignment="1">
      <alignment horizontal="justify" vertical="center" wrapText="1"/>
    </xf>
    <xf numFmtId="175" fontId="43" fillId="0" borderId="0" xfId="0" applyNumberFormat="1" applyFont="1" applyAlignment="1">
      <alignment vertical="center"/>
    </xf>
    <xf numFmtId="180" fontId="60" fillId="0" borderId="0" xfId="0" applyNumberFormat="1" applyFont="1" applyAlignment="1">
      <alignment horizontal="center" vertical="center"/>
    </xf>
    <xf numFmtId="0" fontId="60" fillId="0" borderId="0" xfId="0" applyFont="1" applyAlignment="1">
      <alignment horizontal="center" vertical="center"/>
    </xf>
    <xf numFmtId="0" fontId="60" fillId="23" borderId="0" xfId="0" applyFont="1" applyFill="1" applyAlignment="1">
      <alignment horizontal="center" vertical="center"/>
    </xf>
    <xf numFmtId="181" fontId="59" fillId="23" borderId="0" xfId="0" applyNumberFormat="1" applyFont="1" applyFill="1" applyAlignment="1">
      <alignment horizontal="center" vertical="center"/>
    </xf>
    <xf numFmtId="0" fontId="60" fillId="0" borderId="0" xfId="0" applyFont="1" applyAlignment="1">
      <alignment vertical="center"/>
    </xf>
    <xf numFmtId="0" fontId="59" fillId="24" borderId="0" xfId="0" applyFont="1" applyFill="1" applyAlignment="1">
      <alignment vertical="center"/>
    </xf>
    <xf numFmtId="182" fontId="60" fillId="24" borderId="0" xfId="0" applyNumberFormat="1" applyFont="1" applyFill="1" applyAlignment="1">
      <alignment horizontal="center" vertical="center"/>
    </xf>
    <xf numFmtId="180" fontId="60" fillId="24" borderId="0" xfId="0" applyNumberFormat="1" applyFont="1" applyFill="1" applyAlignment="1">
      <alignment horizontal="center" vertical="center"/>
    </xf>
    <xf numFmtId="0" fontId="62" fillId="0" borderId="0" xfId="0" applyFont="1" applyAlignment="1">
      <alignment horizontal="justify" vertical="center" wrapText="1"/>
    </xf>
    <xf numFmtId="0" fontId="62" fillId="0" borderId="0" xfId="0" applyFont="1" applyAlignment="1">
      <alignment vertical="center"/>
    </xf>
    <xf numFmtId="0" fontId="43" fillId="0" borderId="0" xfId="0" applyFont="1" applyAlignment="1">
      <alignment vertical="center"/>
    </xf>
    <xf numFmtId="2" fontId="26" fillId="0" borderId="0" xfId="0" applyNumberFormat="1" applyFont="1" applyAlignment="1">
      <alignment vertical="center"/>
    </xf>
    <xf numFmtId="2" fontId="26" fillId="0" borderId="0" xfId="0" applyNumberFormat="1" applyFont="1" applyAlignment="1">
      <alignment horizontal="center" vertical="center"/>
    </xf>
    <xf numFmtId="0" fontId="26" fillId="0" borderId="0" xfId="0" applyFont="1" applyAlignment="1">
      <alignment horizontal="justify" vertical="center" wrapText="1"/>
    </xf>
    <xf numFmtId="0" fontId="26" fillId="9" borderId="0" xfId="0" applyFont="1" applyFill="1" applyAlignment="1">
      <alignment horizontal="center" vertical="center"/>
    </xf>
    <xf numFmtId="174" fontId="26" fillId="0" borderId="14" xfId="10" applyNumberFormat="1" applyFont="1" applyBorder="1" applyAlignment="1">
      <alignment horizontal="center" vertical="center"/>
    </xf>
    <xf numFmtId="174" fontId="26" fillId="0" borderId="13" xfId="10" applyNumberFormat="1" applyFont="1" applyBorder="1" applyAlignment="1">
      <alignment horizontal="center" vertical="center"/>
    </xf>
    <xf numFmtId="174" fontId="26" fillId="0" borderId="23" xfId="10" applyNumberFormat="1" applyFont="1" applyBorder="1" applyAlignment="1">
      <alignment horizontal="center" vertical="center"/>
    </xf>
    <xf numFmtId="0" fontId="26" fillId="0" borderId="0" xfId="0" applyFont="1" applyAlignment="1">
      <alignment horizontal="center"/>
    </xf>
    <xf numFmtId="10" fontId="26" fillId="0" borderId="0" xfId="0" applyNumberFormat="1" applyFont="1" applyAlignment="1">
      <alignment horizontal="center" vertical="center"/>
    </xf>
    <xf numFmtId="9" fontId="26" fillId="0" borderId="0" xfId="0" applyNumberFormat="1" applyFont="1" applyAlignment="1">
      <alignment vertical="center"/>
    </xf>
    <xf numFmtId="0" fontId="27" fillId="20" borderId="71" xfId="0" applyFont="1" applyFill="1" applyBorder="1" applyAlignment="1">
      <alignment horizontal="center" vertical="center" wrapText="1"/>
    </xf>
    <xf numFmtId="0" fontId="27" fillId="20" borderId="83" xfId="0" applyFont="1" applyFill="1" applyBorder="1" applyAlignment="1">
      <alignment horizontal="center" vertical="center" wrapText="1"/>
    </xf>
    <xf numFmtId="0" fontId="27" fillId="0" borderId="71" xfId="0" applyFont="1" applyBorder="1" applyAlignment="1">
      <alignment horizontal="center" vertical="center" wrapText="1"/>
    </xf>
    <xf numFmtId="9" fontId="26" fillId="0" borderId="0" xfId="0" applyNumberFormat="1" applyFont="1" applyAlignment="1">
      <alignment horizontal="center" vertical="center"/>
    </xf>
    <xf numFmtId="180" fontId="27" fillId="21" borderId="2" xfId="0" applyNumberFormat="1" applyFont="1" applyFill="1" applyBorder="1" applyAlignment="1">
      <alignment horizontal="center" vertical="center"/>
    </xf>
    <xf numFmtId="180" fontId="26" fillId="0" borderId="0" xfId="0" applyNumberFormat="1" applyFont="1" applyAlignment="1">
      <alignment horizontal="justify" vertical="center" wrapText="1"/>
    </xf>
    <xf numFmtId="0" fontId="27" fillId="22" borderId="71" xfId="0" applyFont="1" applyFill="1" applyBorder="1" applyAlignment="1">
      <alignment horizontal="center" vertical="center" wrapText="1"/>
    </xf>
    <xf numFmtId="180" fontId="26" fillId="22" borderId="0" xfId="0" applyNumberFormat="1" applyFont="1" applyFill="1" applyAlignment="1">
      <alignment horizontal="center" vertical="center"/>
    </xf>
    <xf numFmtId="180" fontId="27" fillId="22" borderId="2" xfId="0" applyNumberFormat="1" applyFont="1" applyFill="1" applyBorder="1" applyAlignment="1">
      <alignment horizontal="center" vertical="center"/>
    </xf>
    <xf numFmtId="0" fontId="27" fillId="22" borderId="85" xfId="0" applyFont="1" applyFill="1" applyBorder="1" applyAlignment="1">
      <alignment horizontal="center" vertical="center" wrapText="1"/>
    </xf>
    <xf numFmtId="180" fontId="27" fillId="0" borderId="0" xfId="0" applyNumberFormat="1" applyFont="1" applyAlignment="1">
      <alignment horizontal="center" vertical="center"/>
    </xf>
    <xf numFmtId="180" fontId="26" fillId="0" borderId="0" xfId="0" applyNumberFormat="1" applyFont="1" applyAlignment="1">
      <alignment horizontal="center" vertical="center"/>
    </xf>
    <xf numFmtId="0" fontId="26" fillId="23" borderId="0" xfId="0" applyFont="1" applyFill="1" applyAlignment="1">
      <alignment horizontal="center" vertical="center"/>
    </xf>
    <xf numFmtId="181" fontId="27" fillId="23" borderId="0" xfId="0" applyNumberFormat="1" applyFont="1" applyFill="1" applyAlignment="1">
      <alignment horizontal="center" vertical="center"/>
    </xf>
    <xf numFmtId="0" fontId="27" fillId="24" borderId="0" xfId="0" applyFont="1" applyFill="1" applyAlignment="1">
      <alignment vertical="center"/>
    </xf>
    <xf numFmtId="182" fontId="26" fillId="24" borderId="0" xfId="0" applyNumberFormat="1" applyFont="1" applyFill="1" applyAlignment="1">
      <alignment horizontal="center" vertical="center"/>
    </xf>
    <xf numFmtId="180" fontId="26" fillId="24" borderId="0" xfId="0" applyNumberFormat="1" applyFont="1" applyFill="1" applyAlignment="1">
      <alignment horizontal="center" vertical="center"/>
    </xf>
    <xf numFmtId="0" fontId="29" fillId="0" borderId="6" xfId="28" applyNumberFormat="1" applyFont="1" applyBorder="1" applyAlignment="1">
      <alignment horizontal="justify" vertical="center" wrapText="1"/>
    </xf>
    <xf numFmtId="0" fontId="42" fillId="0" borderId="6" xfId="34" applyNumberFormat="1" applyBorder="1" applyAlignment="1">
      <alignment horizontal="justify" vertical="center" wrapText="1"/>
    </xf>
    <xf numFmtId="0" fontId="63" fillId="0" borderId="6" xfId="28" applyNumberFormat="1" applyFont="1" applyBorder="1" applyAlignment="1">
      <alignment horizontal="justify" vertical="center"/>
    </xf>
    <xf numFmtId="9" fontId="29" fillId="0" borderId="6" xfId="28" applyFont="1" applyBorder="1" applyAlignment="1">
      <alignment horizontal="justify" vertical="center" wrapText="1"/>
    </xf>
    <xf numFmtId="9" fontId="42" fillId="0" borderId="6" xfId="34" applyNumberFormat="1" applyBorder="1" applyAlignment="1">
      <alignment horizontal="justify" vertical="center" wrapText="1"/>
    </xf>
    <xf numFmtId="10" fontId="65" fillId="0" borderId="0" xfId="0" applyNumberFormat="1" applyFont="1" applyAlignment="1">
      <alignment vertical="center"/>
    </xf>
    <xf numFmtId="10" fontId="65" fillId="0" borderId="6" xfId="28" applyNumberFormat="1" applyFont="1" applyBorder="1" applyAlignment="1">
      <alignment vertical="center"/>
    </xf>
    <xf numFmtId="10" fontId="65" fillId="0" borderId="6" xfId="10" applyNumberFormat="1" applyFont="1" applyBorder="1" applyAlignment="1">
      <alignment vertical="center"/>
    </xf>
    <xf numFmtId="10" fontId="65" fillId="0" borderId="5" xfId="28" applyNumberFormat="1" applyFont="1" applyBorder="1" applyAlignment="1">
      <alignment vertical="center"/>
    </xf>
    <xf numFmtId="0" fontId="38" fillId="31" borderId="0" xfId="0" applyFont="1" applyFill="1" applyAlignment="1">
      <alignment horizontal="center" vertical="center" wrapText="1"/>
    </xf>
    <xf numFmtId="10" fontId="38" fillId="0" borderId="0" xfId="28" applyNumberFormat="1" applyFont="1" applyAlignment="1">
      <alignment vertical="center"/>
    </xf>
    <xf numFmtId="0" fontId="47" fillId="28" borderId="6" xfId="22" applyFont="1" applyFill="1" applyBorder="1" applyAlignment="1">
      <alignment vertical="center"/>
    </xf>
    <xf numFmtId="0" fontId="47" fillId="28" borderId="6" xfId="22" applyFont="1" applyFill="1" applyBorder="1" applyAlignment="1">
      <alignment vertical="center" wrapText="1"/>
    </xf>
    <xf numFmtId="0" fontId="47" fillId="32" borderId="6" xfId="22" applyFont="1" applyFill="1" applyBorder="1" applyAlignment="1">
      <alignment vertical="center"/>
    </xf>
    <xf numFmtId="0" fontId="47" fillId="29" borderId="6" xfId="22" applyFont="1" applyFill="1" applyBorder="1" applyAlignment="1">
      <alignment vertical="center"/>
    </xf>
    <xf numFmtId="0" fontId="47" fillId="28" borderId="12" xfId="22" applyFont="1" applyFill="1" applyBorder="1" applyAlignment="1">
      <alignment vertical="center"/>
    </xf>
    <xf numFmtId="0" fontId="48" fillId="30" borderId="24" xfId="22" applyFont="1" applyFill="1" applyBorder="1" applyAlignment="1">
      <alignment horizontal="center" vertical="center"/>
    </xf>
    <xf numFmtId="179" fontId="48" fillId="30" borderId="70" xfId="22" applyNumberFormat="1" applyFont="1" applyFill="1" applyBorder="1" applyAlignment="1">
      <alignment horizontal="center" vertical="center"/>
    </xf>
    <xf numFmtId="0" fontId="48" fillId="30" borderId="70" xfId="22" applyFont="1" applyFill="1" applyBorder="1" applyAlignment="1">
      <alignment horizontal="center" vertical="center" wrapText="1"/>
    </xf>
    <xf numFmtId="0" fontId="48" fillId="30" borderId="25" xfId="22" applyFont="1" applyFill="1" applyBorder="1" applyAlignment="1">
      <alignment horizontal="center" vertical="center"/>
    </xf>
    <xf numFmtId="0" fontId="49" fillId="30" borderId="25" xfId="22" applyFont="1" applyFill="1" applyBorder="1" applyAlignment="1">
      <alignment horizontal="center" vertical="center" wrapText="1"/>
    </xf>
    <xf numFmtId="0" fontId="49" fillId="33" borderId="25" xfId="22" applyFont="1" applyFill="1" applyBorder="1" applyAlignment="1">
      <alignment horizontal="center" vertical="center" wrapText="1"/>
    </xf>
    <xf numFmtId="0" fontId="49" fillId="30" borderId="25" xfId="22" applyFont="1" applyFill="1" applyBorder="1" applyAlignment="1">
      <alignment horizontal="right" vertical="center" wrapText="1"/>
    </xf>
    <xf numFmtId="0" fontId="49" fillId="30" borderId="26" xfId="22" applyFont="1" applyFill="1" applyBorder="1" applyAlignment="1">
      <alignment horizontal="center" vertical="center" wrapText="1"/>
    </xf>
    <xf numFmtId="0" fontId="49" fillId="30" borderId="99" xfId="22" applyFont="1" applyFill="1" applyBorder="1" applyAlignment="1">
      <alignment horizontal="center" vertical="center" wrapText="1"/>
    </xf>
    <xf numFmtId="0" fontId="47" fillId="0" borderId="0" xfId="22" applyFont="1" applyAlignment="1">
      <alignment vertical="center"/>
    </xf>
    <xf numFmtId="0" fontId="47" fillId="0" borderId="0" xfId="22" applyFont="1" applyAlignment="1">
      <alignment horizontal="center" vertical="center"/>
    </xf>
    <xf numFmtId="179" fontId="47" fillId="0" borderId="0" xfId="22" applyNumberFormat="1" applyFont="1" applyAlignment="1">
      <alignment horizontal="center" vertical="center"/>
    </xf>
    <xf numFmtId="0" fontId="66" fillId="0" borderId="0" xfId="22" applyFont="1" applyAlignment="1">
      <alignment vertical="top"/>
    </xf>
    <xf numFmtId="14" fontId="66" fillId="0" borderId="0" xfId="22" applyNumberFormat="1" applyFont="1" applyAlignment="1">
      <alignment horizontal="right" vertical="top"/>
    </xf>
    <xf numFmtId="3" fontId="66" fillId="0" borderId="0" xfId="22" applyNumberFormat="1" applyFont="1" applyAlignment="1">
      <alignment horizontal="right" vertical="top"/>
    </xf>
    <xf numFmtId="0" fontId="66" fillId="0" borderId="13" xfId="22" applyFont="1" applyBorder="1" applyAlignment="1">
      <alignment horizontal="center" vertical="center"/>
    </xf>
    <xf numFmtId="3" fontId="66" fillId="0" borderId="6" xfId="22" applyNumberFormat="1" applyFont="1" applyBorder="1" applyAlignment="1">
      <alignment horizontal="center" vertical="top"/>
    </xf>
    <xf numFmtId="15" fontId="67" fillId="0" borderId="6" xfId="22" applyNumberFormat="1" applyFont="1" applyBorder="1" applyAlignment="1">
      <alignment horizontal="center" vertical="center" wrapText="1"/>
    </xf>
    <xf numFmtId="0" fontId="66" fillId="0" borderId="6" xfId="22" applyFont="1" applyBorder="1" applyAlignment="1">
      <alignment vertical="top"/>
    </xf>
    <xf numFmtId="3" fontId="66" fillId="0" borderId="6" xfId="22" applyNumberFormat="1" applyFont="1" applyBorder="1" applyAlignment="1">
      <alignment horizontal="right" vertical="top"/>
    </xf>
    <xf numFmtId="3" fontId="66" fillId="0" borderId="12" xfId="22" applyNumberFormat="1" applyFont="1" applyBorder="1" applyAlignment="1">
      <alignment horizontal="right" vertical="top"/>
    </xf>
    <xf numFmtId="3" fontId="66" fillId="0" borderId="16" xfId="22" applyNumberFormat="1" applyFont="1" applyBorder="1" applyAlignment="1">
      <alignment horizontal="right" vertical="top"/>
    </xf>
    <xf numFmtId="3" fontId="68" fillId="0" borderId="52" xfId="22" applyNumberFormat="1" applyFont="1" applyBorder="1" applyAlignment="1">
      <alignment horizontal="right" vertical="top"/>
    </xf>
    <xf numFmtId="0" fontId="66" fillId="0" borderId="0" xfId="22" applyFont="1" applyAlignment="1">
      <alignment horizontal="center" vertical="center"/>
    </xf>
    <xf numFmtId="3" fontId="66" fillId="0" borderId="0" xfId="22" applyNumberFormat="1" applyFont="1" applyAlignment="1">
      <alignment horizontal="center" vertical="center"/>
    </xf>
    <xf numFmtId="3" fontId="66" fillId="0" borderId="0" xfId="22" applyNumberFormat="1" applyFont="1" applyAlignment="1">
      <alignment vertical="top"/>
    </xf>
    <xf numFmtId="9" fontId="66" fillId="0" borderId="0" xfId="38" applyFont="1" applyFill="1" applyAlignment="1">
      <alignment vertical="top"/>
    </xf>
    <xf numFmtId="3" fontId="66" fillId="0" borderId="0" xfId="22" applyNumberFormat="1" applyFont="1" applyAlignment="1">
      <alignment horizontal="center" vertical="top"/>
    </xf>
    <xf numFmtId="3" fontId="69" fillId="0" borderId="0" xfId="22" applyNumberFormat="1" applyFont="1" applyAlignment="1">
      <alignment horizontal="right" vertical="top"/>
    </xf>
    <xf numFmtId="0" fontId="2" fillId="0" borderId="0" xfId="22" applyAlignment="1">
      <alignment vertical="top"/>
    </xf>
    <xf numFmtId="3" fontId="2" fillId="0" borderId="0" xfId="22" applyNumberFormat="1" applyAlignment="1">
      <alignment vertical="top"/>
    </xf>
    <xf numFmtId="0" fontId="2" fillId="0" borderId="0" xfId="22" applyAlignment="1">
      <alignment horizontal="center" vertical="center"/>
    </xf>
    <xf numFmtId="3" fontId="47" fillId="0" borderId="0" xfId="22" applyNumberFormat="1" applyFont="1" applyAlignment="1">
      <alignment vertical="top"/>
    </xf>
    <xf numFmtId="0" fontId="50" fillId="13" borderId="0" xfId="22" applyFont="1" applyFill="1" applyAlignment="1">
      <alignment vertical="top"/>
    </xf>
    <xf numFmtId="0" fontId="50" fillId="0" borderId="0" xfId="22" applyFont="1" applyAlignment="1">
      <alignment vertical="top"/>
    </xf>
    <xf numFmtId="3" fontId="47" fillId="13" borderId="0" xfId="22" applyNumberFormat="1" applyFont="1" applyFill="1" applyAlignment="1">
      <alignment vertical="top"/>
    </xf>
    <xf numFmtId="0" fontId="50" fillId="13" borderId="0" xfId="22" applyFont="1" applyFill="1" applyAlignment="1">
      <alignment horizontal="center" vertical="center"/>
    </xf>
    <xf numFmtId="179" fontId="50" fillId="13" borderId="0" xfId="22" applyNumberFormat="1" applyFont="1" applyFill="1" applyAlignment="1">
      <alignment horizontal="center" vertical="center"/>
    </xf>
    <xf numFmtId="0" fontId="50" fillId="13" borderId="0" xfId="22" applyFont="1" applyFill="1" applyAlignment="1">
      <alignment horizontal="center" vertical="center" wrapText="1"/>
    </xf>
    <xf numFmtId="3" fontId="52" fillId="13" borderId="16" xfId="22" applyNumberFormat="1" applyFont="1" applyFill="1" applyBorder="1" applyAlignment="1">
      <alignment horizontal="right" vertical="top"/>
    </xf>
    <xf numFmtId="3" fontId="47" fillId="13" borderId="0" xfId="22" applyNumberFormat="1" applyFont="1" applyFill="1" applyAlignment="1">
      <alignment horizontal="center" vertical="center"/>
    </xf>
    <xf numFmtId="3" fontId="50" fillId="0" borderId="0" xfId="22" applyNumberFormat="1" applyFont="1" applyAlignment="1">
      <alignment vertical="top"/>
    </xf>
    <xf numFmtId="0" fontId="37" fillId="0" borderId="0" xfId="22" applyFont="1" applyAlignment="1">
      <alignment horizontal="center" vertical="center"/>
    </xf>
    <xf numFmtId="0" fontId="2" fillId="0" borderId="0" xfId="22" applyAlignment="1">
      <alignment horizontal="center" vertical="top"/>
    </xf>
    <xf numFmtId="14" fontId="50" fillId="0" borderId="0" xfId="22" applyNumberFormat="1" applyFont="1" applyAlignment="1">
      <alignment horizontal="right" vertical="top"/>
    </xf>
    <xf numFmtId="3" fontId="50" fillId="13" borderId="0" xfId="22" applyNumberFormat="1" applyFont="1" applyFill="1" applyAlignment="1">
      <alignment horizontal="right" vertical="top"/>
    </xf>
    <xf numFmtId="0" fontId="50" fillId="13" borderId="13" xfId="22" applyFont="1" applyFill="1" applyBorder="1" applyAlignment="1">
      <alignment horizontal="center" vertical="center"/>
    </xf>
    <xf numFmtId="3" fontId="50" fillId="13" borderId="6" xfId="22" applyNumberFormat="1" applyFont="1" applyFill="1" applyBorder="1" applyAlignment="1">
      <alignment horizontal="center" vertical="top"/>
    </xf>
    <xf numFmtId="15" fontId="51" fillId="13" borderId="6" xfId="22" applyNumberFormat="1" applyFont="1" applyFill="1" applyBorder="1" applyAlignment="1">
      <alignment horizontal="center" vertical="center" wrapText="1"/>
    </xf>
    <xf numFmtId="0" fontId="50" fillId="13" borderId="6" xfId="22" applyFont="1" applyFill="1" applyBorder="1" applyAlignment="1">
      <alignment vertical="top"/>
    </xf>
    <xf numFmtId="3" fontId="50" fillId="13" borderId="6" xfId="22" applyNumberFormat="1" applyFont="1" applyFill="1" applyBorder="1" applyAlignment="1">
      <alignment horizontal="right" vertical="top"/>
    </xf>
    <xf numFmtId="3" fontId="50" fillId="13" borderId="12" xfId="22" applyNumberFormat="1" applyFont="1" applyFill="1" applyBorder="1" applyAlignment="1">
      <alignment horizontal="right" vertical="top"/>
    </xf>
    <xf numFmtId="3" fontId="52" fillId="13" borderId="12" xfId="22" applyNumberFormat="1" applyFont="1" applyFill="1" applyBorder="1" applyAlignment="1">
      <alignment horizontal="right" vertical="top"/>
    </xf>
    <xf numFmtId="3" fontId="47" fillId="13" borderId="6" xfId="22" applyNumberFormat="1" applyFont="1" applyFill="1" applyBorder="1" applyAlignment="1">
      <alignment horizontal="right" vertical="top"/>
    </xf>
    <xf numFmtId="3" fontId="50" fillId="13" borderId="0" xfId="22" applyNumberFormat="1" applyFont="1" applyFill="1" applyAlignment="1">
      <alignment horizontal="center" vertical="center"/>
    </xf>
    <xf numFmtId="9" fontId="50" fillId="0" borderId="0" xfId="38" applyFont="1" applyFill="1" applyAlignment="1">
      <alignment vertical="top"/>
    </xf>
    <xf numFmtId="0" fontId="50" fillId="0" borderId="0" xfId="22" applyFont="1" applyAlignment="1">
      <alignment horizontal="center" vertical="top"/>
    </xf>
    <xf numFmtId="10" fontId="50" fillId="0" borderId="0" xfId="38" applyNumberFormat="1" applyFont="1" applyFill="1" applyAlignment="1">
      <alignment horizontal="center" vertical="top"/>
    </xf>
    <xf numFmtId="0" fontId="55" fillId="13" borderId="0" xfId="22" applyFont="1" applyFill="1" applyAlignment="1">
      <alignment vertical="top"/>
    </xf>
    <xf numFmtId="0" fontId="47" fillId="0" borderId="0" xfId="22" applyFont="1" applyAlignment="1">
      <alignment vertical="top"/>
    </xf>
    <xf numFmtId="14" fontId="47" fillId="0" borderId="0" xfId="22" applyNumberFormat="1" applyFont="1" applyAlignment="1">
      <alignment horizontal="right" vertical="top"/>
    </xf>
    <xf numFmtId="3" fontId="55" fillId="13" borderId="0" xfId="22" applyNumberFormat="1" applyFont="1" applyFill="1" applyAlignment="1">
      <alignment horizontal="right" vertical="top"/>
    </xf>
    <xf numFmtId="0" fontId="55" fillId="13" borderId="13" xfId="22" applyFont="1" applyFill="1" applyBorder="1" applyAlignment="1">
      <alignment horizontal="center" vertical="center"/>
    </xf>
    <xf numFmtId="3" fontId="55" fillId="13" borderId="6" xfId="22" applyNumberFormat="1" applyFont="1" applyFill="1" applyBorder="1" applyAlignment="1">
      <alignment horizontal="center" vertical="top"/>
    </xf>
    <xf numFmtId="15" fontId="70" fillId="13" borderId="6" xfId="22" applyNumberFormat="1" applyFont="1" applyFill="1" applyBorder="1" applyAlignment="1">
      <alignment horizontal="center" vertical="center" wrapText="1"/>
    </xf>
    <xf numFmtId="0" fontId="55" fillId="13" borderId="6" xfId="22" applyFont="1" applyFill="1" applyBorder="1" applyAlignment="1">
      <alignment vertical="top"/>
    </xf>
    <xf numFmtId="3" fontId="55" fillId="13" borderId="6" xfId="22" applyNumberFormat="1" applyFont="1" applyFill="1" applyBorder="1" applyAlignment="1">
      <alignment horizontal="right" vertical="top"/>
    </xf>
    <xf numFmtId="3" fontId="55" fillId="13" borderId="12" xfId="22" applyNumberFormat="1" applyFont="1" applyFill="1" applyBorder="1" applyAlignment="1">
      <alignment horizontal="right" vertical="top"/>
    </xf>
    <xf numFmtId="3" fontId="71" fillId="13" borderId="12" xfId="22" applyNumberFormat="1" applyFont="1" applyFill="1" applyBorder="1" applyAlignment="1">
      <alignment horizontal="right" vertical="top"/>
    </xf>
    <xf numFmtId="0" fontId="55" fillId="13" borderId="0" xfId="22" applyFont="1" applyFill="1" applyAlignment="1">
      <alignment horizontal="center" vertical="center"/>
    </xf>
    <xf numFmtId="3" fontId="55" fillId="13" borderId="0" xfId="22" applyNumberFormat="1" applyFont="1" applyFill="1" applyAlignment="1">
      <alignment horizontal="center" vertical="center"/>
    </xf>
    <xf numFmtId="0" fontId="55" fillId="0" borderId="0" xfId="22" applyFont="1" applyAlignment="1">
      <alignment vertical="top"/>
    </xf>
    <xf numFmtId="0" fontId="55" fillId="0" borderId="0" xfId="22" applyFont="1" applyAlignment="1">
      <alignment horizontal="center" vertical="top"/>
    </xf>
    <xf numFmtId="0" fontId="47" fillId="13" borderId="0" xfId="22" applyFont="1" applyFill="1" applyAlignment="1">
      <alignment vertical="top"/>
    </xf>
    <xf numFmtId="3" fontId="47" fillId="13" borderId="0" xfId="22" applyNumberFormat="1" applyFont="1" applyFill="1" applyAlignment="1">
      <alignment horizontal="right" vertical="top"/>
    </xf>
    <xf numFmtId="0" fontId="47" fillId="13" borderId="13" xfId="22" applyFont="1" applyFill="1" applyBorder="1" applyAlignment="1">
      <alignment horizontal="center" vertical="center"/>
    </xf>
    <xf numFmtId="3" fontId="47" fillId="13" borderId="6" xfId="22" applyNumberFormat="1" applyFont="1" applyFill="1" applyBorder="1" applyAlignment="1">
      <alignment horizontal="center" vertical="top"/>
    </xf>
    <xf numFmtId="15" fontId="72" fillId="13" borderId="6" xfId="22" applyNumberFormat="1" applyFont="1" applyFill="1" applyBorder="1" applyAlignment="1">
      <alignment horizontal="center" vertical="center" wrapText="1"/>
    </xf>
    <xf numFmtId="0" fontId="47" fillId="13" borderId="6" xfId="22" applyFont="1" applyFill="1" applyBorder="1" applyAlignment="1">
      <alignment vertical="top"/>
    </xf>
    <xf numFmtId="3" fontId="47" fillId="13" borderId="12" xfId="22" applyNumberFormat="1" applyFont="1" applyFill="1" applyBorder="1" applyAlignment="1">
      <alignment horizontal="right" vertical="top"/>
    </xf>
    <xf numFmtId="0" fontId="47" fillId="13" borderId="0" xfId="22" applyFont="1" applyFill="1" applyAlignment="1">
      <alignment horizontal="center" vertical="center"/>
    </xf>
    <xf numFmtId="0" fontId="47" fillId="0" borderId="0" xfId="22" applyFont="1" applyAlignment="1">
      <alignment horizontal="center" vertical="top"/>
    </xf>
    <xf numFmtId="0" fontId="53" fillId="13" borderId="0" xfId="22" applyFont="1" applyFill="1" applyAlignment="1">
      <alignment vertical="top"/>
    </xf>
    <xf numFmtId="3" fontId="53" fillId="13" borderId="0" xfId="22" applyNumberFormat="1" applyFont="1" applyFill="1" applyAlignment="1">
      <alignment horizontal="right" vertical="top"/>
    </xf>
    <xf numFmtId="0" fontId="53" fillId="13" borderId="13" xfId="22" applyFont="1" applyFill="1" applyBorder="1" applyAlignment="1">
      <alignment horizontal="center" vertical="center"/>
    </xf>
    <xf numFmtId="3" fontId="53" fillId="13" borderId="6" xfId="22" applyNumberFormat="1" applyFont="1" applyFill="1" applyBorder="1" applyAlignment="1">
      <alignment horizontal="center" vertical="top"/>
    </xf>
    <xf numFmtId="15" fontId="54" fillId="13" borderId="6" xfId="22" applyNumberFormat="1" applyFont="1" applyFill="1" applyBorder="1" applyAlignment="1">
      <alignment horizontal="center" vertical="center" wrapText="1"/>
    </xf>
    <xf numFmtId="0" fontId="53" fillId="13" borderId="6" xfId="22" applyFont="1" applyFill="1" applyBorder="1" applyAlignment="1">
      <alignment vertical="top"/>
    </xf>
    <xf numFmtId="3" fontId="53" fillId="13" borderId="6" xfId="22" applyNumberFormat="1" applyFont="1" applyFill="1" applyBorder="1" applyAlignment="1">
      <alignment horizontal="right" vertical="top"/>
    </xf>
    <xf numFmtId="3" fontId="53" fillId="13" borderId="12" xfId="22" applyNumberFormat="1" applyFont="1" applyFill="1" applyBorder="1" applyAlignment="1">
      <alignment horizontal="right" vertical="top"/>
    </xf>
    <xf numFmtId="3" fontId="53" fillId="13" borderId="0" xfId="22" applyNumberFormat="1" applyFont="1" applyFill="1" applyAlignment="1">
      <alignment horizontal="center" vertical="center"/>
    </xf>
    <xf numFmtId="0" fontId="53" fillId="13" borderId="0" xfId="22" applyFont="1" applyFill="1" applyAlignment="1">
      <alignment horizontal="center" vertical="center"/>
    </xf>
    <xf numFmtId="0" fontId="53" fillId="0" borderId="0" xfId="22" applyFont="1" applyAlignment="1">
      <alignment vertical="top"/>
    </xf>
    <xf numFmtId="0" fontId="53" fillId="0" borderId="0" xfId="22" applyFont="1" applyAlignment="1">
      <alignment horizontal="center" vertical="top"/>
    </xf>
    <xf numFmtId="0" fontId="37" fillId="34" borderId="0" xfId="22" applyFont="1" applyFill="1" applyAlignment="1">
      <alignment vertical="top"/>
    </xf>
    <xf numFmtId="3" fontId="47" fillId="34" borderId="0" xfId="22" applyNumberFormat="1" applyFont="1" applyFill="1" applyAlignment="1">
      <alignment vertical="top"/>
    </xf>
    <xf numFmtId="164" fontId="2" fillId="0" borderId="0" xfId="22" applyNumberFormat="1" applyAlignment="1">
      <alignment horizontal="center" vertical="top"/>
    </xf>
    <xf numFmtId="0" fontId="37" fillId="0" borderId="0" xfId="22" applyFont="1" applyAlignment="1">
      <alignment vertical="top"/>
    </xf>
    <xf numFmtId="3" fontId="73" fillId="0" borderId="0" xfId="22" applyNumberFormat="1" applyFont="1" applyAlignment="1">
      <alignment vertical="top"/>
    </xf>
    <xf numFmtId="3" fontId="2" fillId="0" borderId="0" xfId="22" applyNumberFormat="1" applyAlignment="1">
      <alignment horizontal="center" vertical="top"/>
    </xf>
    <xf numFmtId="3" fontId="47" fillId="35" borderId="0" xfId="22" applyNumberFormat="1" applyFont="1" applyFill="1" applyAlignment="1">
      <alignment vertical="top"/>
    </xf>
    <xf numFmtId="0" fontId="37" fillId="0" borderId="0" xfId="22" applyFont="1" applyAlignment="1">
      <alignment horizontal="center" vertical="top"/>
    </xf>
    <xf numFmtId="0" fontId="74" fillId="0" borderId="0" xfId="22" applyFont="1" applyAlignment="1">
      <alignment vertical="top"/>
    </xf>
    <xf numFmtId="3" fontId="75" fillId="0" borderId="0" xfId="22" applyNumberFormat="1" applyFont="1" applyAlignment="1">
      <alignment vertical="top"/>
    </xf>
    <xf numFmtId="0" fontId="76" fillId="0" borderId="0" xfId="22" applyFont="1" applyAlignment="1">
      <alignment vertical="top"/>
    </xf>
    <xf numFmtId="3" fontId="77" fillId="0" borderId="0" xfId="22" applyNumberFormat="1" applyFont="1" applyAlignment="1">
      <alignment vertical="top"/>
    </xf>
    <xf numFmtId="0" fontId="37" fillId="10" borderId="0" xfId="22" applyFont="1" applyFill="1" applyAlignment="1">
      <alignment vertical="top"/>
    </xf>
    <xf numFmtId="3" fontId="47" fillId="10" borderId="0" xfId="22" applyNumberFormat="1" applyFont="1" applyFill="1" applyAlignment="1">
      <alignment vertical="top"/>
    </xf>
    <xf numFmtId="10" fontId="0" fillId="0" borderId="0" xfId="38" applyNumberFormat="1" applyFont="1" applyAlignment="1">
      <alignment horizontal="center" vertical="top"/>
    </xf>
    <xf numFmtId="10" fontId="0" fillId="0" borderId="0" xfId="38" applyNumberFormat="1" applyFont="1" applyAlignment="1">
      <alignment vertical="top"/>
    </xf>
    <xf numFmtId="0" fontId="74" fillId="34" borderId="0" xfId="22" applyFont="1" applyFill="1" applyAlignment="1">
      <alignment vertical="top"/>
    </xf>
    <xf numFmtId="3" fontId="78" fillId="34" borderId="0" xfId="22" applyNumberFormat="1" applyFont="1" applyFill="1" applyAlignment="1">
      <alignment vertical="top"/>
    </xf>
    <xf numFmtId="0" fontId="79" fillId="0" borderId="100" xfId="22" applyFont="1" applyBorder="1" applyAlignment="1">
      <alignment vertical="center" wrapText="1"/>
    </xf>
    <xf numFmtId="0" fontId="79" fillId="0" borderId="100" xfId="22" applyFont="1" applyBorder="1" applyAlignment="1">
      <alignment horizontal="center" vertical="center" wrapText="1"/>
    </xf>
    <xf numFmtId="3" fontId="79" fillId="0" borderId="100" xfId="22" applyNumberFormat="1" applyFont="1" applyBorder="1" applyAlignment="1">
      <alignment vertical="center" wrapText="1"/>
    </xf>
    <xf numFmtId="10" fontId="79" fillId="0" borderId="100" xfId="22" applyNumberFormat="1" applyFont="1" applyBorder="1" applyAlignment="1">
      <alignment vertical="center" wrapText="1"/>
    </xf>
    <xf numFmtId="3" fontId="80" fillId="0" borderId="100" xfId="22" applyNumberFormat="1" applyFont="1" applyBorder="1" applyAlignment="1">
      <alignment vertical="center" wrapText="1"/>
    </xf>
    <xf numFmtId="10" fontId="80" fillId="0" borderId="100" xfId="22" applyNumberFormat="1" applyFont="1" applyBorder="1" applyAlignment="1">
      <alignment vertical="center" wrapText="1"/>
    </xf>
    <xf numFmtId="10" fontId="2" fillId="0" borderId="0" xfId="22" applyNumberFormat="1" applyAlignment="1">
      <alignment horizontal="center" vertical="top"/>
    </xf>
    <xf numFmtId="3" fontId="80" fillId="0" borderId="0" xfId="22" applyNumberFormat="1" applyFont="1" applyAlignment="1">
      <alignment vertical="center" wrapText="1"/>
    </xf>
    <xf numFmtId="10" fontId="80" fillId="0" borderId="0" xfId="22" applyNumberFormat="1" applyFont="1" applyAlignment="1">
      <alignment vertical="center" wrapText="1"/>
    </xf>
    <xf numFmtId="0" fontId="29" fillId="0" borderId="0" xfId="0" applyFont="1" applyAlignment="1">
      <alignment horizontal="justify" vertical="center" wrapText="1"/>
    </xf>
    <xf numFmtId="167" fontId="26" fillId="0" borderId="0" xfId="15" applyFont="1" applyAlignment="1">
      <alignment vertical="center" wrapText="1"/>
    </xf>
    <xf numFmtId="9" fontId="42" fillId="0" borderId="6" xfId="35" applyNumberFormat="1" applyBorder="1" applyAlignment="1">
      <alignment horizontal="justify" vertical="center"/>
    </xf>
    <xf numFmtId="0" fontId="32" fillId="0" borderId="11" xfId="0" applyFont="1" applyBorder="1" applyAlignment="1">
      <alignment horizontal="center" vertical="center"/>
    </xf>
    <xf numFmtId="0" fontId="32" fillId="0" borderId="8" xfId="0" applyFont="1" applyBorder="1" applyAlignment="1">
      <alignment horizontal="center" vertical="center"/>
    </xf>
    <xf numFmtId="9" fontId="26" fillId="36" borderId="6" xfId="29" applyFont="1" applyFill="1" applyBorder="1" applyAlignment="1" applyProtection="1">
      <alignment horizontal="center" vertical="center" wrapText="1"/>
      <protection locked="0"/>
    </xf>
    <xf numFmtId="9" fontId="26" fillId="36" borderId="6" xfId="28" applyFont="1" applyFill="1" applyBorder="1" applyAlignment="1" applyProtection="1">
      <alignment horizontal="center" vertical="center" wrapText="1"/>
      <protection locked="0"/>
    </xf>
    <xf numFmtId="0" fontId="29" fillId="0" borderId="0" xfId="0" applyFont="1" applyAlignment="1">
      <alignment wrapText="1"/>
    </xf>
    <xf numFmtId="0" fontId="29" fillId="0" borderId="6" xfId="0" applyFont="1" applyBorder="1" applyAlignment="1">
      <alignment vertical="center"/>
    </xf>
    <xf numFmtId="15" fontId="29" fillId="0" borderId="14" xfId="0" applyNumberFormat="1" applyFont="1" applyBorder="1" applyAlignment="1">
      <alignment horizontal="center" vertical="center" wrapText="1"/>
    </xf>
    <xf numFmtId="0" fontId="29" fillId="0" borderId="0" xfId="0" applyFont="1" applyAlignment="1">
      <alignment horizontal="center" vertical="center" wrapText="1"/>
    </xf>
    <xf numFmtId="0" fontId="29" fillId="0" borderId="13" xfId="0" applyFont="1" applyBorder="1" applyAlignment="1">
      <alignment horizontal="center" vertical="center" wrapText="1"/>
    </xf>
    <xf numFmtId="0" fontId="29" fillId="0" borderId="13" xfId="0" applyFont="1" applyBorder="1" applyAlignment="1">
      <alignment horizontal="center" vertical="center"/>
    </xf>
    <xf numFmtId="0" fontId="29" fillId="0" borderId="13" xfId="0" applyFont="1" applyBorder="1" applyAlignment="1">
      <alignment horizontal="center"/>
    </xf>
    <xf numFmtId="0" fontId="29" fillId="0" borderId="6" xfId="0" applyFont="1" applyBorder="1" applyAlignment="1">
      <alignment horizontal="center"/>
    </xf>
    <xf numFmtId="0" fontId="29" fillId="0" borderId="0" xfId="0" applyFont="1" applyAlignment="1">
      <alignment horizontal="center"/>
    </xf>
    <xf numFmtId="0" fontId="29" fillId="0" borderId="12" xfId="0" applyFont="1" applyBorder="1" applyAlignment="1">
      <alignment horizontal="justify" vertical="center" wrapText="1"/>
    </xf>
    <xf numFmtId="0" fontId="32" fillId="0" borderId="9" xfId="0" applyFont="1" applyBorder="1" applyAlignment="1">
      <alignment horizontal="center" vertical="center"/>
    </xf>
    <xf numFmtId="0" fontId="32" fillId="10" borderId="6" xfId="0" applyFont="1" applyFill="1" applyBorder="1" applyAlignment="1">
      <alignment vertical="center" wrapText="1"/>
    </xf>
    <xf numFmtId="170" fontId="29" fillId="0" borderId="6" xfId="11" applyFont="1" applyBorder="1" applyAlignment="1">
      <alignment vertical="center" wrapText="1"/>
    </xf>
    <xf numFmtId="4" fontId="36" fillId="0" borderId="6" xfId="0" applyNumberFormat="1" applyFont="1" applyBorder="1" applyAlignment="1">
      <alignment vertical="center"/>
    </xf>
    <xf numFmtId="0" fontId="66" fillId="37" borderId="0" xfId="22" applyFont="1" applyFill="1" applyAlignment="1">
      <alignment vertical="top"/>
    </xf>
    <xf numFmtId="14" fontId="66" fillId="37" borderId="0" xfId="22" applyNumberFormat="1" applyFont="1" applyFill="1" applyAlignment="1">
      <alignment horizontal="right" vertical="top"/>
    </xf>
    <xf numFmtId="3" fontId="66" fillId="37" borderId="0" xfId="22" applyNumberFormat="1" applyFont="1" applyFill="1" applyAlignment="1">
      <alignment horizontal="right" vertical="top"/>
    </xf>
    <xf numFmtId="3" fontId="69" fillId="37" borderId="0" xfId="22" applyNumberFormat="1" applyFont="1" applyFill="1" applyAlignment="1">
      <alignment horizontal="right" vertical="top"/>
    </xf>
    <xf numFmtId="0" fontId="66" fillId="37" borderId="13" xfId="22" applyFont="1" applyFill="1" applyBorder="1" applyAlignment="1">
      <alignment horizontal="center" vertical="center"/>
    </xf>
    <xf numFmtId="3" fontId="66" fillId="37" borderId="6" xfId="22" applyNumberFormat="1" applyFont="1" applyFill="1" applyBorder="1" applyAlignment="1">
      <alignment horizontal="center" vertical="top"/>
    </xf>
    <xf numFmtId="15" fontId="67" fillId="37" borderId="6" xfId="22" applyNumberFormat="1" applyFont="1" applyFill="1" applyBorder="1" applyAlignment="1">
      <alignment horizontal="center" vertical="center" wrapText="1"/>
    </xf>
    <xf numFmtId="0" fontId="66" fillId="37" borderId="6" xfId="22" applyFont="1" applyFill="1" applyBorder="1" applyAlignment="1">
      <alignment vertical="top"/>
    </xf>
    <xf numFmtId="3" fontId="66" fillId="37" borderId="6" xfId="22" applyNumberFormat="1" applyFont="1" applyFill="1" applyBorder="1" applyAlignment="1">
      <alignment horizontal="right" vertical="top"/>
    </xf>
    <xf numFmtId="3" fontId="66" fillId="37" borderId="12" xfId="22" applyNumberFormat="1" applyFont="1" applyFill="1" applyBorder="1" applyAlignment="1">
      <alignment horizontal="right" vertical="top"/>
    </xf>
    <xf numFmtId="3" fontId="66" fillId="37" borderId="16" xfId="22" applyNumberFormat="1" applyFont="1" applyFill="1" applyBorder="1" applyAlignment="1">
      <alignment horizontal="right" vertical="top"/>
    </xf>
    <xf numFmtId="3" fontId="68" fillId="37" borderId="52" xfId="22" applyNumberFormat="1" applyFont="1" applyFill="1" applyBorder="1" applyAlignment="1">
      <alignment horizontal="right" vertical="top"/>
    </xf>
    <xf numFmtId="0" fontId="66" fillId="37" borderId="0" xfId="22" applyFont="1" applyFill="1" applyAlignment="1">
      <alignment horizontal="center" vertical="center"/>
    </xf>
    <xf numFmtId="3" fontId="66" fillId="37" borderId="0" xfId="22" applyNumberFormat="1" applyFont="1" applyFill="1" applyAlignment="1">
      <alignment horizontal="center" vertical="center"/>
    </xf>
    <xf numFmtId="3" fontId="66" fillId="37" borderId="0" xfId="22" applyNumberFormat="1" applyFont="1" applyFill="1" applyAlignment="1">
      <alignment vertical="top"/>
    </xf>
    <xf numFmtId="3" fontId="66" fillId="37" borderId="0" xfId="22" applyNumberFormat="1" applyFont="1" applyFill="1" applyAlignment="1">
      <alignment horizontal="center" vertical="top"/>
    </xf>
    <xf numFmtId="0" fontId="41" fillId="0" borderId="0" xfId="0" applyFont="1" applyAlignment="1">
      <alignment horizontal="center" vertical="center" wrapText="1"/>
    </xf>
    <xf numFmtId="0" fontId="29" fillId="0" borderId="0" xfId="0" applyFont="1" applyAlignment="1">
      <alignment vertical="center" wrapText="1"/>
    </xf>
    <xf numFmtId="178" fontId="29" fillId="0" borderId="0" xfId="0" applyNumberFormat="1" applyFont="1" applyAlignment="1">
      <alignment vertical="center"/>
    </xf>
    <xf numFmtId="4" fontId="36" fillId="12" borderId="6" xfId="0" applyNumberFormat="1" applyFont="1" applyFill="1" applyBorder="1" applyAlignment="1">
      <alignment horizontal="center" vertical="center"/>
    </xf>
    <xf numFmtId="0" fontId="63" fillId="0" borderId="6" xfId="0" applyFont="1" applyBorder="1" applyAlignment="1">
      <alignment vertical="center"/>
    </xf>
    <xf numFmtId="0" fontId="27" fillId="32" borderId="15" xfId="0" applyFont="1" applyFill="1" applyBorder="1" applyAlignment="1">
      <alignment horizontal="center" vertical="center" wrapText="1"/>
    </xf>
    <xf numFmtId="0" fontId="36" fillId="0" borderId="4" xfId="0" applyFont="1" applyBorder="1" applyAlignment="1">
      <alignment vertical="center"/>
    </xf>
    <xf numFmtId="178" fontId="36" fillId="0" borderId="4" xfId="14" applyNumberFormat="1" applyFont="1" applyBorder="1" applyAlignment="1">
      <alignment vertical="center"/>
    </xf>
    <xf numFmtId="0" fontId="63" fillId="0" borderId="4" xfId="0" applyFont="1" applyBorder="1" applyAlignment="1">
      <alignment vertical="center"/>
    </xf>
    <xf numFmtId="0" fontId="36" fillId="12" borderId="4" xfId="0" applyFont="1" applyFill="1" applyBorder="1" applyAlignment="1">
      <alignment horizontal="center" vertical="center"/>
    </xf>
    <xf numFmtId="177" fontId="35" fillId="11" borderId="4" xfId="15" applyNumberFormat="1" applyFont="1" applyFill="1" applyBorder="1" applyAlignment="1">
      <alignment horizontal="center" vertical="center"/>
    </xf>
    <xf numFmtId="177" fontId="35" fillId="0" borderId="4" xfId="15" applyNumberFormat="1" applyFont="1" applyFill="1" applyBorder="1" applyAlignment="1">
      <alignment horizontal="center" vertical="center"/>
    </xf>
    <xf numFmtId="0" fontId="35" fillId="0" borderId="4" xfId="0" applyFont="1" applyBorder="1" applyAlignment="1">
      <alignment vertical="center"/>
    </xf>
    <xf numFmtId="0" fontId="29" fillId="32" borderId="0" xfId="0" applyFont="1" applyFill="1" applyAlignment="1">
      <alignment vertical="center"/>
    </xf>
    <xf numFmtId="0" fontId="27" fillId="32" borderId="5" xfId="0" applyFont="1" applyFill="1" applyBorder="1" applyAlignment="1">
      <alignment horizontal="center" vertical="center" wrapText="1"/>
    </xf>
    <xf numFmtId="0" fontId="37" fillId="32" borderId="19" xfId="0" applyFont="1" applyFill="1" applyBorder="1" applyAlignment="1">
      <alignment horizontal="center" vertical="center" wrapText="1"/>
    </xf>
    <xf numFmtId="49" fontId="27" fillId="32" borderId="5" xfId="0" applyNumberFormat="1" applyFont="1" applyFill="1" applyBorder="1" applyAlignment="1">
      <alignment horizontal="center" vertical="center" wrapText="1"/>
    </xf>
    <xf numFmtId="0" fontId="29" fillId="32" borderId="45" xfId="0" applyFont="1" applyFill="1" applyBorder="1" applyAlignment="1">
      <alignment vertical="center"/>
    </xf>
    <xf numFmtId="0" fontId="37" fillId="32" borderId="5" xfId="0" applyFont="1" applyFill="1" applyBorder="1" applyAlignment="1">
      <alignment horizontal="center" vertical="center" wrapText="1"/>
    </xf>
    <xf numFmtId="49" fontId="37" fillId="32" borderId="5" xfId="0" applyNumberFormat="1" applyFont="1" applyFill="1" applyBorder="1" applyAlignment="1">
      <alignment horizontal="center" vertical="center" wrapText="1"/>
    </xf>
    <xf numFmtId="0" fontId="37" fillId="32" borderId="28" xfId="0" applyFont="1" applyFill="1" applyBorder="1" applyAlignment="1">
      <alignment horizontal="center" vertical="center" wrapText="1"/>
    </xf>
    <xf numFmtId="179" fontId="41" fillId="0" borderId="0" xfId="0" applyNumberFormat="1" applyFont="1" applyAlignment="1">
      <alignment horizontal="center" vertical="center"/>
    </xf>
    <xf numFmtId="0" fontId="81" fillId="0" borderId="0" xfId="0" applyFont="1" applyAlignment="1">
      <alignment vertical="center"/>
    </xf>
    <xf numFmtId="177" fontId="81" fillId="0" borderId="0" xfId="0" applyNumberFormat="1" applyFont="1" applyAlignment="1">
      <alignment vertical="center"/>
    </xf>
    <xf numFmtId="0" fontId="81" fillId="0" borderId="0" xfId="0" applyFont="1" applyAlignment="1">
      <alignment vertical="center" wrapText="1"/>
    </xf>
    <xf numFmtId="0" fontId="40" fillId="0" borderId="0" xfId="0" applyFont="1" applyAlignment="1">
      <alignment vertical="center"/>
    </xf>
    <xf numFmtId="0" fontId="40" fillId="0" borderId="0" xfId="0" applyFont="1" applyAlignment="1">
      <alignment vertical="center" wrapText="1"/>
    </xf>
    <xf numFmtId="174" fontId="26" fillId="0" borderId="5" xfId="10" applyNumberFormat="1" applyFont="1" applyFill="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4" fillId="17" borderId="12" xfId="0" applyFont="1" applyFill="1" applyBorder="1" applyAlignment="1">
      <alignment horizontal="center" vertical="center"/>
    </xf>
    <xf numFmtId="0" fontId="34" fillId="17" borderId="39" xfId="0" applyFont="1" applyFill="1" applyBorder="1" applyAlignment="1">
      <alignment horizontal="center" vertical="center"/>
    </xf>
    <xf numFmtId="0" fontId="32" fillId="15" borderId="12" xfId="0" applyFont="1" applyFill="1" applyBorder="1" applyAlignment="1">
      <alignment horizontal="left" vertical="center" wrapText="1"/>
    </xf>
    <xf numFmtId="0" fontId="32" fillId="15" borderId="39" xfId="0" applyFont="1" applyFill="1" applyBorder="1" applyAlignment="1">
      <alignment horizontal="left" vertical="center" wrapText="1"/>
    </xf>
    <xf numFmtId="0" fontId="32" fillId="19" borderId="12" xfId="0" applyFont="1" applyFill="1" applyBorder="1" applyAlignment="1">
      <alignment horizontal="center" vertical="center"/>
    </xf>
    <xf numFmtId="0" fontId="32" fillId="19" borderId="39" xfId="0" applyFont="1" applyFill="1" applyBorder="1" applyAlignment="1">
      <alignment horizontal="center" vertical="center"/>
    </xf>
    <xf numFmtId="9" fontId="26" fillId="0" borderId="29" xfId="30" applyFont="1" applyFill="1" applyBorder="1" applyAlignment="1" applyProtection="1">
      <alignment horizontal="justify" vertical="center" wrapText="1"/>
    </xf>
    <xf numFmtId="9" fontId="26" fillId="0" borderId="7" xfId="30" applyFont="1" applyFill="1" applyBorder="1" applyAlignment="1" applyProtection="1">
      <alignment horizontal="justify" vertical="center" wrapText="1"/>
    </xf>
    <xf numFmtId="9" fontId="26" fillId="0" borderId="8" xfId="30" applyFont="1" applyFill="1" applyBorder="1" applyAlignment="1" applyProtection="1">
      <alignment horizontal="justify" vertical="center" wrapText="1"/>
    </xf>
    <xf numFmtId="9" fontId="26" fillId="0" borderId="44" xfId="30" applyFont="1" applyFill="1" applyBorder="1" applyAlignment="1" applyProtection="1">
      <alignment horizontal="justify" vertical="center" wrapText="1"/>
    </xf>
    <xf numFmtId="9" fontId="26" fillId="0" borderId="45" xfId="30" applyFont="1" applyFill="1" applyBorder="1" applyAlignment="1" applyProtection="1">
      <alignment horizontal="justify" vertical="center" wrapText="1"/>
    </xf>
    <xf numFmtId="9" fontId="26" fillId="0" borderId="46" xfId="30" applyFont="1" applyFill="1" applyBorder="1" applyAlignment="1" applyProtection="1">
      <alignment horizontal="justify" vertical="center" wrapText="1"/>
    </xf>
    <xf numFmtId="9" fontId="61" fillId="0" borderId="0" xfId="0" applyNumberFormat="1" applyFont="1" applyAlignment="1">
      <alignment horizontal="justify" vertical="center" wrapText="1"/>
    </xf>
    <xf numFmtId="0" fontId="61" fillId="0" borderId="0" xfId="0" applyFont="1" applyAlignment="1">
      <alignment horizontal="justify" vertical="center" wrapText="1"/>
    </xf>
    <xf numFmtId="175" fontId="60" fillId="0" borderId="0" xfId="0" applyNumberFormat="1" applyFont="1" applyAlignment="1">
      <alignment horizontal="center" vertical="center" wrapText="1"/>
    </xf>
    <xf numFmtId="175" fontId="43" fillId="0" borderId="0" xfId="0" applyNumberFormat="1" applyFont="1" applyAlignment="1">
      <alignment vertical="center"/>
    </xf>
    <xf numFmtId="9" fontId="61" fillId="0" borderId="84" xfId="0" applyNumberFormat="1" applyFont="1" applyBorder="1" applyAlignment="1">
      <alignment horizontal="justify" vertical="center" wrapText="1"/>
    </xf>
    <xf numFmtId="9" fontId="61" fillId="0" borderId="82" xfId="0" applyNumberFormat="1" applyFont="1" applyBorder="1" applyAlignment="1">
      <alignment horizontal="justify" vertical="center" wrapText="1"/>
    </xf>
    <xf numFmtId="9" fontId="60" fillId="0" borderId="75" xfId="0" applyNumberFormat="1" applyFont="1" applyBorder="1" applyAlignment="1">
      <alignment horizontal="center" vertical="center" wrapText="1"/>
    </xf>
    <xf numFmtId="9" fontId="43" fillId="0" borderId="76" xfId="0" applyNumberFormat="1" applyFont="1" applyBorder="1" applyAlignment="1">
      <alignment vertical="center"/>
    </xf>
    <xf numFmtId="0" fontId="59" fillId="20" borderId="77" xfId="0" applyFont="1" applyFill="1" applyBorder="1" applyAlignment="1">
      <alignment horizontal="justify" vertical="center" wrapText="1"/>
    </xf>
    <xf numFmtId="0" fontId="43" fillId="0" borderId="82" xfId="0" applyFont="1" applyBorder="1" applyAlignment="1">
      <alignment horizontal="justify" vertical="center" wrapText="1"/>
    </xf>
    <xf numFmtId="0" fontId="59" fillId="20" borderId="78" xfId="0" applyFont="1" applyFill="1" applyBorder="1" applyAlignment="1">
      <alignment horizontal="center" vertical="center" wrapText="1"/>
    </xf>
    <xf numFmtId="0" fontId="43" fillId="0" borderId="76" xfId="0" applyFont="1" applyBorder="1" applyAlignment="1">
      <alignment vertical="center"/>
    </xf>
    <xf numFmtId="0" fontId="59" fillId="20" borderId="79" xfId="0" applyFont="1" applyFill="1" applyBorder="1" applyAlignment="1">
      <alignment horizontal="center" vertical="center" wrapText="1"/>
    </xf>
    <xf numFmtId="0" fontId="43" fillId="0" borderId="80" xfId="0" applyFont="1" applyBorder="1" applyAlignment="1">
      <alignment vertical="center"/>
    </xf>
    <xf numFmtId="0" fontId="43" fillId="0" borderId="81" xfId="0" applyFont="1" applyBorder="1" applyAlignment="1">
      <alignment vertical="center"/>
    </xf>
    <xf numFmtId="9" fontId="26" fillId="0" borderId="6" xfId="30" applyFont="1" applyFill="1" applyBorder="1" applyAlignment="1" applyProtection="1">
      <alignment horizontal="justify" vertical="center" wrapText="1"/>
    </xf>
    <xf numFmtId="9" fontId="26" fillId="0" borderId="1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9" fontId="26" fillId="0" borderId="28" xfId="30" applyFont="1" applyFill="1" applyBorder="1" applyAlignment="1" applyProtection="1">
      <alignment horizontal="justify"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57" fillId="0" borderId="55" xfId="0" applyFont="1" applyBorder="1" applyAlignment="1">
      <alignment horizontal="center" vertical="center"/>
    </xf>
    <xf numFmtId="0" fontId="57" fillId="0" borderId="56" xfId="0" applyFont="1" applyBorder="1" applyAlignment="1">
      <alignment horizontal="center" vertical="center"/>
    </xf>
    <xf numFmtId="0" fontId="57" fillId="0" borderId="57" xfId="0" applyFont="1" applyBorder="1" applyAlignment="1">
      <alignment horizontal="center" vertical="center"/>
    </xf>
    <xf numFmtId="0" fontId="27" fillId="13" borderId="35" xfId="22" applyFont="1" applyFill="1" applyBorder="1" applyAlignment="1">
      <alignment horizontal="center" vertical="center" wrapText="1"/>
    </xf>
    <xf numFmtId="0" fontId="27" fillId="13" borderId="36" xfId="22" applyFont="1" applyFill="1" applyBorder="1" applyAlignment="1">
      <alignment horizontal="center" vertical="center" wrapText="1"/>
    </xf>
    <xf numFmtId="0" fontId="27" fillId="13" borderId="37" xfId="22" applyFont="1" applyFill="1" applyBorder="1" applyAlignment="1">
      <alignment horizontal="center" vertical="center" wrapText="1"/>
    </xf>
    <xf numFmtId="0" fontId="27" fillId="13" borderId="1" xfId="22" applyFont="1" applyFill="1" applyBorder="1" applyAlignment="1">
      <alignment horizontal="center" vertical="center" wrapText="1"/>
    </xf>
    <xf numFmtId="0" fontId="27" fillId="13" borderId="0" xfId="22" applyFont="1" applyFill="1" applyAlignment="1">
      <alignment horizontal="center" vertical="center" wrapText="1"/>
    </xf>
    <xf numFmtId="0" fontId="27" fillId="13" borderId="2" xfId="22" applyFont="1" applyFill="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15" fontId="27" fillId="0" borderId="35" xfId="0" applyNumberFormat="1" applyFont="1" applyBorder="1" applyAlignment="1">
      <alignment horizontal="center" vertical="center"/>
    </xf>
    <xf numFmtId="15" fontId="27" fillId="0" borderId="37" xfId="0" applyNumberFormat="1" applyFont="1" applyBorder="1" applyAlignment="1">
      <alignment horizontal="center" vertical="center"/>
    </xf>
    <xf numFmtId="15" fontId="27" fillId="0" borderId="1" xfId="0" applyNumberFormat="1" applyFont="1" applyBorder="1" applyAlignment="1">
      <alignment horizontal="center" vertical="center"/>
    </xf>
    <xf numFmtId="15" fontId="27" fillId="0" borderId="2" xfId="0" applyNumberFormat="1" applyFont="1" applyBorder="1" applyAlignment="1">
      <alignment horizontal="center" vertical="center"/>
    </xf>
    <xf numFmtId="15" fontId="27" fillId="0" borderId="47" xfId="0" applyNumberFormat="1" applyFont="1" applyBorder="1" applyAlignment="1">
      <alignment horizontal="center" vertical="center"/>
    </xf>
    <xf numFmtId="15" fontId="27" fillId="0" borderId="48" xfId="0" applyNumberFormat="1" applyFont="1" applyBorder="1" applyAlignment="1">
      <alignment horizontal="center" vertical="center"/>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33" fillId="0" borderId="32" xfId="22" applyFont="1" applyBorder="1" applyAlignment="1">
      <alignment horizontal="center" vertical="center" wrapText="1"/>
    </xf>
    <xf numFmtId="0" fontId="33" fillId="0" borderId="33" xfId="22" applyFont="1" applyBorder="1" applyAlignment="1">
      <alignment horizontal="center" vertical="center" wrapText="1"/>
    </xf>
    <xf numFmtId="0" fontId="33" fillId="0" borderId="34" xfId="22"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7" fillId="9" borderId="45" xfId="22" applyFont="1" applyFill="1" applyBorder="1" applyAlignment="1">
      <alignment horizontal="left"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6" fillId="13" borderId="6"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0" borderId="58" xfId="22" applyFont="1" applyBorder="1" applyAlignment="1">
      <alignment horizontal="justify" vertical="center" wrapText="1"/>
    </xf>
    <xf numFmtId="0" fontId="27" fillId="0" borderId="18" xfId="22" applyFont="1" applyBorder="1" applyAlignment="1">
      <alignment horizontal="justify"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6" fillId="25" borderId="29" xfId="0" applyFont="1" applyFill="1" applyBorder="1" applyAlignment="1">
      <alignment horizontal="justify" vertical="center" wrapText="1"/>
    </xf>
    <xf numFmtId="0" fontId="26" fillId="25" borderId="7" xfId="0" applyFont="1" applyFill="1" applyBorder="1" applyAlignment="1">
      <alignment horizontal="justify" vertical="center" wrapText="1"/>
    </xf>
    <xf numFmtId="0" fontId="26" fillId="25" borderId="8" xfId="0" applyFont="1" applyFill="1" applyBorder="1" applyAlignment="1">
      <alignment horizontal="justify" vertical="center" wrapText="1"/>
    </xf>
    <xf numFmtId="0" fontId="26" fillId="25" borderId="91" xfId="0" applyFont="1" applyFill="1" applyBorder="1" applyAlignment="1">
      <alignment horizontal="justify" vertical="center" wrapText="1"/>
    </xf>
    <xf numFmtId="0" fontId="26" fillId="25" borderId="92" xfId="0" applyFont="1" applyFill="1" applyBorder="1" applyAlignment="1">
      <alignment horizontal="justify" vertical="center" wrapText="1"/>
    </xf>
    <xf numFmtId="0" fontId="26" fillId="25" borderId="94" xfId="0" applyFont="1" applyFill="1" applyBorder="1" applyAlignment="1">
      <alignment horizontal="justify" vertical="center" wrapText="1"/>
    </xf>
    <xf numFmtId="2" fontId="26" fillId="0" borderId="13" xfId="22" applyNumberFormat="1" applyFont="1" applyBorder="1" applyAlignment="1">
      <alignment horizontal="justify" vertical="center" wrapText="1"/>
    </xf>
    <xf numFmtId="10" fontId="26" fillId="0" borderId="6" xfId="22" applyNumberFormat="1" applyFont="1" applyBorder="1" applyAlignment="1">
      <alignment horizontal="center" vertical="center" wrapText="1"/>
    </xf>
    <xf numFmtId="9" fontId="26" fillId="0" borderId="29" xfId="22" applyNumberFormat="1" applyFont="1" applyBorder="1" applyAlignment="1">
      <alignment horizontal="justify" vertical="center" wrapText="1"/>
    </xf>
    <xf numFmtId="9" fontId="26" fillId="0" borderId="7" xfId="22" applyNumberFormat="1" applyFont="1" applyBorder="1" applyAlignment="1">
      <alignment horizontal="justify" vertical="center" wrapText="1"/>
    </xf>
    <xf numFmtId="9" fontId="26" fillId="0" borderId="8" xfId="22" applyNumberFormat="1" applyFont="1" applyBorder="1" applyAlignment="1">
      <alignment horizontal="justify" vertical="center" wrapText="1"/>
    </xf>
    <xf numFmtId="9" fontId="26" fillId="0" borderId="15" xfId="22" applyNumberFormat="1" applyFont="1" applyBorder="1" applyAlignment="1">
      <alignment horizontal="justify" vertical="center" wrapText="1"/>
    </xf>
    <xf numFmtId="9" fontId="26" fillId="0" borderId="10" xfId="22" applyNumberFormat="1" applyFont="1" applyBorder="1" applyAlignment="1">
      <alignment horizontal="justify" vertical="center" wrapText="1"/>
    </xf>
    <xf numFmtId="9" fontId="26" fillId="0" borderId="11" xfId="22" applyNumberFormat="1" applyFont="1" applyBorder="1" applyAlignment="1">
      <alignment horizontal="justify" vertical="center" wrapText="1"/>
    </xf>
    <xf numFmtId="9" fontId="58" fillId="0" borderId="71" xfId="35" applyNumberFormat="1" applyFont="1" applyBorder="1" applyAlignment="1">
      <alignment horizontal="justify" vertical="center" wrapText="1"/>
    </xf>
    <xf numFmtId="9" fontId="26" fillId="0" borderId="71" xfId="22" applyNumberFormat="1" applyFont="1" applyBorder="1" applyAlignment="1">
      <alignment horizontal="justify" vertical="center" wrapText="1"/>
    </xf>
    <xf numFmtId="9" fontId="63"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9" fontId="58" fillId="0" borderId="71" xfId="35" applyNumberFormat="1" applyFont="1" applyFill="1" applyBorder="1" applyAlignment="1">
      <alignment horizontal="justify" vertical="center" wrapText="1"/>
    </xf>
    <xf numFmtId="9" fontId="58" fillId="0" borderId="97" xfId="35" applyNumberFormat="1" applyFont="1" applyFill="1" applyBorder="1" applyAlignment="1">
      <alignment horizontal="justify" vertical="center" wrapText="1"/>
    </xf>
    <xf numFmtId="9" fontId="58" fillId="0" borderId="98" xfId="35" applyNumberFormat="1" applyFont="1" applyFill="1" applyBorder="1" applyAlignment="1">
      <alignment horizontal="justify" vertical="center" wrapText="1"/>
    </xf>
    <xf numFmtId="9" fontId="58" fillId="0" borderId="15" xfId="35" applyNumberFormat="1" applyFont="1" applyFill="1" applyBorder="1" applyAlignment="1">
      <alignment horizontal="justify" vertical="center" wrapText="1"/>
    </xf>
    <xf numFmtId="9" fontId="58" fillId="0" borderId="10" xfId="35" applyNumberFormat="1" applyFont="1" applyFill="1" applyBorder="1" applyAlignment="1">
      <alignment horizontal="justify" vertical="center" wrapText="1"/>
    </xf>
    <xf numFmtId="9" fontId="58" fillId="0" borderId="87" xfId="35" applyNumberFormat="1" applyFont="1" applyFill="1" applyBorder="1" applyAlignment="1">
      <alignment horizontal="justify" vertical="center" wrapText="1"/>
    </xf>
    <xf numFmtId="9" fontId="26" fillId="0" borderId="29" xfId="22" applyNumberFormat="1" applyFont="1" applyBorder="1" applyAlignment="1">
      <alignment horizontal="left" vertical="center" wrapText="1"/>
    </xf>
    <xf numFmtId="9" fontId="26" fillId="0" borderId="59" xfId="22" applyNumberFormat="1" applyFont="1" applyBorder="1" applyAlignment="1">
      <alignment horizontal="justify" vertical="center" wrapText="1"/>
    </xf>
    <xf numFmtId="9" fontId="26" fillId="0" borderId="60" xfId="22" applyNumberFormat="1" applyFont="1" applyBorder="1" applyAlignment="1">
      <alignment horizontal="justify" vertical="center" wrapText="1"/>
    </xf>
    <xf numFmtId="0" fontId="26" fillId="0" borderId="23" xfId="0" applyFont="1" applyBorder="1" applyAlignment="1">
      <alignment horizontal="justify" vertical="center" wrapText="1"/>
    </xf>
    <xf numFmtId="10" fontId="26" fillId="0" borderId="5" xfId="22" applyNumberFormat="1" applyFont="1" applyBorder="1" applyAlignment="1">
      <alignment horizontal="center" vertical="center" wrapText="1"/>
    </xf>
    <xf numFmtId="0" fontId="27" fillId="20" borderId="79" xfId="0" applyFont="1" applyFill="1" applyBorder="1" applyAlignment="1">
      <alignment horizontal="center" vertical="center" wrapText="1"/>
    </xf>
    <xf numFmtId="0" fontId="26" fillId="0" borderId="80" xfId="0" applyFont="1" applyBorder="1" applyAlignment="1">
      <alignment vertical="center"/>
    </xf>
    <xf numFmtId="0" fontId="26" fillId="0" borderId="81" xfId="0" applyFont="1" applyBorder="1" applyAlignment="1">
      <alignment vertical="center"/>
    </xf>
    <xf numFmtId="9" fontId="26" fillId="0" borderId="84" xfId="0" applyNumberFormat="1" applyFont="1" applyBorder="1" applyAlignment="1">
      <alignment horizontal="justify" vertical="center" wrapText="1"/>
    </xf>
    <xf numFmtId="9" fontId="26" fillId="0" borderId="82" xfId="0" applyNumberFormat="1" applyFont="1" applyBorder="1" applyAlignment="1">
      <alignment horizontal="justify" vertical="center" wrapText="1"/>
    </xf>
    <xf numFmtId="9" fontId="26" fillId="0" borderId="84" xfId="0" applyNumberFormat="1" applyFont="1" applyBorder="1" applyAlignment="1">
      <alignment horizontal="center" vertical="center" wrapText="1"/>
    </xf>
    <xf numFmtId="9" fontId="26" fillId="0" borderId="82" xfId="0" applyNumberFormat="1" applyFont="1" applyBorder="1" applyAlignment="1">
      <alignment horizontal="center" vertical="center" wrapText="1"/>
    </xf>
    <xf numFmtId="175" fontId="26" fillId="0" borderId="0" xfId="0" applyNumberFormat="1" applyFont="1" applyAlignment="1">
      <alignment horizontal="center" vertical="center" wrapText="1"/>
    </xf>
    <xf numFmtId="9" fontId="26" fillId="0" borderId="0" xfId="0" applyNumberFormat="1" applyFont="1" applyAlignment="1">
      <alignment horizontal="justify" vertical="center" wrapText="1"/>
    </xf>
    <xf numFmtId="0" fontId="26" fillId="0" borderId="73" xfId="0" applyFont="1" applyBorder="1" applyAlignment="1">
      <alignment horizontal="justify" vertical="center" wrapText="1"/>
    </xf>
    <xf numFmtId="0" fontId="26" fillId="0" borderId="74" xfId="0" applyFont="1" applyBorder="1" applyAlignment="1">
      <alignment horizontal="justify" vertical="center" wrapText="1"/>
    </xf>
    <xf numFmtId="0" fontId="27" fillId="20" borderId="77" xfId="0" applyFont="1" applyFill="1" applyBorder="1" applyAlignment="1">
      <alignment horizontal="justify" vertical="center" wrapText="1"/>
    </xf>
    <xf numFmtId="0" fontId="26" fillId="0" borderId="82" xfId="0" applyFont="1" applyBorder="1" applyAlignment="1">
      <alignment horizontal="justify" vertical="center" wrapText="1"/>
    </xf>
    <xf numFmtId="0" fontId="27" fillId="20" borderId="78" xfId="0" applyFont="1" applyFill="1" applyBorder="1" applyAlignment="1">
      <alignment horizontal="center" vertical="center" wrapText="1"/>
    </xf>
    <xf numFmtId="0" fontId="26" fillId="0" borderId="76" xfId="0" applyFont="1" applyBorder="1" applyAlignment="1">
      <alignment horizontal="center" vertical="center"/>
    </xf>
    <xf numFmtId="2" fontId="26" fillId="0" borderId="72" xfId="22" applyNumberFormat="1" applyFont="1" applyBorder="1" applyAlignment="1">
      <alignment horizontal="justify" vertical="center" wrapText="1"/>
    </xf>
    <xf numFmtId="0" fontId="26" fillId="0" borderId="72" xfId="0" applyFont="1" applyBorder="1" applyAlignment="1">
      <alignment horizontal="justify" vertical="center" wrapText="1"/>
    </xf>
    <xf numFmtId="9" fontId="26" fillId="0" borderId="86" xfId="22" applyNumberFormat="1" applyFont="1" applyBorder="1" applyAlignment="1">
      <alignment horizontal="justify" vertical="center" wrapText="1"/>
    </xf>
    <xf numFmtId="9" fontId="26" fillId="0" borderId="87" xfId="22" applyNumberFormat="1" applyFont="1" applyBorder="1" applyAlignment="1">
      <alignment horizontal="justify" vertical="center" wrapText="1"/>
    </xf>
    <xf numFmtId="9" fontId="64" fillId="0" borderId="29" xfId="35" applyNumberFormat="1" applyFont="1" applyBorder="1" applyAlignment="1">
      <alignment horizontal="justify" vertical="center" wrapText="1"/>
    </xf>
    <xf numFmtId="9" fontId="27" fillId="0" borderId="7" xfId="22" applyNumberFormat="1" applyFont="1" applyBorder="1" applyAlignment="1">
      <alignment horizontal="justify" vertical="center" wrapText="1"/>
    </xf>
    <xf numFmtId="9" fontId="27" fillId="0" borderId="59" xfId="22" applyNumberFormat="1" applyFont="1" applyBorder="1" applyAlignment="1">
      <alignment horizontal="justify" vertical="center" wrapText="1"/>
    </xf>
    <xf numFmtId="9" fontId="27" fillId="0" borderId="15" xfId="22" applyNumberFormat="1" applyFont="1" applyBorder="1" applyAlignment="1">
      <alignment horizontal="justify" vertical="center" wrapText="1"/>
    </xf>
    <xf numFmtId="9" fontId="27" fillId="0" borderId="10" xfId="22" applyNumberFormat="1" applyFont="1" applyBorder="1" applyAlignment="1">
      <alignment horizontal="justify" vertical="center" wrapText="1"/>
    </xf>
    <xf numFmtId="9" fontId="27" fillId="0" borderId="60" xfId="22" applyNumberFormat="1" applyFont="1" applyBorder="1" applyAlignment="1">
      <alignment horizontal="justify" vertical="center" wrapText="1"/>
    </xf>
    <xf numFmtId="0" fontId="43" fillId="25" borderId="29" xfId="0" applyFont="1" applyFill="1" applyBorder="1" applyAlignment="1">
      <alignment horizontal="justify" vertical="center" wrapText="1"/>
    </xf>
    <xf numFmtId="0" fontId="43" fillId="25" borderId="7" xfId="0" applyFont="1" applyFill="1" applyBorder="1" applyAlignment="1">
      <alignment horizontal="justify" vertical="center" wrapText="1"/>
    </xf>
    <xf numFmtId="0" fontId="43" fillId="25" borderId="86" xfId="0" applyFont="1" applyFill="1" applyBorder="1" applyAlignment="1">
      <alignment horizontal="justify" vertical="center" wrapText="1"/>
    </xf>
    <xf numFmtId="0" fontId="43" fillId="25" borderId="91" xfId="0" applyFont="1" applyFill="1" applyBorder="1" applyAlignment="1">
      <alignment horizontal="justify" vertical="center" wrapText="1"/>
    </xf>
    <xf numFmtId="0" fontId="43" fillId="25" borderId="92" xfId="0" applyFont="1" applyFill="1" applyBorder="1" applyAlignment="1">
      <alignment horizontal="justify" vertical="center" wrapText="1"/>
    </xf>
    <xf numFmtId="0" fontId="43" fillId="25" borderId="93" xfId="0" applyFont="1" applyFill="1" applyBorder="1" applyAlignment="1">
      <alignment horizontal="justify" vertical="center" wrapText="1"/>
    </xf>
    <xf numFmtId="0" fontId="43" fillId="25" borderId="8" xfId="0" applyFont="1" applyFill="1" applyBorder="1" applyAlignment="1">
      <alignment horizontal="justify" vertical="center" wrapText="1"/>
    </xf>
    <xf numFmtId="0" fontId="43" fillId="25" borderId="94" xfId="0" applyFont="1" applyFill="1" applyBorder="1" applyAlignment="1">
      <alignment horizontal="justify" vertical="center" wrapText="1"/>
    </xf>
    <xf numFmtId="0" fontId="43" fillId="0" borderId="29" xfId="0" applyFont="1" applyBorder="1" applyAlignment="1">
      <alignment horizontal="left"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91" xfId="0" applyFont="1" applyBorder="1" applyAlignment="1">
      <alignment horizontal="left" vertical="center" wrapText="1"/>
    </xf>
    <xf numFmtId="0" fontId="43" fillId="0" borderId="92" xfId="0" applyFont="1" applyBorder="1" applyAlignment="1">
      <alignment horizontal="left" vertical="center" wrapText="1"/>
    </xf>
    <xf numFmtId="0" fontId="43" fillId="0" borderId="94" xfId="0" applyFont="1" applyBorder="1" applyAlignment="1">
      <alignment horizontal="left" vertical="center" wrapText="1"/>
    </xf>
    <xf numFmtId="0" fontId="43" fillId="25" borderId="95" xfId="0" applyFont="1" applyFill="1" applyBorder="1" applyAlignment="1">
      <alignment horizontal="justify" vertical="center" wrapText="1"/>
    </xf>
    <xf numFmtId="0" fontId="43" fillId="25" borderId="96" xfId="0" applyFont="1" applyFill="1" applyBorder="1" applyAlignment="1">
      <alignment horizontal="justify"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6" fillId="0" borderId="75" xfId="0" applyFont="1" applyBorder="1" applyAlignment="1">
      <alignment horizontal="justify" vertical="center" wrapText="1"/>
    </xf>
    <xf numFmtId="0" fontId="26" fillId="0" borderId="76" xfId="0" applyFont="1" applyBorder="1" applyAlignment="1">
      <alignment horizontal="justify" vertical="center" wrapText="1"/>
    </xf>
    <xf numFmtId="0" fontId="26" fillId="25" borderId="86" xfId="0" applyFont="1" applyFill="1" applyBorder="1" applyAlignment="1">
      <alignment horizontal="justify" vertical="center" wrapText="1"/>
    </xf>
    <xf numFmtId="0" fontId="26" fillId="25" borderId="88" xfId="0" applyFont="1" applyFill="1" applyBorder="1" applyAlignment="1">
      <alignment horizontal="justify" vertical="center" wrapText="1"/>
    </xf>
    <xf numFmtId="0" fontId="26" fillId="25" borderId="89" xfId="0" applyFont="1" applyFill="1" applyBorder="1" applyAlignment="1">
      <alignment horizontal="justify" vertical="center" wrapText="1"/>
    </xf>
    <xf numFmtId="0" fontId="26" fillId="25" borderId="90" xfId="0" applyFont="1" applyFill="1" applyBorder="1" applyAlignment="1">
      <alignment horizontal="justify" vertical="center" wrapText="1"/>
    </xf>
    <xf numFmtId="9" fontId="58" fillId="0" borderId="30" xfId="35" applyNumberFormat="1" applyFont="1" applyFill="1" applyBorder="1" applyAlignment="1">
      <alignment horizontal="justify" vertical="center" wrapText="1"/>
    </xf>
    <xf numFmtId="9" fontId="58" fillId="0" borderId="0" xfId="35" applyNumberFormat="1" applyFont="1" applyFill="1" applyBorder="1" applyAlignment="1">
      <alignment horizontal="justify" vertical="center" wrapText="1"/>
    </xf>
    <xf numFmtId="9" fontId="58" fillId="0" borderId="2" xfId="35" applyNumberFormat="1" applyFont="1" applyFill="1" applyBorder="1" applyAlignment="1">
      <alignment horizontal="justify" vertical="center" wrapText="1"/>
    </xf>
    <xf numFmtId="9" fontId="58" fillId="0" borderId="60" xfId="35" applyNumberFormat="1" applyFont="1" applyFill="1" applyBorder="1" applyAlignment="1">
      <alignment horizontal="justify" vertical="center" wrapText="1"/>
    </xf>
    <xf numFmtId="9" fontId="42" fillId="0" borderId="71" xfId="34" applyNumberFormat="1" applyFill="1" applyBorder="1" applyAlignment="1">
      <alignment horizontal="justify" vertical="center" wrapText="1"/>
    </xf>
    <xf numFmtId="9" fontId="42" fillId="0" borderId="71" xfId="34" applyNumberFormat="1" applyBorder="1" applyAlignment="1">
      <alignment horizontal="justify" vertical="center" wrapText="1"/>
    </xf>
    <xf numFmtId="9" fontId="26" fillId="0" borderId="97" xfId="22" applyNumberFormat="1" applyFont="1" applyBorder="1" applyAlignment="1">
      <alignment horizontal="justify" vertical="center" wrapText="1"/>
    </xf>
    <xf numFmtId="0" fontId="43" fillId="0" borderId="29" xfId="0" applyFont="1" applyBorder="1" applyAlignment="1">
      <alignment horizontal="justify" vertical="center" wrapText="1"/>
    </xf>
    <xf numFmtId="0" fontId="43" fillId="0" borderId="7" xfId="0" applyFont="1" applyBorder="1" applyAlignment="1">
      <alignment horizontal="justify" vertical="center" wrapText="1"/>
    </xf>
    <xf numFmtId="0" fontId="43" fillId="0" borderId="86" xfId="0" applyFont="1" applyBorder="1" applyAlignment="1">
      <alignment horizontal="justify" vertical="center" wrapText="1"/>
    </xf>
    <xf numFmtId="0" fontId="43" fillId="0" borderId="91" xfId="0" applyFont="1" applyBorder="1" applyAlignment="1">
      <alignment horizontal="justify" vertical="center" wrapText="1"/>
    </xf>
    <xf numFmtId="0" fontId="43" fillId="0" borderId="92" xfId="0" applyFont="1" applyBorder="1" applyAlignment="1">
      <alignment horizontal="justify" vertical="center" wrapText="1"/>
    </xf>
    <xf numFmtId="0" fontId="43" fillId="0" borderId="93" xfId="0" applyFont="1" applyBorder="1" applyAlignment="1">
      <alignment horizontal="justify" vertical="center" wrapText="1"/>
    </xf>
    <xf numFmtId="0" fontId="43" fillId="0" borderId="8" xfId="0" applyFont="1" applyBorder="1" applyAlignment="1">
      <alignment horizontal="justify" vertical="center" wrapText="1"/>
    </xf>
    <xf numFmtId="0" fontId="43" fillId="0" borderId="94" xfId="0" applyFont="1" applyBorder="1" applyAlignment="1">
      <alignment horizontal="justify" vertical="center" wrapText="1"/>
    </xf>
    <xf numFmtId="9" fontId="58" fillId="0" borderId="71" xfId="34" applyNumberFormat="1" applyFont="1" applyBorder="1" applyAlignment="1">
      <alignment horizontal="justify" vertical="center" wrapText="1"/>
    </xf>
    <xf numFmtId="9" fontId="42" fillId="0" borderId="71" xfId="35" applyNumberFormat="1" applyFill="1" applyBorder="1" applyAlignment="1">
      <alignment horizontal="justify"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14" fontId="31" fillId="0" borderId="6" xfId="0" applyNumberFormat="1" applyFont="1" applyBorder="1" applyAlignment="1">
      <alignment horizontal="center" vertical="center"/>
    </xf>
    <xf numFmtId="0" fontId="31" fillId="0" borderId="6" xfId="0" applyFont="1" applyBorder="1" applyAlignment="1">
      <alignment horizontal="center" vertical="center"/>
    </xf>
    <xf numFmtId="0" fontId="32" fillId="10" borderId="12" xfId="0" applyFont="1" applyFill="1" applyBorder="1" applyAlignment="1">
      <alignment vertical="center" wrapText="1"/>
    </xf>
    <xf numFmtId="0" fontId="32" fillId="10" borderId="38" xfId="0" applyFont="1" applyFill="1" applyBorder="1" applyAlignment="1">
      <alignment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9" borderId="6" xfId="22" applyFont="1" applyFill="1" applyBorder="1" applyAlignment="1">
      <alignment horizontal="left" vertical="center" wrapText="1"/>
    </xf>
    <xf numFmtId="0" fontId="32"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4" xfId="0" applyFont="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2" fillId="10" borderId="39" xfId="0" applyFont="1" applyFill="1" applyBorder="1" applyAlignment="1">
      <alignment horizontal="center" vertical="center" wrapText="1"/>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27" fillId="0" borderId="6" xfId="0" applyFont="1" applyBorder="1" applyAlignment="1">
      <alignment vertical="center" wrapText="1"/>
    </xf>
    <xf numFmtId="0" fontId="35" fillId="13" borderId="4" xfId="0" applyFont="1" applyFill="1" applyBorder="1" applyAlignment="1">
      <alignment horizontal="center" vertical="center"/>
    </xf>
    <xf numFmtId="0" fontId="35"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15" fontId="27" fillId="0" borderId="6" xfId="0" applyNumberFormat="1" applyFont="1" applyBorder="1" applyAlignment="1">
      <alignment horizontal="left" vertical="center"/>
    </xf>
    <xf numFmtId="0" fontId="27" fillId="0" borderId="6" xfId="0" applyFont="1" applyBorder="1" applyAlignment="1">
      <alignment horizontal="left"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7" fillId="32" borderId="15" xfId="0" applyFont="1" applyFill="1" applyBorder="1" applyAlignment="1">
      <alignment horizontal="center" vertical="center" wrapText="1"/>
    </xf>
    <xf numFmtId="0" fontId="27" fillId="32"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60" xfId="0" applyFont="1" applyFill="1" applyBorder="1" applyAlignment="1">
      <alignment horizontal="center" vertical="center" wrapText="1"/>
    </xf>
    <xf numFmtId="0" fontId="30" fillId="32" borderId="32" xfId="0" applyFont="1" applyFill="1" applyBorder="1" applyAlignment="1">
      <alignment horizontal="center" vertical="center"/>
    </xf>
    <xf numFmtId="0" fontId="30" fillId="32" borderId="33" xfId="0" applyFont="1" applyFill="1" applyBorder="1" applyAlignment="1">
      <alignment horizontal="center" vertical="center"/>
    </xf>
    <xf numFmtId="0" fontId="30" fillId="32" borderId="34" xfId="0" applyFont="1" applyFill="1" applyBorder="1" applyAlignment="1">
      <alignment horizontal="center" vertical="center"/>
    </xf>
    <xf numFmtId="0" fontId="27" fillId="32" borderId="17" xfId="0" applyFont="1" applyFill="1" applyBorder="1" applyAlignment="1">
      <alignment horizontal="center" vertical="center" wrapText="1"/>
    </xf>
    <xf numFmtId="0" fontId="27" fillId="32" borderId="19" xfId="0" applyFont="1" applyFill="1" applyBorder="1" applyAlignment="1">
      <alignment horizontal="center" vertical="center" wrapText="1"/>
    </xf>
    <xf numFmtId="0" fontId="27" fillId="32" borderId="101" xfId="0" applyFont="1" applyFill="1" applyBorder="1" applyAlignment="1">
      <alignment horizontal="center" vertical="center" wrapText="1"/>
    </xf>
    <xf numFmtId="0" fontId="27" fillId="32" borderId="18" xfId="0" applyFont="1" applyFill="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2" xfId="0" applyFont="1" applyBorder="1" applyAlignment="1">
      <alignment horizontal="justify" vertical="center" wrapText="1"/>
    </xf>
    <xf numFmtId="0" fontId="29" fillId="0" borderId="38" xfId="0" applyFont="1" applyBorder="1" applyAlignment="1">
      <alignment horizontal="justify" vertical="center" wrapText="1"/>
    </xf>
    <xf numFmtId="0" fontId="29" fillId="0" borderId="52" xfId="0" applyFont="1" applyBorder="1" applyAlignment="1">
      <alignment horizontal="justify" vertical="center" wrapText="1"/>
    </xf>
    <xf numFmtId="0" fontId="29" fillId="0" borderId="12" xfId="0" applyFont="1" applyBorder="1" applyAlignment="1">
      <alignment horizontal="justify" vertical="center"/>
    </xf>
    <xf numFmtId="0" fontId="29" fillId="0" borderId="38" xfId="0" applyFont="1" applyBorder="1" applyAlignment="1">
      <alignment horizontal="justify" vertical="center"/>
    </xf>
    <xf numFmtId="0" fontId="29" fillId="0" borderId="52" xfId="0" applyFont="1" applyBorder="1" applyAlignment="1">
      <alignment horizontal="justify" vertical="center"/>
    </xf>
    <xf numFmtId="0" fontId="29" fillId="0" borderId="15" xfId="0" applyFont="1" applyBorder="1" applyAlignment="1">
      <alignment horizontal="justify" vertical="center" wrapText="1"/>
    </xf>
    <xf numFmtId="0" fontId="29" fillId="0" borderId="10" xfId="0" applyFont="1" applyBorder="1" applyAlignment="1">
      <alignment horizontal="justify" vertical="center" wrapText="1"/>
    </xf>
    <xf numFmtId="0" fontId="29" fillId="0" borderId="60" xfId="0" applyFont="1" applyBorder="1" applyAlignment="1">
      <alignment horizontal="justify"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39" fillId="19" borderId="0" xfId="0" applyFont="1" applyFill="1" applyAlignment="1">
      <alignment horizontal="center" vertical="center" wrapText="1"/>
    </xf>
  </cellXfs>
  <cellStyles count="39">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5" builtinId="8"/>
    <cellStyle name="Hyperlink" xfId="34"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4" xfId="36" xr:uid="{05953018-922C-456B-A3B9-91D93D463FD2}"/>
    <cellStyle name="Normal 5" xfId="37" xr:uid="{BDA941F7-D104-4C40-A989-F6F133755AF7}"/>
    <cellStyle name="Normal 6 2" xfId="27" xr:uid="{00000000-0005-0000-0000-00001B000000}"/>
    <cellStyle name="Porcentaje" xfId="28" builtinId="5"/>
    <cellStyle name="Porcentaje 2" xfId="29" xr:uid="{00000000-0005-0000-0000-00001D000000}"/>
    <cellStyle name="Porcentaje 3" xfId="38" xr:uid="{1CF178C2-6E0B-4A2B-9A02-3AB8CF0DF71F}"/>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66FF66"/>
      <color rgb="FFE67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ocumenttasks/documenttask1.xml><?xml version="1.0" encoding="utf-8"?>
<Tasks xmlns="http://schemas.microsoft.com/office/tasks/2019/documenttasks">
  <Task id="{BE8BA75F-4F87-4424-BAD7-F7B3D5C89EA7}">
    <Anchor>
      <Comment id="{52512995-20B8-431B-8B61-457F61350873}"/>
    </Anchor>
    <History>
      <Event time="2024-08-27T16:04:05.12" id="{56E0A6A8-32CA-4D23-93AF-001537BB2BFA}">
        <Attribution userId="S::jdcortes@sdmujer.gov.co::19286d0c-2b39-4349-b92d-6ea2665a8b77" userName="Juan David Cortes Gonzalez" userProvider="AD"/>
        <Anchor>
          <Comment id="{52512995-20B8-431B-8B61-457F61350873}"/>
        </Anchor>
        <Create/>
      </Event>
      <Event time="2024-08-27T16:04:05.12" id="{5032DEE6-37C9-44F9-BE2D-C68C0E17978A}">
        <Attribution userId="S::jdcortes@sdmujer.gov.co::19286d0c-2b39-4349-b92d-6ea2665a8b77" userName="Juan David Cortes Gonzalez" userProvider="AD"/>
        <Anchor>
          <Comment id="{52512995-20B8-431B-8B61-457F61350873}"/>
        </Anchor>
        <Assign userId="S::mggomez@sdmujer.gov.co::3a029fb8-7425-4182-81da-a9b2db3a160c" userName="Miguel Giovanny Gómez López" userProvider="AD"/>
      </Event>
      <Event time="2024-08-27T16:04:05.12" id="{C31E9A50-9CB9-47EA-987F-A7C5533D76BA}">
        <Attribution userId="S::jdcortes@sdmujer.gov.co::19286d0c-2b39-4349-b92d-6ea2665a8b77" userName="Juan David Cortes Gonzalez" userProvider="AD"/>
        <Anchor>
          <Comment id="{52512995-20B8-431B-8B61-457F61350873}"/>
        </Anchor>
        <SetTitle title="@Miguel Giovanny Gómez López por favor podrías ayudarme a diligenciar de manera urgente este indicador, con la descripción cualitativa del avance, evidencia del avance del periodo. la descripción cualitativa del avance acumulado, si hay retrasos y …"/>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39DDBC8-6507-49D1-AE96-8E3241AF3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9FF9008-55F3-4B00-B393-018E32B04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ED6B6EC3-8536-433E-B680-334D9C72F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iguel Giovanny Gómez López" id="{28D16543-58F3-4F89-A37A-97153D022074}" userId="mggomez@sdmujer.gov.co" providerId="PeoplePicker"/>
  <person displayName="Juan David Cortes Gonzalez" id="{444BA226-9424-45F4-A519-0FC5BB1E4ACB}" userId="S::jdcortes@sdmujer.gov.co::19286d0c-2b39-4349-b92d-6ea2665a8b7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43" dT="2024-09-05T22:06:01.12" personId="{444BA226-9424-45F4-A519-0FC5BB1E4ACB}" id="{4016C85B-A447-494D-8446-F2DD50601C79}">
    <text>Se ajusta la evidencias</text>
  </threadedComment>
</ThreadedComments>
</file>

<file path=xl/threadedComments/threadedComment2.xml><?xml version="1.0" encoding="utf-8"?>
<ThreadedComments xmlns="http://schemas.microsoft.com/office/spreadsheetml/2018/threadedcomments" xmlns:x="http://schemas.openxmlformats.org/spreadsheetml/2006/main">
  <threadedComment ref="AQ13" dT="2024-08-27T16:04:05.43" personId="{444BA226-9424-45F4-A519-0FC5BB1E4ACB}" id="{52512995-20B8-431B-8B61-457F61350873}">
    <text xml:space="preserve">@Miguel Giovanny Gómez López  por favor podrías ayudarme a diligenciar de manera urgente este indicador, con la descripción cualitativa del avance, evidencia del avance del periodo. la descripción cualitativa del avance acumulado, si hay retrasos y soluciones para ello si no, se indica no aplica. </text>
    <mentions>
      <mention mentionpersonId="{28D16543-58F3-4F89-A37A-97153D022074}" mentionId="{677EC123-89D1-484B-B4CB-2BFE4929633A}" startIndex="0" length="2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f:/s/BogotCaminaSegura/EjqAGpGrq4FOjG9Opvdc9yoBUeNBDQZiQUOhsXHdCXtTeQ?e=Sg7VNj" TargetMode="External"/><Relationship Id="rId1" Type="http://schemas.openxmlformats.org/officeDocument/2006/relationships/hyperlink" Target="../../../../../../../../../../../../../../../../../../../../../../../../:f:/s/BogotCaminaSegura/ErEYkwm3ZTJHgHmDcbYV18ABhV2_Xm_hLA5SR1cNmQ7m6g?e=chq82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w:/s/BogotCaminaSegura/EQigQQA7-5BArSTr3R6K9ZsBghwEozjCVdizdPgRIei2EA?e=6Ksayw"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x:/s/BogotCaminaSegura/EdG5GPoIaEZMpqqVMbcf5RsBX4-6ozbBhCtvihlnsun1-g?e=fTxwOC" TargetMode="External"/><Relationship Id="rId7" Type="http://schemas.openxmlformats.org/officeDocument/2006/relationships/comments" Target="../comments3.xml"/><Relationship Id="rId2" Type="http://schemas.openxmlformats.org/officeDocument/2006/relationships/hyperlink" Target="../../../../../../../../../../../../../../../../../../../../../../../../:w:/s/BogotCaminaSegura/EcFVCbU2lzBFoxGrIvBFfJ8BjE6wtqYX7lrZciB5HzjAWw?e=dGLLhb" TargetMode="External"/><Relationship Id="rId1" Type="http://schemas.openxmlformats.org/officeDocument/2006/relationships/hyperlink" Target="../../../../../../../../../../../../../../../../../../../../../../../../:x:/s/BogotCaminaSegura/EdG5GPoIaEZMpqqVMbcf5RsBX4-6ozbBhCtvihlnsun1-g?e=fTxwOC"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secretariadistritald.sharepoint.com/:f:/s/BogotCaminaSegura/ErDpu_tkZTtJuO_72kGsfkYBz1rUtW9H2n2gW8wmfE6z_Q?e=WUpOxR" TargetMode="External"/><Relationship Id="rId7" Type="http://schemas.openxmlformats.org/officeDocument/2006/relationships/drawing" Target="../drawings/drawing4.xml"/><Relationship Id="rId2" Type="http://schemas.openxmlformats.org/officeDocument/2006/relationships/hyperlink" Target="https://secretariadistritald.sharepoint.com/:f:/s/BogotCaminaSegura/EjGG13hay6lOve_c8QI_XWgBWLH24DZkBba71WXCGCd55g?e=F2b1OU" TargetMode="External"/><Relationship Id="rId1" Type="http://schemas.openxmlformats.org/officeDocument/2006/relationships/hyperlink" Target="../../../../../../../../../../../../../../../../../../../../../../../../:f:/s/BogotCaminaSegura/Eu4N-xyBKChHnAQz69FsUWEBCRswyizXUXS7hOc1BJ4Y4Q?e=vksH3M" TargetMode="External"/><Relationship Id="rId6" Type="http://schemas.openxmlformats.org/officeDocument/2006/relationships/printerSettings" Target="../printerSettings/printerSettings5.bin"/><Relationship Id="rId5" Type="http://schemas.openxmlformats.org/officeDocument/2006/relationships/hyperlink" Target="https://secretariadistritald.sharepoint.com/:f:/s/BogotCaminaSegura/ErDpu_tkZTtJuO_72kGsfkYBz1rUtW9H2n2gW8wmfE6z_Q?e=WUpOxR" TargetMode="External"/><Relationship Id="rId4" Type="http://schemas.openxmlformats.org/officeDocument/2006/relationships/hyperlink" Target="https://secretariadistritald.sharepoint.com/:f:/s/BogotCaminaSegura/EjGG13hay6lOve_c8QI_XWgBWLH24DZkBba71WXCGCd55g?e=F2b1OU" TargetMode="Externa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microsoft.com/office/2019/04/relationships/documenttask" Target="../documenttasks/documenttask1.xml"/><Relationship Id="rId3" Type="http://schemas.openxmlformats.org/officeDocument/2006/relationships/hyperlink" Target="../../../../../../../../../../../../../../../../../../../../../../../../:f:/s/BogotCaminaSegura/EuLUxDauiN9GnbuLPhE_OtMB5li4o2hq05MItAx9x27lcA?e=mZWdSI" TargetMode="External"/><Relationship Id="rId7" Type="http://schemas.microsoft.com/office/2017/10/relationships/threadedComment" Target="../threadedComments/threadedComment2.xml"/><Relationship Id="rId2" Type="http://schemas.openxmlformats.org/officeDocument/2006/relationships/hyperlink" Target="../../../../../../../../../../../../../../../../:x:/g/personal/jdcortes_sdmujer_gov_co/EbKwAZungqRIpS_F0zoocR0BmRWbxiji-9PblEaQwKiohg?e=aYYCYK" TargetMode="External"/><Relationship Id="rId1" Type="http://schemas.openxmlformats.org/officeDocument/2006/relationships/hyperlink" Target="../../../../../../../../../../../../../../../../../../../../../../../../:b:/s/BogotCaminaSegura/EcOOl3MsjxdHiwJpPbmv7F0B8cCGq1_P9VbGx8RFKwfA0g?e=eiOU48"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8" zoomScale="90" zoomScaleNormal="90" workbookViewId="0">
      <selection activeCell="D27" sqref="D27"/>
    </sheetView>
  </sheetViews>
  <sheetFormatPr baseColWidth="10" defaultColWidth="10.85546875" defaultRowHeight="14.25" x14ac:dyDescent="0.25"/>
  <cols>
    <col min="1" max="1" width="72" style="63" bestFit="1" customWidth="1"/>
    <col min="2" max="2" width="78.5703125" style="63" customWidth="1"/>
    <col min="3" max="3" width="10.85546875" style="63"/>
    <col min="4" max="4" width="31.140625" style="63" customWidth="1"/>
    <col min="5" max="5" width="70.140625" style="63" customWidth="1"/>
    <col min="6" max="6" width="17.42578125" style="63" customWidth="1"/>
    <col min="7" max="8" width="21.85546875" style="63" customWidth="1"/>
    <col min="9" max="9" width="19.42578125" style="63" customWidth="1"/>
    <col min="10" max="10" width="42" style="63" customWidth="1"/>
    <col min="11" max="256" width="10.85546875" style="63"/>
    <col min="257" max="257" width="72" style="63" bestFit="1" customWidth="1"/>
    <col min="258" max="258" width="78.5703125" style="63" customWidth="1"/>
    <col min="259" max="259" width="10.85546875" style="63"/>
    <col min="260" max="260" width="31.140625" style="63" customWidth="1"/>
    <col min="261" max="261" width="70.140625" style="63" customWidth="1"/>
    <col min="262" max="262" width="17.42578125" style="63" customWidth="1"/>
    <col min="263" max="264" width="21.85546875" style="63" customWidth="1"/>
    <col min="265" max="265" width="19.42578125" style="63" customWidth="1"/>
    <col min="266" max="266" width="42" style="63" customWidth="1"/>
    <col min="267" max="512" width="10.85546875" style="63"/>
    <col min="513" max="513" width="72" style="63" bestFit="1" customWidth="1"/>
    <col min="514" max="514" width="78.5703125" style="63" customWidth="1"/>
    <col min="515" max="515" width="10.85546875" style="63"/>
    <col min="516" max="516" width="31.140625" style="63" customWidth="1"/>
    <col min="517" max="517" width="70.140625" style="63" customWidth="1"/>
    <col min="518" max="518" width="17.42578125" style="63" customWidth="1"/>
    <col min="519" max="520" width="21.85546875" style="63" customWidth="1"/>
    <col min="521" max="521" width="19.42578125" style="63" customWidth="1"/>
    <col min="522" max="522" width="42" style="63" customWidth="1"/>
    <col min="523" max="768" width="10.85546875" style="63"/>
    <col min="769" max="769" width="72" style="63" bestFit="1" customWidth="1"/>
    <col min="770" max="770" width="78.5703125" style="63" customWidth="1"/>
    <col min="771" max="771" width="10.85546875" style="63"/>
    <col min="772" max="772" width="31.140625" style="63" customWidth="1"/>
    <col min="773" max="773" width="70.140625" style="63" customWidth="1"/>
    <col min="774" max="774" width="17.42578125" style="63" customWidth="1"/>
    <col min="775" max="776" width="21.85546875" style="63" customWidth="1"/>
    <col min="777" max="777" width="19.42578125" style="63" customWidth="1"/>
    <col min="778" max="778" width="42" style="63" customWidth="1"/>
    <col min="779" max="1024" width="10.85546875" style="63"/>
    <col min="1025" max="1025" width="72" style="63" bestFit="1" customWidth="1"/>
    <col min="1026" max="1026" width="78.5703125" style="63" customWidth="1"/>
    <col min="1027" max="1027" width="10.85546875" style="63"/>
    <col min="1028" max="1028" width="31.140625" style="63" customWidth="1"/>
    <col min="1029" max="1029" width="70.140625" style="63" customWidth="1"/>
    <col min="1030" max="1030" width="17.42578125" style="63" customWidth="1"/>
    <col min="1031" max="1032" width="21.85546875" style="63" customWidth="1"/>
    <col min="1033" max="1033" width="19.42578125" style="63" customWidth="1"/>
    <col min="1034" max="1034" width="42" style="63" customWidth="1"/>
    <col min="1035" max="1280" width="10.85546875" style="63"/>
    <col min="1281" max="1281" width="72" style="63" bestFit="1" customWidth="1"/>
    <col min="1282" max="1282" width="78.5703125" style="63" customWidth="1"/>
    <col min="1283" max="1283" width="10.85546875" style="63"/>
    <col min="1284" max="1284" width="31.140625" style="63" customWidth="1"/>
    <col min="1285" max="1285" width="70.140625" style="63" customWidth="1"/>
    <col min="1286" max="1286" width="17.42578125" style="63" customWidth="1"/>
    <col min="1287" max="1288" width="21.85546875" style="63" customWidth="1"/>
    <col min="1289" max="1289" width="19.42578125" style="63" customWidth="1"/>
    <col min="1290" max="1290" width="42" style="63" customWidth="1"/>
    <col min="1291" max="1536" width="10.85546875" style="63"/>
    <col min="1537" max="1537" width="72" style="63" bestFit="1" customWidth="1"/>
    <col min="1538" max="1538" width="78.5703125" style="63" customWidth="1"/>
    <col min="1539" max="1539" width="10.85546875" style="63"/>
    <col min="1540" max="1540" width="31.140625" style="63" customWidth="1"/>
    <col min="1541" max="1541" width="70.140625" style="63" customWidth="1"/>
    <col min="1542" max="1542" width="17.42578125" style="63" customWidth="1"/>
    <col min="1543" max="1544" width="21.85546875" style="63" customWidth="1"/>
    <col min="1545" max="1545" width="19.42578125" style="63" customWidth="1"/>
    <col min="1546" max="1546" width="42" style="63" customWidth="1"/>
    <col min="1547" max="1792" width="10.85546875" style="63"/>
    <col min="1793" max="1793" width="72" style="63" bestFit="1" customWidth="1"/>
    <col min="1794" max="1794" width="78.5703125" style="63" customWidth="1"/>
    <col min="1795" max="1795" width="10.85546875" style="63"/>
    <col min="1796" max="1796" width="31.140625" style="63" customWidth="1"/>
    <col min="1797" max="1797" width="70.140625" style="63" customWidth="1"/>
    <col min="1798" max="1798" width="17.42578125" style="63" customWidth="1"/>
    <col min="1799" max="1800" width="21.85546875" style="63" customWidth="1"/>
    <col min="1801" max="1801" width="19.42578125" style="63" customWidth="1"/>
    <col min="1802" max="1802" width="42" style="63" customWidth="1"/>
    <col min="1803" max="2048" width="10.85546875" style="63"/>
    <col min="2049" max="2049" width="72" style="63" bestFit="1" customWidth="1"/>
    <col min="2050" max="2050" width="78.5703125" style="63" customWidth="1"/>
    <col min="2051" max="2051" width="10.85546875" style="63"/>
    <col min="2052" max="2052" width="31.140625" style="63" customWidth="1"/>
    <col min="2053" max="2053" width="70.140625" style="63" customWidth="1"/>
    <col min="2054" max="2054" width="17.42578125" style="63" customWidth="1"/>
    <col min="2055" max="2056" width="21.85546875" style="63" customWidth="1"/>
    <col min="2057" max="2057" width="19.42578125" style="63" customWidth="1"/>
    <col min="2058" max="2058" width="42" style="63" customWidth="1"/>
    <col min="2059" max="2304" width="10.85546875" style="63"/>
    <col min="2305" max="2305" width="72" style="63" bestFit="1" customWidth="1"/>
    <col min="2306" max="2306" width="78.5703125" style="63" customWidth="1"/>
    <col min="2307" max="2307" width="10.85546875" style="63"/>
    <col min="2308" max="2308" width="31.140625" style="63" customWidth="1"/>
    <col min="2309" max="2309" width="70.140625" style="63" customWidth="1"/>
    <col min="2310" max="2310" width="17.42578125" style="63" customWidth="1"/>
    <col min="2311" max="2312" width="21.85546875" style="63" customWidth="1"/>
    <col min="2313" max="2313" width="19.42578125" style="63" customWidth="1"/>
    <col min="2314" max="2314" width="42" style="63" customWidth="1"/>
    <col min="2315" max="2560" width="10.85546875" style="63"/>
    <col min="2561" max="2561" width="72" style="63" bestFit="1" customWidth="1"/>
    <col min="2562" max="2562" width="78.5703125" style="63" customWidth="1"/>
    <col min="2563" max="2563" width="10.85546875" style="63"/>
    <col min="2564" max="2564" width="31.140625" style="63" customWidth="1"/>
    <col min="2565" max="2565" width="70.140625" style="63" customWidth="1"/>
    <col min="2566" max="2566" width="17.42578125" style="63" customWidth="1"/>
    <col min="2567" max="2568" width="21.85546875" style="63" customWidth="1"/>
    <col min="2569" max="2569" width="19.42578125" style="63" customWidth="1"/>
    <col min="2570" max="2570" width="42" style="63" customWidth="1"/>
    <col min="2571" max="2816" width="10.85546875" style="63"/>
    <col min="2817" max="2817" width="72" style="63" bestFit="1" customWidth="1"/>
    <col min="2818" max="2818" width="78.5703125" style="63" customWidth="1"/>
    <col min="2819" max="2819" width="10.85546875" style="63"/>
    <col min="2820" max="2820" width="31.140625" style="63" customWidth="1"/>
    <col min="2821" max="2821" width="70.140625" style="63" customWidth="1"/>
    <col min="2822" max="2822" width="17.42578125" style="63" customWidth="1"/>
    <col min="2823" max="2824" width="21.85546875" style="63" customWidth="1"/>
    <col min="2825" max="2825" width="19.42578125" style="63" customWidth="1"/>
    <col min="2826" max="2826" width="42" style="63" customWidth="1"/>
    <col min="2827" max="3072" width="10.85546875" style="63"/>
    <col min="3073" max="3073" width="72" style="63" bestFit="1" customWidth="1"/>
    <col min="3074" max="3074" width="78.5703125" style="63" customWidth="1"/>
    <col min="3075" max="3075" width="10.85546875" style="63"/>
    <col min="3076" max="3076" width="31.140625" style="63" customWidth="1"/>
    <col min="3077" max="3077" width="70.140625" style="63" customWidth="1"/>
    <col min="3078" max="3078" width="17.42578125" style="63" customWidth="1"/>
    <col min="3079" max="3080" width="21.85546875" style="63" customWidth="1"/>
    <col min="3081" max="3081" width="19.42578125" style="63" customWidth="1"/>
    <col min="3082" max="3082" width="42" style="63" customWidth="1"/>
    <col min="3083" max="3328" width="10.85546875" style="63"/>
    <col min="3329" max="3329" width="72" style="63" bestFit="1" customWidth="1"/>
    <col min="3330" max="3330" width="78.5703125" style="63" customWidth="1"/>
    <col min="3331" max="3331" width="10.85546875" style="63"/>
    <col min="3332" max="3332" width="31.140625" style="63" customWidth="1"/>
    <col min="3333" max="3333" width="70.140625" style="63" customWidth="1"/>
    <col min="3334" max="3334" width="17.42578125" style="63" customWidth="1"/>
    <col min="3335" max="3336" width="21.85546875" style="63" customWidth="1"/>
    <col min="3337" max="3337" width="19.42578125" style="63" customWidth="1"/>
    <col min="3338" max="3338" width="42" style="63" customWidth="1"/>
    <col min="3339" max="3584" width="10.85546875" style="63"/>
    <col min="3585" max="3585" width="72" style="63" bestFit="1" customWidth="1"/>
    <col min="3586" max="3586" width="78.5703125" style="63" customWidth="1"/>
    <col min="3587" max="3587" width="10.85546875" style="63"/>
    <col min="3588" max="3588" width="31.140625" style="63" customWidth="1"/>
    <col min="3589" max="3589" width="70.140625" style="63" customWidth="1"/>
    <col min="3590" max="3590" width="17.42578125" style="63" customWidth="1"/>
    <col min="3591" max="3592" width="21.85546875" style="63" customWidth="1"/>
    <col min="3593" max="3593" width="19.42578125" style="63" customWidth="1"/>
    <col min="3594" max="3594" width="42" style="63" customWidth="1"/>
    <col min="3595" max="3840" width="10.85546875" style="63"/>
    <col min="3841" max="3841" width="72" style="63" bestFit="1" customWidth="1"/>
    <col min="3842" max="3842" width="78.5703125" style="63" customWidth="1"/>
    <col min="3843" max="3843" width="10.85546875" style="63"/>
    <col min="3844" max="3844" width="31.140625" style="63" customWidth="1"/>
    <col min="3845" max="3845" width="70.140625" style="63" customWidth="1"/>
    <col min="3846" max="3846" width="17.42578125" style="63" customWidth="1"/>
    <col min="3847" max="3848" width="21.85546875" style="63" customWidth="1"/>
    <col min="3849" max="3849" width="19.42578125" style="63" customWidth="1"/>
    <col min="3850" max="3850" width="42" style="63" customWidth="1"/>
    <col min="3851" max="4096" width="10.85546875" style="63"/>
    <col min="4097" max="4097" width="72" style="63" bestFit="1" customWidth="1"/>
    <col min="4098" max="4098" width="78.5703125" style="63" customWidth="1"/>
    <col min="4099" max="4099" width="10.85546875" style="63"/>
    <col min="4100" max="4100" width="31.140625" style="63" customWidth="1"/>
    <col min="4101" max="4101" width="70.140625" style="63" customWidth="1"/>
    <col min="4102" max="4102" width="17.42578125" style="63" customWidth="1"/>
    <col min="4103" max="4104" width="21.85546875" style="63" customWidth="1"/>
    <col min="4105" max="4105" width="19.42578125" style="63" customWidth="1"/>
    <col min="4106" max="4106" width="42" style="63" customWidth="1"/>
    <col min="4107" max="4352" width="10.85546875" style="63"/>
    <col min="4353" max="4353" width="72" style="63" bestFit="1" customWidth="1"/>
    <col min="4354" max="4354" width="78.5703125" style="63" customWidth="1"/>
    <col min="4355" max="4355" width="10.85546875" style="63"/>
    <col min="4356" max="4356" width="31.140625" style="63" customWidth="1"/>
    <col min="4357" max="4357" width="70.140625" style="63" customWidth="1"/>
    <col min="4358" max="4358" width="17.42578125" style="63" customWidth="1"/>
    <col min="4359" max="4360" width="21.85546875" style="63" customWidth="1"/>
    <col min="4361" max="4361" width="19.42578125" style="63" customWidth="1"/>
    <col min="4362" max="4362" width="42" style="63" customWidth="1"/>
    <col min="4363" max="4608" width="10.85546875" style="63"/>
    <col min="4609" max="4609" width="72" style="63" bestFit="1" customWidth="1"/>
    <col min="4610" max="4610" width="78.5703125" style="63" customWidth="1"/>
    <col min="4611" max="4611" width="10.85546875" style="63"/>
    <col min="4612" max="4612" width="31.140625" style="63" customWidth="1"/>
    <col min="4613" max="4613" width="70.140625" style="63" customWidth="1"/>
    <col min="4614" max="4614" width="17.42578125" style="63" customWidth="1"/>
    <col min="4615" max="4616" width="21.85546875" style="63" customWidth="1"/>
    <col min="4617" max="4617" width="19.42578125" style="63" customWidth="1"/>
    <col min="4618" max="4618" width="42" style="63" customWidth="1"/>
    <col min="4619" max="4864" width="10.85546875" style="63"/>
    <col min="4865" max="4865" width="72" style="63" bestFit="1" customWidth="1"/>
    <col min="4866" max="4866" width="78.5703125" style="63" customWidth="1"/>
    <col min="4867" max="4867" width="10.85546875" style="63"/>
    <col min="4868" max="4868" width="31.140625" style="63" customWidth="1"/>
    <col min="4869" max="4869" width="70.140625" style="63" customWidth="1"/>
    <col min="4870" max="4870" width="17.42578125" style="63" customWidth="1"/>
    <col min="4871" max="4872" width="21.85546875" style="63" customWidth="1"/>
    <col min="4873" max="4873" width="19.42578125" style="63" customWidth="1"/>
    <col min="4874" max="4874" width="42" style="63" customWidth="1"/>
    <col min="4875" max="5120" width="10.85546875" style="63"/>
    <col min="5121" max="5121" width="72" style="63" bestFit="1" customWidth="1"/>
    <col min="5122" max="5122" width="78.5703125" style="63" customWidth="1"/>
    <col min="5123" max="5123" width="10.85546875" style="63"/>
    <col min="5124" max="5124" width="31.140625" style="63" customWidth="1"/>
    <col min="5125" max="5125" width="70.140625" style="63" customWidth="1"/>
    <col min="5126" max="5126" width="17.42578125" style="63" customWidth="1"/>
    <col min="5127" max="5128" width="21.85546875" style="63" customWidth="1"/>
    <col min="5129" max="5129" width="19.42578125" style="63" customWidth="1"/>
    <col min="5130" max="5130" width="42" style="63" customWidth="1"/>
    <col min="5131" max="5376" width="10.85546875" style="63"/>
    <col min="5377" max="5377" width="72" style="63" bestFit="1" customWidth="1"/>
    <col min="5378" max="5378" width="78.5703125" style="63" customWidth="1"/>
    <col min="5379" max="5379" width="10.85546875" style="63"/>
    <col min="5380" max="5380" width="31.140625" style="63" customWidth="1"/>
    <col min="5381" max="5381" width="70.140625" style="63" customWidth="1"/>
    <col min="5382" max="5382" width="17.42578125" style="63" customWidth="1"/>
    <col min="5383" max="5384" width="21.85546875" style="63" customWidth="1"/>
    <col min="5385" max="5385" width="19.42578125" style="63" customWidth="1"/>
    <col min="5386" max="5386" width="42" style="63" customWidth="1"/>
    <col min="5387" max="5632" width="10.85546875" style="63"/>
    <col min="5633" max="5633" width="72" style="63" bestFit="1" customWidth="1"/>
    <col min="5634" max="5634" width="78.5703125" style="63" customWidth="1"/>
    <col min="5635" max="5635" width="10.85546875" style="63"/>
    <col min="5636" max="5636" width="31.140625" style="63" customWidth="1"/>
    <col min="5637" max="5637" width="70.140625" style="63" customWidth="1"/>
    <col min="5638" max="5638" width="17.42578125" style="63" customWidth="1"/>
    <col min="5639" max="5640" width="21.85546875" style="63" customWidth="1"/>
    <col min="5641" max="5641" width="19.42578125" style="63" customWidth="1"/>
    <col min="5642" max="5642" width="42" style="63" customWidth="1"/>
    <col min="5643" max="5888" width="10.85546875" style="63"/>
    <col min="5889" max="5889" width="72" style="63" bestFit="1" customWidth="1"/>
    <col min="5890" max="5890" width="78.5703125" style="63" customWidth="1"/>
    <col min="5891" max="5891" width="10.85546875" style="63"/>
    <col min="5892" max="5892" width="31.140625" style="63" customWidth="1"/>
    <col min="5893" max="5893" width="70.140625" style="63" customWidth="1"/>
    <col min="5894" max="5894" width="17.42578125" style="63" customWidth="1"/>
    <col min="5895" max="5896" width="21.85546875" style="63" customWidth="1"/>
    <col min="5897" max="5897" width="19.42578125" style="63" customWidth="1"/>
    <col min="5898" max="5898" width="42" style="63" customWidth="1"/>
    <col min="5899" max="6144" width="10.85546875" style="63"/>
    <col min="6145" max="6145" width="72" style="63" bestFit="1" customWidth="1"/>
    <col min="6146" max="6146" width="78.5703125" style="63" customWidth="1"/>
    <col min="6147" max="6147" width="10.85546875" style="63"/>
    <col min="6148" max="6148" width="31.140625" style="63" customWidth="1"/>
    <col min="6149" max="6149" width="70.140625" style="63" customWidth="1"/>
    <col min="6150" max="6150" width="17.42578125" style="63" customWidth="1"/>
    <col min="6151" max="6152" width="21.85546875" style="63" customWidth="1"/>
    <col min="6153" max="6153" width="19.42578125" style="63" customWidth="1"/>
    <col min="6154" max="6154" width="42" style="63" customWidth="1"/>
    <col min="6155" max="6400" width="10.85546875" style="63"/>
    <col min="6401" max="6401" width="72" style="63" bestFit="1" customWidth="1"/>
    <col min="6402" max="6402" width="78.5703125" style="63" customWidth="1"/>
    <col min="6403" max="6403" width="10.85546875" style="63"/>
    <col min="6404" max="6404" width="31.140625" style="63" customWidth="1"/>
    <col min="6405" max="6405" width="70.140625" style="63" customWidth="1"/>
    <col min="6406" max="6406" width="17.42578125" style="63" customWidth="1"/>
    <col min="6407" max="6408" width="21.85546875" style="63" customWidth="1"/>
    <col min="6409" max="6409" width="19.42578125" style="63" customWidth="1"/>
    <col min="6410" max="6410" width="42" style="63" customWidth="1"/>
    <col min="6411" max="6656" width="10.85546875" style="63"/>
    <col min="6657" max="6657" width="72" style="63" bestFit="1" customWidth="1"/>
    <col min="6658" max="6658" width="78.5703125" style="63" customWidth="1"/>
    <col min="6659" max="6659" width="10.85546875" style="63"/>
    <col min="6660" max="6660" width="31.140625" style="63" customWidth="1"/>
    <col min="6661" max="6661" width="70.140625" style="63" customWidth="1"/>
    <col min="6662" max="6662" width="17.42578125" style="63" customWidth="1"/>
    <col min="6663" max="6664" width="21.85546875" style="63" customWidth="1"/>
    <col min="6665" max="6665" width="19.42578125" style="63" customWidth="1"/>
    <col min="6666" max="6666" width="42" style="63" customWidth="1"/>
    <col min="6667" max="6912" width="10.85546875" style="63"/>
    <col min="6913" max="6913" width="72" style="63" bestFit="1" customWidth="1"/>
    <col min="6914" max="6914" width="78.5703125" style="63" customWidth="1"/>
    <col min="6915" max="6915" width="10.85546875" style="63"/>
    <col min="6916" max="6916" width="31.140625" style="63" customWidth="1"/>
    <col min="6917" max="6917" width="70.140625" style="63" customWidth="1"/>
    <col min="6918" max="6918" width="17.42578125" style="63" customWidth="1"/>
    <col min="6919" max="6920" width="21.85546875" style="63" customWidth="1"/>
    <col min="6921" max="6921" width="19.42578125" style="63" customWidth="1"/>
    <col min="6922" max="6922" width="42" style="63" customWidth="1"/>
    <col min="6923" max="7168" width="10.85546875" style="63"/>
    <col min="7169" max="7169" width="72" style="63" bestFit="1" customWidth="1"/>
    <col min="7170" max="7170" width="78.5703125" style="63" customWidth="1"/>
    <col min="7171" max="7171" width="10.85546875" style="63"/>
    <col min="7172" max="7172" width="31.140625" style="63" customWidth="1"/>
    <col min="7173" max="7173" width="70.140625" style="63" customWidth="1"/>
    <col min="7174" max="7174" width="17.42578125" style="63" customWidth="1"/>
    <col min="7175" max="7176" width="21.85546875" style="63" customWidth="1"/>
    <col min="7177" max="7177" width="19.42578125" style="63" customWidth="1"/>
    <col min="7178" max="7178" width="42" style="63" customWidth="1"/>
    <col min="7179" max="7424" width="10.85546875" style="63"/>
    <col min="7425" max="7425" width="72" style="63" bestFit="1" customWidth="1"/>
    <col min="7426" max="7426" width="78.5703125" style="63" customWidth="1"/>
    <col min="7427" max="7427" width="10.85546875" style="63"/>
    <col min="7428" max="7428" width="31.140625" style="63" customWidth="1"/>
    <col min="7429" max="7429" width="70.140625" style="63" customWidth="1"/>
    <col min="7430" max="7430" width="17.42578125" style="63" customWidth="1"/>
    <col min="7431" max="7432" width="21.85546875" style="63" customWidth="1"/>
    <col min="7433" max="7433" width="19.42578125" style="63" customWidth="1"/>
    <col min="7434" max="7434" width="42" style="63" customWidth="1"/>
    <col min="7435" max="7680" width="10.85546875" style="63"/>
    <col min="7681" max="7681" width="72" style="63" bestFit="1" customWidth="1"/>
    <col min="7682" max="7682" width="78.5703125" style="63" customWidth="1"/>
    <col min="7683" max="7683" width="10.85546875" style="63"/>
    <col min="7684" max="7684" width="31.140625" style="63" customWidth="1"/>
    <col min="7685" max="7685" width="70.140625" style="63" customWidth="1"/>
    <col min="7686" max="7686" width="17.42578125" style="63" customWidth="1"/>
    <col min="7687" max="7688" width="21.85546875" style="63" customWidth="1"/>
    <col min="7689" max="7689" width="19.42578125" style="63" customWidth="1"/>
    <col min="7690" max="7690" width="42" style="63" customWidth="1"/>
    <col min="7691" max="7936" width="10.85546875" style="63"/>
    <col min="7937" max="7937" width="72" style="63" bestFit="1" customWidth="1"/>
    <col min="7938" max="7938" width="78.5703125" style="63" customWidth="1"/>
    <col min="7939" max="7939" width="10.85546875" style="63"/>
    <col min="7940" max="7940" width="31.140625" style="63" customWidth="1"/>
    <col min="7941" max="7941" width="70.140625" style="63" customWidth="1"/>
    <col min="7942" max="7942" width="17.42578125" style="63" customWidth="1"/>
    <col min="7943" max="7944" width="21.85546875" style="63" customWidth="1"/>
    <col min="7945" max="7945" width="19.42578125" style="63" customWidth="1"/>
    <col min="7946" max="7946" width="42" style="63" customWidth="1"/>
    <col min="7947" max="8192" width="10.85546875" style="63"/>
    <col min="8193" max="8193" width="72" style="63" bestFit="1" customWidth="1"/>
    <col min="8194" max="8194" width="78.5703125" style="63" customWidth="1"/>
    <col min="8195" max="8195" width="10.85546875" style="63"/>
    <col min="8196" max="8196" width="31.140625" style="63" customWidth="1"/>
    <col min="8197" max="8197" width="70.140625" style="63" customWidth="1"/>
    <col min="8198" max="8198" width="17.42578125" style="63" customWidth="1"/>
    <col min="8199" max="8200" width="21.85546875" style="63" customWidth="1"/>
    <col min="8201" max="8201" width="19.42578125" style="63" customWidth="1"/>
    <col min="8202" max="8202" width="42" style="63" customWidth="1"/>
    <col min="8203" max="8448" width="10.85546875" style="63"/>
    <col min="8449" max="8449" width="72" style="63" bestFit="1" customWidth="1"/>
    <col min="8450" max="8450" width="78.5703125" style="63" customWidth="1"/>
    <col min="8451" max="8451" width="10.85546875" style="63"/>
    <col min="8452" max="8452" width="31.140625" style="63" customWidth="1"/>
    <col min="8453" max="8453" width="70.140625" style="63" customWidth="1"/>
    <col min="8454" max="8454" width="17.42578125" style="63" customWidth="1"/>
    <col min="8455" max="8456" width="21.85546875" style="63" customWidth="1"/>
    <col min="8457" max="8457" width="19.42578125" style="63" customWidth="1"/>
    <col min="8458" max="8458" width="42" style="63" customWidth="1"/>
    <col min="8459" max="8704" width="10.85546875" style="63"/>
    <col min="8705" max="8705" width="72" style="63" bestFit="1" customWidth="1"/>
    <col min="8706" max="8706" width="78.5703125" style="63" customWidth="1"/>
    <col min="8707" max="8707" width="10.85546875" style="63"/>
    <col min="8708" max="8708" width="31.140625" style="63" customWidth="1"/>
    <col min="8709" max="8709" width="70.140625" style="63" customWidth="1"/>
    <col min="8710" max="8710" width="17.42578125" style="63" customWidth="1"/>
    <col min="8711" max="8712" width="21.85546875" style="63" customWidth="1"/>
    <col min="8713" max="8713" width="19.42578125" style="63" customWidth="1"/>
    <col min="8714" max="8714" width="42" style="63" customWidth="1"/>
    <col min="8715" max="8960" width="10.85546875" style="63"/>
    <col min="8961" max="8961" width="72" style="63" bestFit="1" customWidth="1"/>
    <col min="8962" max="8962" width="78.5703125" style="63" customWidth="1"/>
    <col min="8963" max="8963" width="10.85546875" style="63"/>
    <col min="8964" max="8964" width="31.140625" style="63" customWidth="1"/>
    <col min="8965" max="8965" width="70.140625" style="63" customWidth="1"/>
    <col min="8966" max="8966" width="17.42578125" style="63" customWidth="1"/>
    <col min="8967" max="8968" width="21.85546875" style="63" customWidth="1"/>
    <col min="8969" max="8969" width="19.42578125" style="63" customWidth="1"/>
    <col min="8970" max="8970" width="42" style="63" customWidth="1"/>
    <col min="8971" max="9216" width="10.85546875" style="63"/>
    <col min="9217" max="9217" width="72" style="63" bestFit="1" customWidth="1"/>
    <col min="9218" max="9218" width="78.5703125" style="63" customWidth="1"/>
    <col min="9219" max="9219" width="10.85546875" style="63"/>
    <col min="9220" max="9220" width="31.140625" style="63" customWidth="1"/>
    <col min="9221" max="9221" width="70.140625" style="63" customWidth="1"/>
    <col min="9222" max="9222" width="17.42578125" style="63" customWidth="1"/>
    <col min="9223" max="9224" width="21.85546875" style="63" customWidth="1"/>
    <col min="9225" max="9225" width="19.42578125" style="63" customWidth="1"/>
    <col min="9226" max="9226" width="42" style="63" customWidth="1"/>
    <col min="9227" max="9472" width="10.85546875" style="63"/>
    <col min="9473" max="9473" width="72" style="63" bestFit="1" customWidth="1"/>
    <col min="9474" max="9474" width="78.5703125" style="63" customWidth="1"/>
    <col min="9475" max="9475" width="10.85546875" style="63"/>
    <col min="9476" max="9476" width="31.140625" style="63" customWidth="1"/>
    <col min="9477" max="9477" width="70.140625" style="63" customWidth="1"/>
    <col min="9478" max="9478" width="17.42578125" style="63" customWidth="1"/>
    <col min="9479" max="9480" width="21.85546875" style="63" customWidth="1"/>
    <col min="9481" max="9481" width="19.42578125" style="63" customWidth="1"/>
    <col min="9482" max="9482" width="42" style="63" customWidth="1"/>
    <col min="9483" max="9728" width="10.85546875" style="63"/>
    <col min="9729" max="9729" width="72" style="63" bestFit="1" customWidth="1"/>
    <col min="9730" max="9730" width="78.5703125" style="63" customWidth="1"/>
    <col min="9731" max="9731" width="10.85546875" style="63"/>
    <col min="9732" max="9732" width="31.140625" style="63" customWidth="1"/>
    <col min="9733" max="9733" width="70.140625" style="63" customWidth="1"/>
    <col min="9734" max="9734" width="17.42578125" style="63" customWidth="1"/>
    <col min="9735" max="9736" width="21.85546875" style="63" customWidth="1"/>
    <col min="9737" max="9737" width="19.42578125" style="63" customWidth="1"/>
    <col min="9738" max="9738" width="42" style="63" customWidth="1"/>
    <col min="9739" max="9984" width="10.85546875" style="63"/>
    <col min="9985" max="9985" width="72" style="63" bestFit="1" customWidth="1"/>
    <col min="9986" max="9986" width="78.5703125" style="63" customWidth="1"/>
    <col min="9987" max="9987" width="10.85546875" style="63"/>
    <col min="9988" max="9988" width="31.140625" style="63" customWidth="1"/>
    <col min="9989" max="9989" width="70.140625" style="63" customWidth="1"/>
    <col min="9990" max="9990" width="17.42578125" style="63" customWidth="1"/>
    <col min="9991" max="9992" width="21.85546875" style="63" customWidth="1"/>
    <col min="9993" max="9993" width="19.42578125" style="63" customWidth="1"/>
    <col min="9994" max="9994" width="42" style="63" customWidth="1"/>
    <col min="9995" max="10240" width="10.85546875" style="63"/>
    <col min="10241" max="10241" width="72" style="63" bestFit="1" customWidth="1"/>
    <col min="10242" max="10242" width="78.5703125" style="63" customWidth="1"/>
    <col min="10243" max="10243" width="10.85546875" style="63"/>
    <col min="10244" max="10244" width="31.140625" style="63" customWidth="1"/>
    <col min="10245" max="10245" width="70.140625" style="63" customWidth="1"/>
    <col min="10246" max="10246" width="17.42578125" style="63" customWidth="1"/>
    <col min="10247" max="10248" width="21.85546875" style="63" customWidth="1"/>
    <col min="10249" max="10249" width="19.42578125" style="63" customWidth="1"/>
    <col min="10250" max="10250" width="42" style="63" customWidth="1"/>
    <col min="10251" max="10496" width="10.85546875" style="63"/>
    <col min="10497" max="10497" width="72" style="63" bestFit="1" customWidth="1"/>
    <col min="10498" max="10498" width="78.5703125" style="63" customWidth="1"/>
    <col min="10499" max="10499" width="10.85546875" style="63"/>
    <col min="10500" max="10500" width="31.140625" style="63" customWidth="1"/>
    <col min="10501" max="10501" width="70.140625" style="63" customWidth="1"/>
    <col min="10502" max="10502" width="17.42578125" style="63" customWidth="1"/>
    <col min="10503" max="10504" width="21.85546875" style="63" customWidth="1"/>
    <col min="10505" max="10505" width="19.42578125" style="63" customWidth="1"/>
    <col min="10506" max="10506" width="42" style="63" customWidth="1"/>
    <col min="10507" max="10752" width="10.85546875" style="63"/>
    <col min="10753" max="10753" width="72" style="63" bestFit="1" customWidth="1"/>
    <col min="10754" max="10754" width="78.5703125" style="63" customWidth="1"/>
    <col min="10755" max="10755" width="10.85546875" style="63"/>
    <col min="10756" max="10756" width="31.140625" style="63" customWidth="1"/>
    <col min="10757" max="10757" width="70.140625" style="63" customWidth="1"/>
    <col min="10758" max="10758" width="17.42578125" style="63" customWidth="1"/>
    <col min="10759" max="10760" width="21.85546875" style="63" customWidth="1"/>
    <col min="10761" max="10761" width="19.42578125" style="63" customWidth="1"/>
    <col min="10762" max="10762" width="42" style="63" customWidth="1"/>
    <col min="10763" max="11008" width="10.85546875" style="63"/>
    <col min="11009" max="11009" width="72" style="63" bestFit="1" customWidth="1"/>
    <col min="11010" max="11010" width="78.5703125" style="63" customWidth="1"/>
    <col min="11011" max="11011" width="10.85546875" style="63"/>
    <col min="11012" max="11012" width="31.140625" style="63" customWidth="1"/>
    <col min="11013" max="11013" width="70.140625" style="63" customWidth="1"/>
    <col min="11014" max="11014" width="17.42578125" style="63" customWidth="1"/>
    <col min="11015" max="11016" width="21.85546875" style="63" customWidth="1"/>
    <col min="11017" max="11017" width="19.42578125" style="63" customWidth="1"/>
    <col min="11018" max="11018" width="42" style="63" customWidth="1"/>
    <col min="11019" max="11264" width="10.85546875" style="63"/>
    <col min="11265" max="11265" width="72" style="63" bestFit="1" customWidth="1"/>
    <col min="11266" max="11266" width="78.5703125" style="63" customWidth="1"/>
    <col min="11267" max="11267" width="10.85546875" style="63"/>
    <col min="11268" max="11268" width="31.140625" style="63" customWidth="1"/>
    <col min="11269" max="11269" width="70.140625" style="63" customWidth="1"/>
    <col min="11270" max="11270" width="17.42578125" style="63" customWidth="1"/>
    <col min="11271" max="11272" width="21.85546875" style="63" customWidth="1"/>
    <col min="11273" max="11273" width="19.42578125" style="63" customWidth="1"/>
    <col min="11274" max="11274" width="42" style="63" customWidth="1"/>
    <col min="11275" max="11520" width="10.85546875" style="63"/>
    <col min="11521" max="11521" width="72" style="63" bestFit="1" customWidth="1"/>
    <col min="11522" max="11522" width="78.5703125" style="63" customWidth="1"/>
    <col min="11523" max="11523" width="10.85546875" style="63"/>
    <col min="11524" max="11524" width="31.140625" style="63" customWidth="1"/>
    <col min="11525" max="11525" width="70.140625" style="63" customWidth="1"/>
    <col min="11526" max="11526" width="17.42578125" style="63" customWidth="1"/>
    <col min="11527" max="11528" width="21.85546875" style="63" customWidth="1"/>
    <col min="11529" max="11529" width="19.42578125" style="63" customWidth="1"/>
    <col min="11530" max="11530" width="42" style="63" customWidth="1"/>
    <col min="11531" max="11776" width="10.85546875" style="63"/>
    <col min="11777" max="11777" width="72" style="63" bestFit="1" customWidth="1"/>
    <col min="11778" max="11778" width="78.5703125" style="63" customWidth="1"/>
    <col min="11779" max="11779" width="10.85546875" style="63"/>
    <col min="11780" max="11780" width="31.140625" style="63" customWidth="1"/>
    <col min="11781" max="11781" width="70.140625" style="63" customWidth="1"/>
    <col min="11782" max="11782" width="17.42578125" style="63" customWidth="1"/>
    <col min="11783" max="11784" width="21.85546875" style="63" customWidth="1"/>
    <col min="11785" max="11785" width="19.42578125" style="63" customWidth="1"/>
    <col min="11786" max="11786" width="42" style="63" customWidth="1"/>
    <col min="11787" max="12032" width="10.85546875" style="63"/>
    <col min="12033" max="12033" width="72" style="63" bestFit="1" customWidth="1"/>
    <col min="12034" max="12034" width="78.5703125" style="63" customWidth="1"/>
    <col min="12035" max="12035" width="10.85546875" style="63"/>
    <col min="12036" max="12036" width="31.140625" style="63" customWidth="1"/>
    <col min="12037" max="12037" width="70.140625" style="63" customWidth="1"/>
    <col min="12038" max="12038" width="17.42578125" style="63" customWidth="1"/>
    <col min="12039" max="12040" width="21.85546875" style="63" customWidth="1"/>
    <col min="12041" max="12041" width="19.42578125" style="63" customWidth="1"/>
    <col min="12042" max="12042" width="42" style="63" customWidth="1"/>
    <col min="12043" max="12288" width="10.85546875" style="63"/>
    <col min="12289" max="12289" width="72" style="63" bestFit="1" customWidth="1"/>
    <col min="12290" max="12290" width="78.5703125" style="63" customWidth="1"/>
    <col min="12291" max="12291" width="10.85546875" style="63"/>
    <col min="12292" max="12292" width="31.140625" style="63" customWidth="1"/>
    <col min="12293" max="12293" width="70.140625" style="63" customWidth="1"/>
    <col min="12294" max="12294" width="17.42578125" style="63" customWidth="1"/>
    <col min="12295" max="12296" width="21.85546875" style="63" customWidth="1"/>
    <col min="12297" max="12297" width="19.42578125" style="63" customWidth="1"/>
    <col min="12298" max="12298" width="42" style="63" customWidth="1"/>
    <col min="12299" max="12544" width="10.85546875" style="63"/>
    <col min="12545" max="12545" width="72" style="63" bestFit="1" customWidth="1"/>
    <col min="12546" max="12546" width="78.5703125" style="63" customWidth="1"/>
    <col min="12547" max="12547" width="10.85546875" style="63"/>
    <col min="12548" max="12548" width="31.140625" style="63" customWidth="1"/>
    <col min="12549" max="12549" width="70.140625" style="63" customWidth="1"/>
    <col min="12550" max="12550" width="17.42578125" style="63" customWidth="1"/>
    <col min="12551" max="12552" width="21.85546875" style="63" customWidth="1"/>
    <col min="12553" max="12553" width="19.42578125" style="63" customWidth="1"/>
    <col min="12554" max="12554" width="42" style="63" customWidth="1"/>
    <col min="12555" max="12800" width="10.85546875" style="63"/>
    <col min="12801" max="12801" width="72" style="63" bestFit="1" customWidth="1"/>
    <col min="12802" max="12802" width="78.5703125" style="63" customWidth="1"/>
    <col min="12803" max="12803" width="10.85546875" style="63"/>
    <col min="12804" max="12804" width="31.140625" style="63" customWidth="1"/>
    <col min="12805" max="12805" width="70.140625" style="63" customWidth="1"/>
    <col min="12806" max="12806" width="17.42578125" style="63" customWidth="1"/>
    <col min="12807" max="12808" width="21.85546875" style="63" customWidth="1"/>
    <col min="12809" max="12809" width="19.42578125" style="63" customWidth="1"/>
    <col min="12810" max="12810" width="42" style="63" customWidth="1"/>
    <col min="12811" max="13056" width="10.85546875" style="63"/>
    <col min="13057" max="13057" width="72" style="63" bestFit="1" customWidth="1"/>
    <col min="13058" max="13058" width="78.5703125" style="63" customWidth="1"/>
    <col min="13059" max="13059" width="10.85546875" style="63"/>
    <col min="13060" max="13060" width="31.140625" style="63" customWidth="1"/>
    <col min="13061" max="13061" width="70.140625" style="63" customWidth="1"/>
    <col min="13062" max="13062" width="17.42578125" style="63" customWidth="1"/>
    <col min="13063" max="13064" width="21.85546875" style="63" customWidth="1"/>
    <col min="13065" max="13065" width="19.42578125" style="63" customWidth="1"/>
    <col min="13066" max="13066" width="42" style="63" customWidth="1"/>
    <col min="13067" max="13312" width="10.85546875" style="63"/>
    <col min="13313" max="13313" width="72" style="63" bestFit="1" customWidth="1"/>
    <col min="13314" max="13314" width="78.5703125" style="63" customWidth="1"/>
    <col min="13315" max="13315" width="10.85546875" style="63"/>
    <col min="13316" max="13316" width="31.140625" style="63" customWidth="1"/>
    <col min="13317" max="13317" width="70.140625" style="63" customWidth="1"/>
    <col min="13318" max="13318" width="17.42578125" style="63" customWidth="1"/>
    <col min="13319" max="13320" width="21.85546875" style="63" customWidth="1"/>
    <col min="13321" max="13321" width="19.42578125" style="63" customWidth="1"/>
    <col min="13322" max="13322" width="42" style="63" customWidth="1"/>
    <col min="13323" max="13568" width="10.85546875" style="63"/>
    <col min="13569" max="13569" width="72" style="63" bestFit="1" customWidth="1"/>
    <col min="13570" max="13570" width="78.5703125" style="63" customWidth="1"/>
    <col min="13571" max="13571" width="10.85546875" style="63"/>
    <col min="13572" max="13572" width="31.140625" style="63" customWidth="1"/>
    <col min="13573" max="13573" width="70.140625" style="63" customWidth="1"/>
    <col min="13574" max="13574" width="17.42578125" style="63" customWidth="1"/>
    <col min="13575" max="13576" width="21.85546875" style="63" customWidth="1"/>
    <col min="13577" max="13577" width="19.42578125" style="63" customWidth="1"/>
    <col min="13578" max="13578" width="42" style="63" customWidth="1"/>
    <col min="13579" max="13824" width="10.85546875" style="63"/>
    <col min="13825" max="13825" width="72" style="63" bestFit="1" customWidth="1"/>
    <col min="13826" max="13826" width="78.5703125" style="63" customWidth="1"/>
    <col min="13827" max="13827" width="10.85546875" style="63"/>
    <col min="13828" max="13828" width="31.140625" style="63" customWidth="1"/>
    <col min="13829" max="13829" width="70.140625" style="63" customWidth="1"/>
    <col min="13830" max="13830" width="17.42578125" style="63" customWidth="1"/>
    <col min="13831" max="13832" width="21.85546875" style="63" customWidth="1"/>
    <col min="13833" max="13833" width="19.42578125" style="63" customWidth="1"/>
    <col min="13834" max="13834" width="42" style="63" customWidth="1"/>
    <col min="13835" max="14080" width="10.85546875" style="63"/>
    <col min="14081" max="14081" width="72" style="63" bestFit="1" customWidth="1"/>
    <col min="14082" max="14082" width="78.5703125" style="63" customWidth="1"/>
    <col min="14083" max="14083" width="10.85546875" style="63"/>
    <col min="14084" max="14084" width="31.140625" style="63" customWidth="1"/>
    <col min="14085" max="14085" width="70.140625" style="63" customWidth="1"/>
    <col min="14086" max="14086" width="17.42578125" style="63" customWidth="1"/>
    <col min="14087" max="14088" width="21.85546875" style="63" customWidth="1"/>
    <col min="14089" max="14089" width="19.42578125" style="63" customWidth="1"/>
    <col min="14090" max="14090" width="42" style="63" customWidth="1"/>
    <col min="14091" max="14336" width="10.85546875" style="63"/>
    <col min="14337" max="14337" width="72" style="63" bestFit="1" customWidth="1"/>
    <col min="14338" max="14338" width="78.5703125" style="63" customWidth="1"/>
    <col min="14339" max="14339" width="10.85546875" style="63"/>
    <col min="14340" max="14340" width="31.140625" style="63" customWidth="1"/>
    <col min="14341" max="14341" width="70.140625" style="63" customWidth="1"/>
    <col min="14342" max="14342" width="17.42578125" style="63" customWidth="1"/>
    <col min="14343" max="14344" width="21.85546875" style="63" customWidth="1"/>
    <col min="14345" max="14345" width="19.42578125" style="63" customWidth="1"/>
    <col min="14346" max="14346" width="42" style="63" customWidth="1"/>
    <col min="14347" max="14592" width="10.85546875" style="63"/>
    <col min="14593" max="14593" width="72" style="63" bestFit="1" customWidth="1"/>
    <col min="14594" max="14594" width="78.5703125" style="63" customWidth="1"/>
    <col min="14595" max="14595" width="10.85546875" style="63"/>
    <col min="14596" max="14596" width="31.140625" style="63" customWidth="1"/>
    <col min="14597" max="14597" width="70.140625" style="63" customWidth="1"/>
    <col min="14598" max="14598" width="17.42578125" style="63" customWidth="1"/>
    <col min="14599" max="14600" width="21.85546875" style="63" customWidth="1"/>
    <col min="14601" max="14601" width="19.42578125" style="63" customWidth="1"/>
    <col min="14602" max="14602" width="42" style="63" customWidth="1"/>
    <col min="14603" max="14848" width="10.85546875" style="63"/>
    <col min="14849" max="14849" width="72" style="63" bestFit="1" customWidth="1"/>
    <col min="14850" max="14850" width="78.5703125" style="63" customWidth="1"/>
    <col min="14851" max="14851" width="10.85546875" style="63"/>
    <col min="14852" max="14852" width="31.140625" style="63" customWidth="1"/>
    <col min="14853" max="14853" width="70.140625" style="63" customWidth="1"/>
    <col min="14854" max="14854" width="17.42578125" style="63" customWidth="1"/>
    <col min="14855" max="14856" width="21.85546875" style="63" customWidth="1"/>
    <col min="14857" max="14857" width="19.42578125" style="63" customWidth="1"/>
    <col min="14858" max="14858" width="42" style="63" customWidth="1"/>
    <col min="14859" max="15104" width="10.85546875" style="63"/>
    <col min="15105" max="15105" width="72" style="63" bestFit="1" customWidth="1"/>
    <col min="15106" max="15106" width="78.5703125" style="63" customWidth="1"/>
    <col min="15107" max="15107" width="10.85546875" style="63"/>
    <col min="15108" max="15108" width="31.140625" style="63" customWidth="1"/>
    <col min="15109" max="15109" width="70.140625" style="63" customWidth="1"/>
    <col min="15110" max="15110" width="17.42578125" style="63" customWidth="1"/>
    <col min="15111" max="15112" width="21.85546875" style="63" customWidth="1"/>
    <col min="15113" max="15113" width="19.42578125" style="63" customWidth="1"/>
    <col min="15114" max="15114" width="42" style="63" customWidth="1"/>
    <col min="15115" max="15360" width="10.85546875" style="63"/>
    <col min="15361" max="15361" width="72" style="63" bestFit="1" customWidth="1"/>
    <col min="15362" max="15362" width="78.5703125" style="63" customWidth="1"/>
    <col min="15363" max="15363" width="10.85546875" style="63"/>
    <col min="15364" max="15364" width="31.140625" style="63" customWidth="1"/>
    <col min="15365" max="15365" width="70.140625" style="63" customWidth="1"/>
    <col min="15366" max="15366" width="17.42578125" style="63" customWidth="1"/>
    <col min="15367" max="15368" width="21.85546875" style="63" customWidth="1"/>
    <col min="15369" max="15369" width="19.42578125" style="63" customWidth="1"/>
    <col min="15370" max="15370" width="42" style="63" customWidth="1"/>
    <col min="15371" max="15616" width="10.85546875" style="63"/>
    <col min="15617" max="15617" width="72" style="63" bestFit="1" customWidth="1"/>
    <col min="15618" max="15618" width="78.5703125" style="63" customWidth="1"/>
    <col min="15619" max="15619" width="10.85546875" style="63"/>
    <col min="15620" max="15620" width="31.140625" style="63" customWidth="1"/>
    <col min="15621" max="15621" width="70.140625" style="63" customWidth="1"/>
    <col min="15622" max="15622" width="17.42578125" style="63" customWidth="1"/>
    <col min="15623" max="15624" width="21.85546875" style="63" customWidth="1"/>
    <col min="15625" max="15625" width="19.42578125" style="63" customWidth="1"/>
    <col min="15626" max="15626" width="42" style="63" customWidth="1"/>
    <col min="15627" max="15872" width="10.85546875" style="63"/>
    <col min="15873" max="15873" width="72" style="63" bestFit="1" customWidth="1"/>
    <col min="15874" max="15874" width="78.5703125" style="63" customWidth="1"/>
    <col min="15875" max="15875" width="10.85546875" style="63"/>
    <col min="15876" max="15876" width="31.140625" style="63" customWidth="1"/>
    <col min="15877" max="15877" width="70.140625" style="63" customWidth="1"/>
    <col min="15878" max="15878" width="17.42578125" style="63" customWidth="1"/>
    <col min="15879" max="15880" width="21.85546875" style="63" customWidth="1"/>
    <col min="15881" max="15881" width="19.42578125" style="63" customWidth="1"/>
    <col min="15882" max="15882" width="42" style="63" customWidth="1"/>
    <col min="15883" max="16128" width="10.85546875" style="63"/>
    <col min="16129" max="16129" width="72" style="63" bestFit="1" customWidth="1"/>
    <col min="16130" max="16130" width="78.5703125" style="63" customWidth="1"/>
    <col min="16131" max="16131" width="10.85546875" style="63"/>
    <col min="16132" max="16132" width="31.140625" style="63" customWidth="1"/>
    <col min="16133" max="16133" width="70.140625" style="63" customWidth="1"/>
    <col min="16134" max="16134" width="17.42578125" style="63" customWidth="1"/>
    <col min="16135" max="16136" width="21.85546875" style="63" customWidth="1"/>
    <col min="16137" max="16137" width="19.42578125" style="63" customWidth="1"/>
    <col min="16138" max="16138" width="42" style="63" customWidth="1"/>
    <col min="16139" max="16384" width="10.85546875" style="63"/>
  </cols>
  <sheetData>
    <row r="1" spans="1:2" ht="25.5" customHeight="1" x14ac:dyDescent="0.25">
      <c r="A1" s="479" t="s">
        <v>0</v>
      </c>
      <c r="B1" s="480"/>
    </row>
    <row r="2" spans="1:2" ht="25.5" customHeight="1" x14ac:dyDescent="0.25">
      <c r="A2" s="481" t="s">
        <v>1</v>
      </c>
      <c r="B2" s="482"/>
    </row>
    <row r="3" spans="1:2" ht="15" x14ac:dyDescent="0.25">
      <c r="A3" s="64" t="s">
        <v>2</v>
      </c>
      <c r="B3" s="65" t="s">
        <v>3</v>
      </c>
    </row>
    <row r="4" spans="1:2" ht="15" x14ac:dyDescent="0.25">
      <c r="A4" s="66" t="s">
        <v>4</v>
      </c>
      <c r="B4" s="67" t="s">
        <v>5</v>
      </c>
    </row>
    <row r="5" spans="1:2" ht="15" x14ac:dyDescent="0.25">
      <c r="A5" s="66" t="s">
        <v>6</v>
      </c>
      <c r="B5" s="67" t="s">
        <v>7</v>
      </c>
    </row>
    <row r="6" spans="1:2" ht="103.5" x14ac:dyDescent="0.25">
      <c r="A6" s="66" t="s">
        <v>8</v>
      </c>
      <c r="B6" s="68" t="s">
        <v>9</v>
      </c>
    </row>
    <row r="7" spans="1:2" ht="40.5" customHeight="1" x14ac:dyDescent="0.25">
      <c r="A7" s="66" t="s">
        <v>10</v>
      </c>
      <c r="B7" s="69" t="s">
        <v>11</v>
      </c>
    </row>
    <row r="8" spans="1:2" ht="29.25" customHeight="1" x14ac:dyDescent="0.25">
      <c r="A8" s="66" t="s">
        <v>12</v>
      </c>
      <c r="B8" s="69" t="s">
        <v>13</v>
      </c>
    </row>
    <row r="9" spans="1:2" ht="38.25" customHeight="1" x14ac:dyDescent="0.25">
      <c r="A9" s="66" t="s">
        <v>14</v>
      </c>
      <c r="B9" s="69" t="s">
        <v>13</v>
      </c>
    </row>
    <row r="10" spans="1:2" ht="28.5" x14ac:dyDescent="0.25">
      <c r="A10" s="66" t="s">
        <v>15</v>
      </c>
      <c r="B10" s="70" t="s">
        <v>16</v>
      </c>
    </row>
    <row r="11" spans="1:2" ht="15" x14ac:dyDescent="0.25">
      <c r="A11" s="66" t="s">
        <v>17</v>
      </c>
      <c r="B11" s="70" t="s">
        <v>18</v>
      </c>
    </row>
    <row r="12" spans="1:2" ht="8.25" customHeight="1" x14ac:dyDescent="0.25">
      <c r="A12" s="71"/>
      <c r="B12" s="72"/>
    </row>
    <row r="13" spans="1:2" ht="15" x14ac:dyDescent="0.25">
      <c r="A13" s="66" t="s">
        <v>19</v>
      </c>
      <c r="B13" s="73" t="s">
        <v>20</v>
      </c>
    </row>
    <row r="14" spans="1:2" ht="15" x14ac:dyDescent="0.25">
      <c r="A14" s="66" t="s">
        <v>21</v>
      </c>
      <c r="B14" s="73" t="s">
        <v>22</v>
      </c>
    </row>
    <row r="15" spans="1:2" ht="28.5" x14ac:dyDescent="0.25">
      <c r="A15" s="66" t="s">
        <v>23</v>
      </c>
      <c r="B15" s="73" t="s">
        <v>24</v>
      </c>
    </row>
    <row r="16" spans="1:2" ht="15" x14ac:dyDescent="0.25">
      <c r="A16" s="66" t="s">
        <v>25</v>
      </c>
      <c r="B16" s="73" t="s">
        <v>26</v>
      </c>
    </row>
    <row r="17" spans="1:2" ht="8.25" customHeight="1" x14ac:dyDescent="0.25">
      <c r="A17" s="71"/>
      <c r="B17" s="74"/>
    </row>
    <row r="18" spans="1:2" ht="42.75" x14ac:dyDescent="0.25">
      <c r="A18" s="66" t="s">
        <v>27</v>
      </c>
      <c r="B18" s="73" t="s">
        <v>28</v>
      </c>
    </row>
    <row r="19" spans="1:2" ht="28.5" x14ac:dyDescent="0.25">
      <c r="A19" s="66" t="s">
        <v>29</v>
      </c>
      <c r="B19" s="73" t="s">
        <v>30</v>
      </c>
    </row>
    <row r="20" spans="1:2" ht="42.75" x14ac:dyDescent="0.25">
      <c r="A20" s="66" t="s">
        <v>31</v>
      </c>
      <c r="B20" s="73" t="s">
        <v>32</v>
      </c>
    </row>
    <row r="21" spans="1:2" ht="28.5" x14ac:dyDescent="0.25">
      <c r="A21" s="66" t="s">
        <v>25</v>
      </c>
      <c r="B21" s="73" t="s">
        <v>33</v>
      </c>
    </row>
    <row r="22" spans="1:2" ht="8.25" customHeight="1" x14ac:dyDescent="0.25">
      <c r="A22" s="71"/>
      <c r="B22" s="74"/>
    </row>
    <row r="23" spans="1:2" ht="31.5" customHeight="1" x14ac:dyDescent="0.25">
      <c r="A23" s="66" t="s">
        <v>34</v>
      </c>
      <c r="B23" s="73" t="s">
        <v>35</v>
      </c>
    </row>
    <row r="24" spans="1:2" ht="15" x14ac:dyDescent="0.25">
      <c r="A24" s="66" t="s">
        <v>36</v>
      </c>
      <c r="B24" s="73" t="s">
        <v>37</v>
      </c>
    </row>
    <row r="25" spans="1:2" ht="19.899999999999999" customHeight="1" x14ac:dyDescent="0.25">
      <c r="A25" s="66" t="s">
        <v>38</v>
      </c>
      <c r="B25" s="73" t="s">
        <v>39</v>
      </c>
    </row>
    <row r="26" spans="1:2" ht="28.9" customHeight="1" x14ac:dyDescent="0.25">
      <c r="A26" s="66" t="s">
        <v>40</v>
      </c>
      <c r="B26" s="73" t="s">
        <v>41</v>
      </c>
    </row>
    <row r="27" spans="1:2" ht="20.45" customHeight="1" x14ac:dyDescent="0.25">
      <c r="A27" s="66" t="s">
        <v>42</v>
      </c>
      <c r="B27" s="73" t="s">
        <v>43</v>
      </c>
    </row>
    <row r="28" spans="1:2" ht="8.25" customHeight="1" x14ac:dyDescent="0.25">
      <c r="A28" s="71"/>
      <c r="B28" s="74"/>
    </row>
    <row r="29" spans="1:2" ht="28.5" x14ac:dyDescent="0.25">
      <c r="A29" s="66" t="s">
        <v>44</v>
      </c>
      <c r="B29" s="73" t="s">
        <v>45</v>
      </c>
    </row>
    <row r="30" spans="1:2" ht="42.75" x14ac:dyDescent="0.25">
      <c r="A30" s="66" t="s">
        <v>46</v>
      </c>
      <c r="B30" s="73" t="s">
        <v>47</v>
      </c>
    </row>
    <row r="31" spans="1:2" ht="42.75" x14ac:dyDescent="0.25">
      <c r="A31" s="66" t="s">
        <v>48</v>
      </c>
      <c r="B31" s="73" t="s">
        <v>49</v>
      </c>
    </row>
    <row r="32" spans="1:2" ht="28.5" x14ac:dyDescent="0.25">
      <c r="A32" s="66" t="s">
        <v>50</v>
      </c>
      <c r="B32" s="73" t="s">
        <v>51</v>
      </c>
    </row>
    <row r="33" spans="1:2" ht="57" x14ac:dyDescent="0.25">
      <c r="A33" s="66" t="s">
        <v>52</v>
      </c>
      <c r="B33" s="73" t="s">
        <v>53</v>
      </c>
    </row>
    <row r="34" spans="1:2" ht="85.15" customHeight="1" x14ac:dyDescent="0.25">
      <c r="A34" s="75" t="s">
        <v>54</v>
      </c>
      <c r="B34" s="73" t="s">
        <v>55</v>
      </c>
    </row>
    <row r="35" spans="1:2" ht="81.599999999999994" customHeight="1" x14ac:dyDescent="0.25">
      <c r="A35" s="75" t="s">
        <v>56</v>
      </c>
      <c r="B35" s="73" t="s">
        <v>57</v>
      </c>
    </row>
    <row r="36" spans="1:2" ht="54" customHeight="1" x14ac:dyDescent="0.25">
      <c r="A36" s="75" t="s">
        <v>58</v>
      </c>
      <c r="B36" s="73" t="s">
        <v>59</v>
      </c>
    </row>
    <row r="37" spans="1:2" ht="8.25" customHeight="1" x14ac:dyDescent="0.25">
      <c r="A37" s="76"/>
      <c r="B37" s="74"/>
    </row>
    <row r="38" spans="1:2" ht="71.25" x14ac:dyDescent="0.25">
      <c r="A38" s="75" t="s">
        <v>60</v>
      </c>
      <c r="B38" s="73" t="s">
        <v>61</v>
      </c>
    </row>
    <row r="39" spans="1:2" ht="42.75" x14ac:dyDescent="0.25">
      <c r="A39" s="75" t="s">
        <v>62</v>
      </c>
      <c r="B39" s="73" t="s">
        <v>63</v>
      </c>
    </row>
    <row r="40" spans="1:2" ht="28.5" x14ac:dyDescent="0.25">
      <c r="A40" s="75" t="s">
        <v>64</v>
      </c>
      <c r="B40" s="73" t="s">
        <v>65</v>
      </c>
    </row>
    <row r="41" spans="1:2" ht="71.25" x14ac:dyDescent="0.25">
      <c r="A41" s="75" t="s">
        <v>66</v>
      </c>
      <c r="B41" s="73" t="s">
        <v>67</v>
      </c>
    </row>
    <row r="42" spans="1:2" ht="28.5" x14ac:dyDescent="0.25">
      <c r="A42" s="66" t="s">
        <v>68</v>
      </c>
      <c r="B42" s="73" t="s">
        <v>69</v>
      </c>
    </row>
    <row r="43" spans="1:2" ht="15" x14ac:dyDescent="0.25">
      <c r="A43" s="75"/>
      <c r="B43" s="77"/>
    </row>
    <row r="44" spans="1:2" ht="25.5" customHeight="1" x14ac:dyDescent="0.25">
      <c r="A44" s="481" t="s">
        <v>70</v>
      </c>
      <c r="B44" s="482"/>
    </row>
    <row r="45" spans="1:2" ht="15" x14ac:dyDescent="0.25">
      <c r="A45" s="64" t="s">
        <v>2</v>
      </c>
      <c r="B45" s="65" t="s">
        <v>3</v>
      </c>
    </row>
    <row r="46" spans="1:2" ht="15" x14ac:dyDescent="0.25">
      <c r="A46" s="66" t="s">
        <v>6</v>
      </c>
      <c r="B46" s="67" t="s">
        <v>7</v>
      </c>
    </row>
    <row r="47" spans="1:2" ht="103.5" x14ac:dyDescent="0.25">
      <c r="A47" s="66" t="s">
        <v>8</v>
      </c>
      <c r="B47" s="68" t="s">
        <v>9</v>
      </c>
    </row>
    <row r="48" spans="1:2" ht="15" x14ac:dyDescent="0.25">
      <c r="A48" s="66" t="s">
        <v>71</v>
      </c>
      <c r="B48" s="78" t="s">
        <v>72</v>
      </c>
    </row>
    <row r="49" spans="1:2" ht="37.5" customHeight="1" x14ac:dyDescent="0.25">
      <c r="A49" s="66" t="s">
        <v>73</v>
      </c>
      <c r="B49" s="78" t="s">
        <v>13</v>
      </c>
    </row>
    <row r="50" spans="1:2" ht="28.5" x14ac:dyDescent="0.25">
      <c r="A50" s="66" t="s">
        <v>74</v>
      </c>
      <c r="B50" s="78" t="s">
        <v>75</v>
      </c>
    </row>
    <row r="51" spans="1:2" ht="42.75" x14ac:dyDescent="0.25">
      <c r="A51" s="66" t="s">
        <v>76</v>
      </c>
      <c r="B51" s="79" t="s">
        <v>77</v>
      </c>
    </row>
    <row r="52" spans="1:2" ht="42.75" x14ac:dyDescent="0.25">
      <c r="A52" s="66" t="s">
        <v>78</v>
      </c>
      <c r="B52" s="79" t="s">
        <v>79</v>
      </c>
    </row>
    <row r="53" spans="1:2" ht="15" x14ac:dyDescent="0.25">
      <c r="A53" s="66" t="s">
        <v>80</v>
      </c>
      <c r="B53" s="79" t="s">
        <v>81</v>
      </c>
    </row>
    <row r="54" spans="1:2" ht="71.25" x14ac:dyDescent="0.25">
      <c r="A54" s="66" t="s">
        <v>82</v>
      </c>
      <c r="B54" s="79" t="s">
        <v>83</v>
      </c>
    </row>
    <row r="55" spans="1:2" ht="60" x14ac:dyDescent="0.25">
      <c r="A55" s="75" t="s">
        <v>84</v>
      </c>
      <c r="B55" s="79" t="s">
        <v>85</v>
      </c>
    </row>
    <row r="56" spans="1:2" ht="28.5" x14ac:dyDescent="0.25">
      <c r="A56" s="66" t="s">
        <v>86</v>
      </c>
      <c r="B56" s="79" t="s">
        <v>87</v>
      </c>
    </row>
    <row r="57" spans="1:2" ht="99.75" x14ac:dyDescent="0.25">
      <c r="A57" s="66" t="s">
        <v>88</v>
      </c>
      <c r="B57" s="79" t="s">
        <v>89</v>
      </c>
    </row>
    <row r="58" spans="1:2" ht="15" x14ac:dyDescent="0.25">
      <c r="A58" s="66" t="s">
        <v>90</v>
      </c>
      <c r="B58" s="79" t="s">
        <v>91</v>
      </c>
    </row>
    <row r="59" spans="1:2" ht="28.5" x14ac:dyDescent="0.25">
      <c r="A59" s="66" t="s">
        <v>92</v>
      </c>
      <c r="B59" s="79" t="s">
        <v>93</v>
      </c>
    </row>
    <row r="60" spans="1:2" ht="28.5" x14ac:dyDescent="0.25">
      <c r="A60" s="66" t="s">
        <v>94</v>
      </c>
      <c r="B60" s="79" t="s">
        <v>95</v>
      </c>
    </row>
    <row r="61" spans="1:2" ht="28.5" x14ac:dyDescent="0.25">
      <c r="A61" s="66" t="s">
        <v>96</v>
      </c>
      <c r="B61" s="79" t="s">
        <v>97</v>
      </c>
    </row>
    <row r="62" spans="1:2" ht="28.5" x14ac:dyDescent="0.25">
      <c r="A62" s="66" t="s">
        <v>98</v>
      </c>
      <c r="B62" s="79" t="s">
        <v>99</v>
      </c>
    </row>
    <row r="63" spans="1:2" ht="42.75" x14ac:dyDescent="0.25">
      <c r="A63" s="66" t="s">
        <v>100</v>
      </c>
      <c r="B63" s="79" t="s">
        <v>101</v>
      </c>
    </row>
    <row r="64" spans="1:2" ht="79.5" customHeight="1" x14ac:dyDescent="0.25">
      <c r="A64" s="66" t="s">
        <v>102</v>
      </c>
      <c r="B64" s="79" t="s">
        <v>103</v>
      </c>
    </row>
    <row r="65" spans="1:2" ht="114" x14ac:dyDescent="0.25">
      <c r="A65" s="66" t="s">
        <v>104</v>
      </c>
      <c r="B65" s="79" t="s">
        <v>105</v>
      </c>
    </row>
    <row r="66" spans="1:2" ht="28.5" x14ac:dyDescent="0.25">
      <c r="A66" s="66" t="s">
        <v>106</v>
      </c>
      <c r="B66" s="79" t="s">
        <v>107</v>
      </c>
    </row>
    <row r="67" spans="1:2" ht="171" x14ac:dyDescent="0.25">
      <c r="A67" s="66" t="s">
        <v>108</v>
      </c>
      <c r="B67" s="79" t="s">
        <v>109</v>
      </c>
    </row>
    <row r="68" spans="1:2" ht="28.5" x14ac:dyDescent="0.25">
      <c r="A68" s="66" t="s">
        <v>110</v>
      </c>
      <c r="B68" s="79" t="s">
        <v>111</v>
      </c>
    </row>
    <row r="69" spans="1:2" ht="30" x14ac:dyDescent="0.25">
      <c r="A69" s="75" t="s">
        <v>112</v>
      </c>
      <c r="B69" s="79" t="s">
        <v>113</v>
      </c>
    </row>
    <row r="70" spans="1:2" ht="25.5" customHeight="1" x14ac:dyDescent="0.25">
      <c r="A70" s="481" t="s">
        <v>114</v>
      </c>
      <c r="B70" s="482"/>
    </row>
    <row r="71" spans="1:2" ht="15" x14ac:dyDescent="0.25">
      <c r="A71" s="483" t="s">
        <v>115</v>
      </c>
      <c r="B71" s="484"/>
    </row>
    <row r="72" spans="1:2" ht="72" customHeight="1" x14ac:dyDescent="0.25">
      <c r="A72" s="477" t="s">
        <v>116</v>
      </c>
      <c r="B72" s="478"/>
    </row>
    <row r="73" spans="1:2" ht="28.5" x14ac:dyDescent="0.25">
      <c r="A73" s="66" t="s">
        <v>117</v>
      </c>
      <c r="B73" s="79" t="s">
        <v>118</v>
      </c>
    </row>
    <row r="74" spans="1:2" ht="42.75" x14ac:dyDescent="0.25">
      <c r="A74" s="75" t="s">
        <v>119</v>
      </c>
      <c r="B74" s="79"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6377-2E43-4321-B50F-2F5F8E1E3A5F}">
  <sheetPr>
    <tabColor rgb="FFE674EC"/>
    <pageSetUpPr fitToPage="1"/>
  </sheetPr>
  <dimension ref="A1:AO96"/>
  <sheetViews>
    <sheetView showGridLines="0" tabSelected="1" view="pageBreakPreview" topLeftCell="H2" zoomScale="60" zoomScaleNormal="60" workbookViewId="0">
      <selection activeCell="A27" sqref="A27:AE27"/>
    </sheetView>
  </sheetViews>
  <sheetFormatPr baseColWidth="10" defaultColWidth="10.85546875" defaultRowHeight="14.25" x14ac:dyDescent="0.25"/>
  <cols>
    <col min="1" max="1" width="38.42578125" style="125" customWidth="1"/>
    <col min="2" max="2" width="20.5703125" style="125" customWidth="1"/>
    <col min="3" max="14" width="20.7109375" style="125" customWidth="1"/>
    <col min="15" max="15" width="20.5703125" style="125" customWidth="1"/>
    <col min="16" max="16" width="32.42578125" style="125" customWidth="1"/>
    <col min="17" max="27" width="18.140625" style="125" customWidth="1"/>
    <col min="28" max="28" width="22.7109375" style="125" customWidth="1"/>
    <col min="29" max="29" width="19" style="125" customWidth="1"/>
    <col min="30" max="30" width="19.42578125" style="125" customWidth="1"/>
    <col min="31" max="31" width="20.5703125" style="125" customWidth="1"/>
    <col min="32" max="32" width="22.85546875" style="125" customWidth="1"/>
    <col min="33" max="33" width="18.42578125" style="125" bestFit="1" customWidth="1"/>
    <col min="34" max="34" width="8.42578125" style="125" customWidth="1"/>
    <col min="35" max="35" width="18.42578125" style="125" bestFit="1" customWidth="1"/>
    <col min="36" max="36" width="5.7109375" style="125" customWidth="1"/>
    <col min="37" max="37" width="18.42578125" style="125" bestFit="1" customWidth="1"/>
    <col min="38" max="38" width="4.7109375" style="125" customWidth="1"/>
    <col min="39" max="39" width="23" style="125" bestFit="1" customWidth="1"/>
    <col min="40" max="40" width="10.85546875" style="125"/>
    <col min="41" max="41" width="18.42578125" style="125" bestFit="1" customWidth="1"/>
    <col min="42" max="42" width="16.140625" style="125" customWidth="1"/>
    <col min="43" max="16384" width="10.85546875" style="125"/>
  </cols>
  <sheetData>
    <row r="1" spans="1:31" ht="32.25" customHeight="1" thickBot="1" x14ac:dyDescent="0.3">
      <c r="A1" s="522"/>
      <c r="B1" s="525" t="s">
        <v>121</v>
      </c>
      <c r="C1" s="526"/>
      <c r="D1" s="526"/>
      <c r="E1" s="526"/>
      <c r="F1" s="526"/>
      <c r="G1" s="526"/>
      <c r="H1" s="526"/>
      <c r="I1" s="526"/>
      <c r="J1" s="526"/>
      <c r="K1" s="526"/>
      <c r="L1" s="526"/>
      <c r="M1" s="526"/>
      <c r="N1" s="526"/>
      <c r="O1" s="526"/>
      <c r="P1" s="526"/>
      <c r="Q1" s="526"/>
      <c r="R1" s="526"/>
      <c r="S1" s="526"/>
      <c r="T1" s="526"/>
      <c r="U1" s="526"/>
      <c r="V1" s="526"/>
      <c r="W1" s="526"/>
      <c r="X1" s="526"/>
      <c r="Y1" s="526"/>
      <c r="Z1" s="526"/>
      <c r="AA1" s="527"/>
      <c r="AB1" s="528" t="s">
        <v>122</v>
      </c>
      <c r="AC1" s="529"/>
      <c r="AD1" s="529"/>
      <c r="AE1" s="530"/>
    </row>
    <row r="2" spans="1:31" ht="30.75" customHeight="1" thickBot="1" x14ac:dyDescent="0.3">
      <c r="A2" s="523"/>
      <c r="B2" s="525" t="s">
        <v>123</v>
      </c>
      <c r="C2" s="526"/>
      <c r="D2" s="526"/>
      <c r="E2" s="526"/>
      <c r="F2" s="526"/>
      <c r="G2" s="526"/>
      <c r="H2" s="526"/>
      <c r="I2" s="526"/>
      <c r="J2" s="526"/>
      <c r="K2" s="526"/>
      <c r="L2" s="526"/>
      <c r="M2" s="526"/>
      <c r="N2" s="526"/>
      <c r="O2" s="526"/>
      <c r="P2" s="526"/>
      <c r="Q2" s="526"/>
      <c r="R2" s="526"/>
      <c r="S2" s="526"/>
      <c r="T2" s="526"/>
      <c r="U2" s="526"/>
      <c r="V2" s="526"/>
      <c r="W2" s="526"/>
      <c r="X2" s="526"/>
      <c r="Y2" s="526"/>
      <c r="Z2" s="526"/>
      <c r="AA2" s="527"/>
      <c r="AB2" s="528" t="s">
        <v>124</v>
      </c>
      <c r="AC2" s="529"/>
      <c r="AD2" s="529"/>
      <c r="AE2" s="530"/>
    </row>
    <row r="3" spans="1:31" ht="24" customHeight="1" thickBot="1" x14ac:dyDescent="0.3">
      <c r="A3" s="523"/>
      <c r="B3" s="531" t="s">
        <v>125</v>
      </c>
      <c r="C3" s="532"/>
      <c r="D3" s="532"/>
      <c r="E3" s="532"/>
      <c r="F3" s="532"/>
      <c r="G3" s="532"/>
      <c r="H3" s="532"/>
      <c r="I3" s="532"/>
      <c r="J3" s="532"/>
      <c r="K3" s="532"/>
      <c r="L3" s="532"/>
      <c r="M3" s="532"/>
      <c r="N3" s="532"/>
      <c r="O3" s="532"/>
      <c r="P3" s="532"/>
      <c r="Q3" s="532"/>
      <c r="R3" s="532"/>
      <c r="S3" s="532"/>
      <c r="T3" s="532"/>
      <c r="U3" s="532"/>
      <c r="V3" s="532"/>
      <c r="W3" s="532"/>
      <c r="X3" s="532"/>
      <c r="Y3" s="532"/>
      <c r="Z3" s="532"/>
      <c r="AA3" s="533"/>
      <c r="AB3" s="528" t="s">
        <v>126</v>
      </c>
      <c r="AC3" s="529"/>
      <c r="AD3" s="529"/>
      <c r="AE3" s="530"/>
    </row>
    <row r="4" spans="1:31" ht="21.75" customHeight="1" thickBot="1" x14ac:dyDescent="0.3">
      <c r="A4" s="524"/>
      <c r="B4" s="534"/>
      <c r="C4" s="535"/>
      <c r="D4" s="535"/>
      <c r="E4" s="535"/>
      <c r="F4" s="535"/>
      <c r="G4" s="535"/>
      <c r="H4" s="535"/>
      <c r="I4" s="535"/>
      <c r="J4" s="535"/>
      <c r="K4" s="535"/>
      <c r="L4" s="535"/>
      <c r="M4" s="535"/>
      <c r="N4" s="535"/>
      <c r="O4" s="535"/>
      <c r="P4" s="535"/>
      <c r="Q4" s="535"/>
      <c r="R4" s="535"/>
      <c r="S4" s="535"/>
      <c r="T4" s="535"/>
      <c r="U4" s="535"/>
      <c r="V4" s="535"/>
      <c r="W4" s="535"/>
      <c r="X4" s="535"/>
      <c r="Y4" s="535"/>
      <c r="Z4" s="535"/>
      <c r="AA4" s="536"/>
      <c r="AB4" s="528" t="s">
        <v>127</v>
      </c>
      <c r="AC4" s="529"/>
      <c r="AD4" s="529"/>
      <c r="AE4" s="530"/>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31" ht="9" customHeight="1" thickBot="1" x14ac:dyDescent="0.3">
      <c r="A6" s="23"/>
      <c r="B6" s="20"/>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31" ht="13.9" customHeight="1" x14ac:dyDescent="0.25">
      <c r="A7" s="537" t="s">
        <v>4</v>
      </c>
      <c r="B7" s="538"/>
      <c r="C7" s="549" t="s">
        <v>128</v>
      </c>
      <c r="D7" s="552" t="s">
        <v>6</v>
      </c>
      <c r="E7" s="553"/>
      <c r="F7" s="553"/>
      <c r="G7" s="553"/>
      <c r="H7" s="554"/>
      <c r="I7" s="561">
        <v>45568</v>
      </c>
      <c r="J7" s="562"/>
      <c r="K7" s="552" t="s">
        <v>8</v>
      </c>
      <c r="L7" s="554"/>
      <c r="M7" s="567" t="s">
        <v>129</v>
      </c>
      <c r="N7" s="568"/>
      <c r="O7" s="572"/>
      <c r="P7" s="573"/>
      <c r="Q7" s="20"/>
      <c r="R7" s="20"/>
      <c r="S7" s="20"/>
      <c r="T7" s="20"/>
      <c r="U7" s="20"/>
      <c r="V7" s="20"/>
      <c r="W7" s="20"/>
      <c r="X7" s="20"/>
      <c r="Y7" s="20"/>
      <c r="Z7" s="20"/>
      <c r="AA7" s="20"/>
      <c r="AB7" s="20"/>
      <c r="AD7" s="21"/>
      <c r="AE7" s="22"/>
    </row>
    <row r="8" spans="1:31" ht="13.9" customHeight="1" x14ac:dyDescent="0.25">
      <c r="A8" s="539"/>
      <c r="B8" s="540"/>
      <c r="C8" s="550"/>
      <c r="D8" s="555"/>
      <c r="E8" s="556"/>
      <c r="F8" s="556"/>
      <c r="G8" s="556"/>
      <c r="H8" s="557"/>
      <c r="I8" s="563"/>
      <c r="J8" s="564"/>
      <c r="K8" s="555"/>
      <c r="L8" s="557"/>
      <c r="M8" s="574" t="s">
        <v>130</v>
      </c>
      <c r="N8" s="575"/>
      <c r="O8" s="576" t="s">
        <v>131</v>
      </c>
      <c r="P8" s="577"/>
      <c r="Q8" s="20"/>
      <c r="R8" s="20"/>
      <c r="S8" s="20"/>
      <c r="T8" s="20"/>
      <c r="U8" s="20"/>
      <c r="V8" s="20"/>
      <c r="W8" s="20"/>
      <c r="X8" s="20"/>
      <c r="Y8" s="20"/>
      <c r="Z8" s="20"/>
      <c r="AA8" s="20"/>
      <c r="AB8" s="20"/>
      <c r="AD8" s="21"/>
      <c r="AE8" s="22"/>
    </row>
    <row r="9" spans="1:31" ht="14.45" customHeight="1" thickBot="1" x14ac:dyDescent="0.3">
      <c r="A9" s="541"/>
      <c r="B9" s="542"/>
      <c r="C9" s="551"/>
      <c r="D9" s="558"/>
      <c r="E9" s="559"/>
      <c r="F9" s="559"/>
      <c r="G9" s="559"/>
      <c r="H9" s="560"/>
      <c r="I9" s="565"/>
      <c r="J9" s="566"/>
      <c r="K9" s="558"/>
      <c r="L9" s="560"/>
      <c r="M9" s="578" t="s">
        <v>132</v>
      </c>
      <c r="N9" s="579"/>
      <c r="O9" s="580" t="s">
        <v>131</v>
      </c>
      <c r="P9" s="581"/>
      <c r="Q9" s="20"/>
      <c r="R9" s="20"/>
      <c r="S9" s="20"/>
      <c r="T9" s="20"/>
      <c r="U9" s="20"/>
      <c r="V9" s="20"/>
      <c r="W9" s="20"/>
      <c r="X9" s="20"/>
      <c r="Y9" s="20"/>
      <c r="Z9" s="20"/>
      <c r="AA9" s="20"/>
      <c r="AB9" s="20"/>
      <c r="AD9" s="21"/>
      <c r="AE9" s="22"/>
    </row>
    <row r="10" spans="1:31" ht="15" customHeight="1" thickBot="1" x14ac:dyDescent="0.3">
      <c r="A10" s="24"/>
      <c r="B10" s="25"/>
      <c r="C10" s="25"/>
      <c r="D10" s="26"/>
      <c r="E10" s="26"/>
      <c r="F10" s="26"/>
      <c r="G10" s="26"/>
      <c r="H10" s="26"/>
      <c r="I10" s="186"/>
      <c r="J10" s="186"/>
      <c r="K10" s="26"/>
      <c r="L10" s="26"/>
      <c r="M10" s="187"/>
      <c r="N10" s="187"/>
      <c r="O10" s="188"/>
      <c r="P10" s="188"/>
      <c r="Q10" s="25"/>
      <c r="R10" s="25"/>
      <c r="S10" s="25"/>
      <c r="T10" s="25"/>
      <c r="U10" s="25"/>
      <c r="V10" s="25"/>
      <c r="W10" s="25"/>
      <c r="X10" s="25"/>
      <c r="Y10" s="25"/>
      <c r="Z10" s="25"/>
      <c r="AA10" s="25"/>
      <c r="AB10" s="25"/>
      <c r="AD10" s="28"/>
      <c r="AE10" s="29"/>
    </row>
    <row r="11" spans="1:31" ht="15" customHeight="1" x14ac:dyDescent="0.25">
      <c r="A11" s="537" t="s">
        <v>10</v>
      </c>
      <c r="B11" s="538"/>
      <c r="C11" s="510" t="s">
        <v>133</v>
      </c>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2"/>
    </row>
    <row r="12" spans="1:31" ht="15" customHeight="1" x14ac:dyDescent="0.25">
      <c r="A12" s="539"/>
      <c r="B12" s="540"/>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5"/>
    </row>
    <row r="13" spans="1:31" ht="15" customHeight="1" thickBot="1" x14ac:dyDescent="0.3">
      <c r="A13" s="541"/>
      <c r="B13" s="542"/>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8"/>
    </row>
    <row r="14" spans="1:31"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31" ht="39" customHeight="1" thickBot="1" x14ac:dyDescent="0.3">
      <c r="A15" s="582" t="s">
        <v>12</v>
      </c>
      <c r="B15" s="583"/>
      <c r="C15" s="584" t="s">
        <v>134</v>
      </c>
      <c r="D15" s="585"/>
      <c r="E15" s="585"/>
      <c r="F15" s="585"/>
      <c r="G15" s="585"/>
      <c r="H15" s="585"/>
      <c r="I15" s="585"/>
      <c r="J15" s="585"/>
      <c r="K15" s="586"/>
      <c r="L15" s="587" t="s">
        <v>14</v>
      </c>
      <c r="M15" s="588"/>
      <c r="N15" s="588"/>
      <c r="O15" s="588"/>
      <c r="P15" s="588"/>
      <c r="Q15" s="589"/>
      <c r="R15" s="590" t="s">
        <v>135</v>
      </c>
      <c r="S15" s="591"/>
      <c r="T15" s="591"/>
      <c r="U15" s="591"/>
      <c r="V15" s="591"/>
      <c r="W15" s="591"/>
      <c r="X15" s="592"/>
      <c r="Y15" s="587" t="s">
        <v>15</v>
      </c>
      <c r="Z15" s="589"/>
      <c r="AA15" s="569" t="s">
        <v>136</v>
      </c>
      <c r="AB15" s="570"/>
      <c r="AC15" s="570"/>
      <c r="AD15" s="570"/>
      <c r="AE15" s="571"/>
    </row>
    <row r="16" spans="1:31" ht="9" customHeight="1" thickBot="1" x14ac:dyDescent="0.3">
      <c r="A16" s="23"/>
      <c r="B16" s="20"/>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D16" s="21"/>
      <c r="AE16" s="22"/>
    </row>
    <row r="17" spans="1:32" s="36" customFormat="1" ht="37.5" customHeight="1" thickBot="1" x14ac:dyDescent="0.3">
      <c r="A17" s="582" t="s">
        <v>17</v>
      </c>
      <c r="B17" s="583"/>
      <c r="C17" s="569" t="s">
        <v>137</v>
      </c>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1"/>
    </row>
    <row r="18" spans="1:32" ht="16.5" customHeight="1" thickBot="1" x14ac:dyDescent="0.3">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D18" s="190"/>
      <c r="AE18" s="191"/>
    </row>
    <row r="19" spans="1:32" ht="32.1" customHeight="1" thickBot="1" x14ac:dyDescent="0.3">
      <c r="A19" s="587" t="s">
        <v>138</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9"/>
      <c r="AF19" s="192"/>
    </row>
    <row r="20" spans="1:32" ht="32.1" customHeight="1" thickBot="1" x14ac:dyDescent="0.3">
      <c r="A20" s="37" t="s">
        <v>19</v>
      </c>
      <c r="B20" s="558" t="s">
        <v>139</v>
      </c>
      <c r="C20" s="559"/>
      <c r="D20" s="559"/>
      <c r="E20" s="559"/>
      <c r="F20" s="559"/>
      <c r="G20" s="559"/>
      <c r="H20" s="559"/>
      <c r="I20" s="559"/>
      <c r="J20" s="559"/>
      <c r="K20" s="559"/>
      <c r="L20" s="559"/>
      <c r="M20" s="559"/>
      <c r="N20" s="559"/>
      <c r="O20" s="560"/>
      <c r="P20" s="587" t="s">
        <v>140</v>
      </c>
      <c r="Q20" s="588"/>
      <c r="R20" s="588"/>
      <c r="S20" s="588"/>
      <c r="T20" s="588"/>
      <c r="U20" s="588"/>
      <c r="V20" s="588"/>
      <c r="W20" s="588"/>
      <c r="X20" s="588"/>
      <c r="Y20" s="588"/>
      <c r="Z20" s="588"/>
      <c r="AA20" s="588"/>
      <c r="AB20" s="588"/>
      <c r="AC20" s="588"/>
      <c r="AD20" s="588"/>
      <c r="AE20" s="589"/>
      <c r="AF20" s="192"/>
    </row>
    <row r="21" spans="1:32" ht="32.1" customHeight="1" thickBot="1" x14ac:dyDescent="0.3">
      <c r="A21" s="24"/>
      <c r="B21" s="38" t="s">
        <v>141</v>
      </c>
      <c r="C21" s="39" t="s">
        <v>142</v>
      </c>
      <c r="D21" s="39" t="s">
        <v>143</v>
      </c>
      <c r="E21" s="39" t="s">
        <v>144</v>
      </c>
      <c r="F21" s="39" t="s">
        <v>145</v>
      </c>
      <c r="G21" s="39" t="s">
        <v>146</v>
      </c>
      <c r="H21" s="39" t="s">
        <v>147</v>
      </c>
      <c r="I21" s="39" t="s">
        <v>148</v>
      </c>
      <c r="J21" s="39" t="s">
        <v>128</v>
      </c>
      <c r="K21" s="39" t="s">
        <v>149</v>
      </c>
      <c r="L21" s="39" t="s">
        <v>150</v>
      </c>
      <c r="M21" s="39" t="s">
        <v>151</v>
      </c>
      <c r="N21" s="39" t="s">
        <v>102</v>
      </c>
      <c r="O21" s="40" t="s">
        <v>100</v>
      </c>
      <c r="P21" s="41"/>
      <c r="Q21" s="37" t="s">
        <v>141</v>
      </c>
      <c r="R21" s="42" t="s">
        <v>142</v>
      </c>
      <c r="S21" s="42" t="s">
        <v>143</v>
      </c>
      <c r="T21" s="42" t="s">
        <v>144</v>
      </c>
      <c r="U21" s="42" t="s">
        <v>145</v>
      </c>
      <c r="V21" s="42" t="s">
        <v>146</v>
      </c>
      <c r="W21" s="42" t="s">
        <v>147</v>
      </c>
      <c r="X21" s="42" t="s">
        <v>148</v>
      </c>
      <c r="Y21" s="42" t="s">
        <v>128</v>
      </c>
      <c r="Z21" s="42" t="s">
        <v>149</v>
      </c>
      <c r="AA21" s="42" t="s">
        <v>150</v>
      </c>
      <c r="AB21" s="42" t="s">
        <v>151</v>
      </c>
      <c r="AC21" s="42" t="s">
        <v>102</v>
      </c>
      <c r="AD21" s="43" t="s">
        <v>152</v>
      </c>
      <c r="AE21" s="43" t="s">
        <v>153</v>
      </c>
      <c r="AF21" s="193"/>
    </row>
    <row r="22" spans="1:32" ht="32.1" customHeight="1" x14ac:dyDescent="0.25">
      <c r="A22" s="44" t="s">
        <v>31</v>
      </c>
      <c r="B22" s="194"/>
      <c r="C22" s="195"/>
      <c r="D22" s="195"/>
      <c r="E22" s="195"/>
      <c r="F22" s="195"/>
      <c r="G22" s="195"/>
      <c r="H22" s="195"/>
      <c r="I22" s="195"/>
      <c r="J22" s="195"/>
      <c r="K22" s="195"/>
      <c r="L22" s="195"/>
      <c r="M22" s="195"/>
      <c r="N22" s="195">
        <f>SUM(B22:M22)</f>
        <v>0</v>
      </c>
      <c r="O22" s="196"/>
      <c r="P22" s="44" t="s">
        <v>27</v>
      </c>
      <c r="Q22" s="197">
        <v>0</v>
      </c>
      <c r="R22" s="198">
        <v>0</v>
      </c>
      <c r="S22" s="198">
        <v>0</v>
      </c>
      <c r="T22" s="198">
        <v>0</v>
      </c>
      <c r="U22" s="198">
        <v>0</v>
      </c>
      <c r="V22" s="198">
        <v>0</v>
      </c>
      <c r="W22" s="198">
        <v>0</v>
      </c>
      <c r="X22" s="198">
        <v>55697250</v>
      </c>
      <c r="Y22" s="198">
        <v>0</v>
      </c>
      <c r="Z22" s="198">
        <v>0</v>
      </c>
      <c r="AA22" s="198">
        <v>0</v>
      </c>
      <c r="AB22" s="198">
        <v>0</v>
      </c>
      <c r="AC22" s="199">
        <f>SUM(Q22:AB22)</f>
        <v>55697250</v>
      </c>
      <c r="AD22" s="280"/>
      <c r="AE22" s="200"/>
      <c r="AF22" s="193">
        <v>55697250</v>
      </c>
    </row>
    <row r="23" spans="1:32" ht="32.1" customHeight="1" x14ac:dyDescent="0.25">
      <c r="A23" s="45" t="s">
        <v>21</v>
      </c>
      <c r="B23" s="201"/>
      <c r="C23" s="202"/>
      <c r="D23" s="202"/>
      <c r="E23" s="202"/>
      <c r="F23" s="202"/>
      <c r="G23" s="202"/>
      <c r="H23" s="202"/>
      <c r="I23" s="202"/>
      <c r="J23" s="202"/>
      <c r="K23" s="202"/>
      <c r="L23" s="202"/>
      <c r="M23" s="202"/>
      <c r="N23" s="202">
        <f>SUM(B23:M23)</f>
        <v>0</v>
      </c>
      <c r="O23" s="203" t="str">
        <f>IFERROR(N23/(SUMIF(B23:M23,"&gt;0",B22:M22))," ")</f>
        <v xml:space="preserve"> </v>
      </c>
      <c r="P23" s="45" t="s">
        <v>29</v>
      </c>
      <c r="Q23" s="201">
        <v>0</v>
      </c>
      <c r="R23" s="202">
        <v>0</v>
      </c>
      <c r="S23" s="202">
        <v>0</v>
      </c>
      <c r="T23" s="202">
        <v>0</v>
      </c>
      <c r="U23" s="202">
        <v>0</v>
      </c>
      <c r="V23" s="202">
        <v>0</v>
      </c>
      <c r="W23" s="202">
        <v>0</v>
      </c>
      <c r="X23" s="202">
        <v>55697250</v>
      </c>
      <c r="Y23" s="202">
        <v>0</v>
      </c>
      <c r="Z23" s="202">
        <v>0</v>
      </c>
      <c r="AA23" s="202">
        <v>0</v>
      </c>
      <c r="AB23" s="202">
        <v>0</v>
      </c>
      <c r="AC23" s="204">
        <f>SUM(Q23:AB23)</f>
        <v>55697250</v>
      </c>
      <c r="AD23" s="281">
        <f>AC23/SUM(Q22:AB22)</f>
        <v>1</v>
      </c>
      <c r="AE23" s="205">
        <f>AC23/AC22</f>
        <v>1</v>
      </c>
      <c r="AF23" s="193"/>
    </row>
    <row r="24" spans="1:32" ht="32.1" customHeight="1" x14ac:dyDescent="0.25">
      <c r="A24" s="45" t="s">
        <v>23</v>
      </c>
      <c r="B24" s="201">
        <f>+B22-B23</f>
        <v>0</v>
      </c>
      <c r="C24" s="202">
        <f t="shared" ref="C24:M24" si="0">+C22-C23</f>
        <v>0</v>
      </c>
      <c r="D24" s="202">
        <f t="shared" si="0"/>
        <v>0</v>
      </c>
      <c r="E24" s="202">
        <f t="shared" si="0"/>
        <v>0</v>
      </c>
      <c r="F24" s="202">
        <f t="shared" si="0"/>
        <v>0</v>
      </c>
      <c r="G24" s="202">
        <f t="shared" si="0"/>
        <v>0</v>
      </c>
      <c r="H24" s="202">
        <f t="shared" si="0"/>
        <v>0</v>
      </c>
      <c r="I24" s="202">
        <f t="shared" si="0"/>
        <v>0</v>
      </c>
      <c r="J24" s="202">
        <f t="shared" si="0"/>
        <v>0</v>
      </c>
      <c r="K24" s="202">
        <f t="shared" si="0"/>
        <v>0</v>
      </c>
      <c r="L24" s="202">
        <f t="shared" si="0"/>
        <v>0</v>
      </c>
      <c r="M24" s="202">
        <f t="shared" si="0"/>
        <v>0</v>
      </c>
      <c r="N24" s="202">
        <f>SUM(B24:M24)</f>
        <v>0</v>
      </c>
      <c r="O24" s="206"/>
      <c r="P24" s="45" t="s">
        <v>31</v>
      </c>
      <c r="Q24" s="201">
        <v>0</v>
      </c>
      <c r="R24" s="202">
        <v>0</v>
      </c>
      <c r="S24" s="202">
        <v>0</v>
      </c>
      <c r="T24" s="202">
        <v>0</v>
      </c>
      <c r="U24" s="202">
        <v>0</v>
      </c>
      <c r="V24" s="202">
        <v>0</v>
      </c>
      <c r="W24" s="202">
        <v>0</v>
      </c>
      <c r="X24" s="202">
        <v>0</v>
      </c>
      <c r="Y24" s="202">
        <v>11139450</v>
      </c>
      <c r="Z24" s="202">
        <v>11139450</v>
      </c>
      <c r="AA24" s="202">
        <v>11139450</v>
      </c>
      <c r="AB24" s="202">
        <f>11139450+11139450</f>
        <v>22278900</v>
      </c>
      <c r="AC24" s="204">
        <f>SUM(Q24:AB24)</f>
        <v>55697250</v>
      </c>
      <c r="AD24" s="282"/>
      <c r="AE24" s="207"/>
      <c r="AF24" s="193"/>
    </row>
    <row r="25" spans="1:32" ht="32.1" customHeight="1" thickBot="1" x14ac:dyDescent="0.3">
      <c r="A25" s="46" t="s">
        <v>25</v>
      </c>
      <c r="B25" s="208"/>
      <c r="C25" s="209"/>
      <c r="D25" s="209"/>
      <c r="E25" s="209"/>
      <c r="F25" s="209"/>
      <c r="G25" s="209"/>
      <c r="H25" s="209"/>
      <c r="I25" s="209"/>
      <c r="J25" s="209"/>
      <c r="K25" s="209"/>
      <c r="L25" s="209"/>
      <c r="M25" s="209"/>
      <c r="N25" s="209">
        <f>SUM(B25:M25)</f>
        <v>0</v>
      </c>
      <c r="O25" s="210" t="str">
        <f>IFERROR(N25/(SUMIF(B25:M25,"&gt;0",B24:M24))," ")</f>
        <v xml:space="preserve"> </v>
      </c>
      <c r="P25" s="46" t="s">
        <v>25</v>
      </c>
      <c r="Q25" s="208">
        <v>0</v>
      </c>
      <c r="R25" s="209">
        <v>0</v>
      </c>
      <c r="S25" s="209">
        <v>0</v>
      </c>
      <c r="T25" s="209">
        <v>0</v>
      </c>
      <c r="U25" s="209">
        <v>0</v>
      </c>
      <c r="V25" s="209">
        <v>0</v>
      </c>
      <c r="W25" s="209">
        <v>0</v>
      </c>
      <c r="X25" s="209">
        <v>0</v>
      </c>
      <c r="Y25" s="209">
        <v>9654190</v>
      </c>
      <c r="Z25" s="209">
        <v>0</v>
      </c>
      <c r="AA25" s="209">
        <v>0</v>
      </c>
      <c r="AB25" s="209">
        <v>0</v>
      </c>
      <c r="AC25" s="476">
        <f>SUM(Q25:AB25)</f>
        <v>9654190</v>
      </c>
      <c r="AD25" s="283">
        <f>AC25/SUM(Q24:AB24)</f>
        <v>0.17333333333333334</v>
      </c>
      <c r="AE25" s="211">
        <f>AC25/AC24</f>
        <v>0.17333333333333334</v>
      </c>
      <c r="AF25" s="193"/>
    </row>
    <row r="26" spans="1:32" s="212" customFormat="1" ht="16.5" customHeight="1" thickBot="1" x14ac:dyDescent="0.25"/>
    <row r="27" spans="1:32" ht="33.950000000000003" customHeight="1" x14ac:dyDescent="0.25">
      <c r="A27" s="594" t="s">
        <v>154</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6"/>
    </row>
    <row r="28" spans="1:32" ht="15" customHeight="1" x14ac:dyDescent="0.25">
      <c r="A28" s="514" t="s">
        <v>34</v>
      </c>
      <c r="B28" s="516" t="s">
        <v>36</v>
      </c>
      <c r="C28" s="516"/>
      <c r="D28" s="516" t="s">
        <v>155</v>
      </c>
      <c r="E28" s="516"/>
      <c r="F28" s="516"/>
      <c r="G28" s="516"/>
      <c r="H28" s="516"/>
      <c r="I28" s="516"/>
      <c r="J28" s="516"/>
      <c r="K28" s="516"/>
      <c r="L28" s="516"/>
      <c r="M28" s="516"/>
      <c r="N28" s="516"/>
      <c r="O28" s="516"/>
      <c r="P28" s="516" t="s">
        <v>102</v>
      </c>
      <c r="Q28" s="516" t="s">
        <v>156</v>
      </c>
      <c r="R28" s="516"/>
      <c r="S28" s="516"/>
      <c r="T28" s="516"/>
      <c r="U28" s="516"/>
      <c r="V28" s="516"/>
      <c r="W28" s="516"/>
      <c r="X28" s="516"/>
      <c r="Y28" s="516" t="s">
        <v>157</v>
      </c>
      <c r="Z28" s="516"/>
      <c r="AA28" s="516"/>
      <c r="AB28" s="516"/>
      <c r="AC28" s="516"/>
      <c r="AD28" s="516"/>
      <c r="AE28" s="597"/>
    </row>
    <row r="29" spans="1:32" ht="27" customHeight="1" x14ac:dyDescent="0.25">
      <c r="A29" s="514"/>
      <c r="B29" s="516"/>
      <c r="C29" s="516"/>
      <c r="D29" s="48" t="s">
        <v>141</v>
      </c>
      <c r="E29" s="48" t="s">
        <v>142</v>
      </c>
      <c r="F29" s="48" t="s">
        <v>143</v>
      </c>
      <c r="G29" s="48" t="s">
        <v>144</v>
      </c>
      <c r="H29" s="48" t="s">
        <v>145</v>
      </c>
      <c r="I29" s="48" t="s">
        <v>146</v>
      </c>
      <c r="J29" s="48" t="s">
        <v>147</v>
      </c>
      <c r="K29" s="48" t="s">
        <v>148</v>
      </c>
      <c r="L29" s="48" t="s">
        <v>128</v>
      </c>
      <c r="M29" s="48" t="s">
        <v>149</v>
      </c>
      <c r="N29" s="48" t="s">
        <v>150</v>
      </c>
      <c r="O29" s="48" t="s">
        <v>151</v>
      </c>
      <c r="P29" s="516"/>
      <c r="Q29" s="516"/>
      <c r="R29" s="516"/>
      <c r="S29" s="516"/>
      <c r="T29" s="516"/>
      <c r="U29" s="516"/>
      <c r="V29" s="516"/>
      <c r="W29" s="516"/>
      <c r="X29" s="516"/>
      <c r="Y29" s="516"/>
      <c r="Z29" s="516"/>
      <c r="AA29" s="516"/>
      <c r="AB29" s="516"/>
      <c r="AC29" s="516"/>
      <c r="AD29" s="516"/>
      <c r="AE29" s="597"/>
    </row>
    <row r="30" spans="1:32" ht="42" customHeight="1" thickBot="1" x14ac:dyDescent="0.3">
      <c r="A30" s="49"/>
      <c r="B30" s="598"/>
      <c r="C30" s="598"/>
      <c r="D30" s="16"/>
      <c r="E30" s="16"/>
      <c r="F30" s="16"/>
      <c r="G30" s="16"/>
      <c r="H30" s="16"/>
      <c r="I30" s="16"/>
      <c r="J30" s="16"/>
      <c r="K30" s="16"/>
      <c r="L30" s="16"/>
      <c r="M30" s="16"/>
      <c r="N30" s="16"/>
      <c r="O30" s="16"/>
      <c r="P30" s="50">
        <f>SUM(D30:O30)</f>
        <v>0</v>
      </c>
      <c r="Q30" s="599" t="s">
        <v>158</v>
      </c>
      <c r="R30" s="599"/>
      <c r="S30" s="599"/>
      <c r="T30" s="599"/>
      <c r="U30" s="599"/>
      <c r="V30" s="599"/>
      <c r="W30" s="599"/>
      <c r="X30" s="599"/>
      <c r="Y30" s="599" t="s">
        <v>43</v>
      </c>
      <c r="Z30" s="599"/>
      <c r="AA30" s="599"/>
      <c r="AB30" s="599"/>
      <c r="AC30" s="599"/>
      <c r="AD30" s="599"/>
      <c r="AE30" s="600"/>
    </row>
    <row r="31" spans="1:32" ht="12" customHeight="1" thickBot="1" x14ac:dyDescent="0.3">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2" ht="45" customHeight="1" x14ac:dyDescent="0.25">
      <c r="A32" s="510" t="s">
        <v>159</v>
      </c>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2"/>
    </row>
    <row r="33" spans="1:41" ht="23.1" customHeight="1" x14ac:dyDescent="0.25">
      <c r="A33" s="514" t="s">
        <v>44</v>
      </c>
      <c r="B33" s="516" t="s">
        <v>46</v>
      </c>
      <c r="C33" s="516" t="s">
        <v>36</v>
      </c>
      <c r="D33" s="516" t="s">
        <v>160</v>
      </c>
      <c r="E33" s="516"/>
      <c r="F33" s="516"/>
      <c r="G33" s="516"/>
      <c r="H33" s="516"/>
      <c r="I33" s="516"/>
      <c r="J33" s="516"/>
      <c r="K33" s="516"/>
      <c r="L33" s="516"/>
      <c r="M33" s="516"/>
      <c r="N33" s="516"/>
      <c r="O33" s="516"/>
      <c r="P33" s="516"/>
      <c r="Q33" s="516" t="s">
        <v>161</v>
      </c>
      <c r="R33" s="516"/>
      <c r="S33" s="516"/>
      <c r="T33" s="516"/>
      <c r="U33" s="516"/>
      <c r="V33" s="516"/>
      <c r="W33" s="516"/>
      <c r="X33" s="516"/>
      <c r="Y33" s="516"/>
      <c r="Z33" s="516"/>
      <c r="AA33" s="516"/>
      <c r="AB33" s="516"/>
      <c r="AC33" s="516"/>
      <c r="AD33" s="516"/>
      <c r="AE33" s="597"/>
      <c r="AG33" s="128"/>
      <c r="AH33" s="128"/>
      <c r="AI33" s="128"/>
      <c r="AJ33" s="128"/>
      <c r="AK33" s="128"/>
      <c r="AL33" s="128"/>
      <c r="AM33" s="128"/>
      <c r="AN33" s="128"/>
      <c r="AO33" s="128"/>
    </row>
    <row r="34" spans="1:41" ht="27" customHeight="1" x14ac:dyDescent="0.25">
      <c r="A34" s="514"/>
      <c r="B34" s="516"/>
      <c r="C34" s="601"/>
      <c r="D34" s="48" t="s">
        <v>141</v>
      </c>
      <c r="E34" s="48" t="s">
        <v>142</v>
      </c>
      <c r="F34" s="48" t="s">
        <v>143</v>
      </c>
      <c r="G34" s="48" t="s">
        <v>144</v>
      </c>
      <c r="H34" s="48" t="s">
        <v>145</v>
      </c>
      <c r="I34" s="48" t="s">
        <v>146</v>
      </c>
      <c r="J34" s="48" t="s">
        <v>147</v>
      </c>
      <c r="K34" s="48" t="s">
        <v>148</v>
      </c>
      <c r="L34" s="48" t="s">
        <v>128</v>
      </c>
      <c r="M34" s="48" t="s">
        <v>149</v>
      </c>
      <c r="N34" s="48" t="s">
        <v>150</v>
      </c>
      <c r="O34" s="48" t="s">
        <v>151</v>
      </c>
      <c r="P34" s="48" t="s">
        <v>102</v>
      </c>
      <c r="Q34" s="602" t="s">
        <v>52</v>
      </c>
      <c r="R34" s="603"/>
      <c r="S34" s="603"/>
      <c r="T34" s="604"/>
      <c r="U34" s="516" t="s">
        <v>54</v>
      </c>
      <c r="V34" s="516"/>
      <c r="W34" s="516"/>
      <c r="X34" s="516"/>
      <c r="Y34" s="516" t="s">
        <v>56</v>
      </c>
      <c r="Z34" s="516"/>
      <c r="AA34" s="516"/>
      <c r="AB34" s="516"/>
      <c r="AC34" s="516" t="s">
        <v>58</v>
      </c>
      <c r="AD34" s="516"/>
      <c r="AE34" s="597"/>
      <c r="AG34" s="128"/>
      <c r="AH34" s="128"/>
      <c r="AI34" s="128"/>
      <c r="AJ34" s="128"/>
      <c r="AK34" s="128"/>
      <c r="AL34" s="128"/>
      <c r="AM34" s="128"/>
      <c r="AN34" s="128"/>
      <c r="AO34" s="128"/>
    </row>
    <row r="35" spans="1:41" ht="144" customHeight="1" x14ac:dyDescent="0.25">
      <c r="A35" s="607" t="str">
        <f>+C17</f>
        <v xml:space="preserve">Formular 9 acciones de transformación cultural que promuevan y garanticen el libre ejercicio de los derechos de las mujeres y la equidad de género a través de mecanismos de cambio cultural y comportamental desarrollados con las comunidades. (Producto MGA - Documento de lineamientos Técnicos) </v>
      </c>
      <c r="B35" s="609">
        <v>0.1</v>
      </c>
      <c r="C35" s="54" t="s">
        <v>48</v>
      </c>
      <c r="D35" s="166">
        <f>D75</f>
        <v>0</v>
      </c>
      <c r="E35" s="166">
        <f t="shared" ref="E35:O35" si="1">E75</f>
        <v>0</v>
      </c>
      <c r="F35" s="166">
        <f t="shared" si="1"/>
        <v>0</v>
      </c>
      <c r="G35" s="166">
        <f t="shared" si="1"/>
        <v>0</v>
      </c>
      <c r="H35" s="166">
        <f t="shared" si="1"/>
        <v>0</v>
      </c>
      <c r="I35" s="166">
        <f t="shared" si="1"/>
        <v>0</v>
      </c>
      <c r="J35" s="166">
        <f t="shared" si="1"/>
        <v>0</v>
      </c>
      <c r="K35" s="166">
        <f t="shared" si="1"/>
        <v>0.56999999999999995</v>
      </c>
      <c r="L35" s="166">
        <f t="shared" si="1"/>
        <v>1.0349999999999997</v>
      </c>
      <c r="M35" s="166">
        <f t="shared" si="1"/>
        <v>0.34500000000000003</v>
      </c>
      <c r="N35" s="166">
        <f t="shared" si="1"/>
        <v>0.52500000000000002</v>
      </c>
      <c r="O35" s="166">
        <f t="shared" si="1"/>
        <v>0.52500000000000002</v>
      </c>
      <c r="P35" s="168">
        <f>SUM(D35:O35)</f>
        <v>2.9999999999999996</v>
      </c>
      <c r="Q35" s="485" t="s">
        <v>162</v>
      </c>
      <c r="R35" s="486"/>
      <c r="S35" s="486"/>
      <c r="T35" s="487"/>
      <c r="U35" s="485" t="s">
        <v>163</v>
      </c>
      <c r="V35" s="486"/>
      <c r="W35" s="486"/>
      <c r="X35" s="487"/>
      <c r="Y35" s="611" t="s">
        <v>164</v>
      </c>
      <c r="Z35" s="612"/>
      <c r="AA35" s="612"/>
      <c r="AB35" s="613"/>
      <c r="AC35" s="506" t="s">
        <v>165</v>
      </c>
      <c r="AD35" s="506"/>
      <c r="AE35" s="507"/>
      <c r="AG35" s="485" t="s">
        <v>166</v>
      </c>
      <c r="AH35" s="486"/>
      <c r="AI35" s="486"/>
      <c r="AJ35" s="487"/>
      <c r="AK35" s="128"/>
      <c r="AL35" s="128"/>
      <c r="AM35" s="128"/>
      <c r="AN35" s="128"/>
      <c r="AO35" s="128"/>
    </row>
    <row r="36" spans="1:41" ht="144" customHeight="1" thickBot="1" x14ac:dyDescent="0.3">
      <c r="A36" s="608"/>
      <c r="B36" s="610"/>
      <c r="C36" s="55" t="s">
        <v>50</v>
      </c>
      <c r="D36" s="169">
        <f>D72</f>
        <v>0</v>
      </c>
      <c r="E36" s="169">
        <f t="shared" ref="E36:O36" si="2">E72</f>
        <v>0</v>
      </c>
      <c r="F36" s="169">
        <f t="shared" si="2"/>
        <v>0</v>
      </c>
      <c r="G36" s="169">
        <f t="shared" si="2"/>
        <v>0</v>
      </c>
      <c r="H36" s="169">
        <f t="shared" si="2"/>
        <v>0</v>
      </c>
      <c r="I36" s="169">
        <f t="shared" si="2"/>
        <v>0</v>
      </c>
      <c r="J36" s="169">
        <f t="shared" si="2"/>
        <v>0</v>
      </c>
      <c r="K36" s="169">
        <f>K72</f>
        <v>0.56999999999999995</v>
      </c>
      <c r="L36" s="169">
        <f>L72</f>
        <v>1.0349999999999997</v>
      </c>
      <c r="M36" s="169">
        <f t="shared" si="2"/>
        <v>0</v>
      </c>
      <c r="N36" s="169">
        <f t="shared" si="2"/>
        <v>0</v>
      </c>
      <c r="O36" s="169">
        <f t="shared" si="2"/>
        <v>0</v>
      </c>
      <c r="P36" s="167">
        <f>SUM(D36:O36)</f>
        <v>1.6049999999999995</v>
      </c>
      <c r="Q36" s="488"/>
      <c r="R36" s="489"/>
      <c r="S36" s="489"/>
      <c r="T36" s="490"/>
      <c r="U36" s="488"/>
      <c r="V36" s="489"/>
      <c r="W36" s="489"/>
      <c r="X36" s="490"/>
      <c r="Y36" s="614"/>
      <c r="Z36" s="615"/>
      <c r="AA36" s="615"/>
      <c r="AB36" s="616"/>
      <c r="AC36" s="508"/>
      <c r="AD36" s="508"/>
      <c r="AE36" s="509"/>
      <c r="AG36" s="488"/>
      <c r="AH36" s="489"/>
      <c r="AI36" s="489"/>
      <c r="AJ36" s="490"/>
      <c r="AK36" s="128">
        <f>LEN(AG35)</f>
        <v>300</v>
      </c>
      <c r="AL36" s="128"/>
      <c r="AM36" s="128"/>
      <c r="AN36" s="128"/>
      <c r="AO36" s="128"/>
    </row>
    <row r="37" spans="1:41" s="212" customFormat="1" ht="17.25" customHeight="1" thickBot="1" x14ac:dyDescent="0.25"/>
    <row r="38" spans="1:41" ht="45" customHeight="1" thickBot="1" x14ac:dyDescent="0.3">
      <c r="A38" s="510" t="s">
        <v>167</v>
      </c>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2"/>
      <c r="AG38" s="128"/>
      <c r="AH38" s="128"/>
      <c r="AI38" s="128"/>
      <c r="AJ38" s="128"/>
      <c r="AK38" s="128"/>
      <c r="AL38" s="128"/>
      <c r="AM38" s="128"/>
      <c r="AN38" s="128"/>
      <c r="AO38" s="128"/>
    </row>
    <row r="39" spans="1:41" ht="26.1" customHeight="1" x14ac:dyDescent="0.25">
      <c r="A39" s="513" t="s">
        <v>60</v>
      </c>
      <c r="B39" s="515" t="s">
        <v>168</v>
      </c>
      <c r="C39" s="517" t="s">
        <v>169</v>
      </c>
      <c r="D39" s="519" t="s">
        <v>170</v>
      </c>
      <c r="E39" s="520"/>
      <c r="F39" s="520"/>
      <c r="G39" s="520"/>
      <c r="H39" s="520"/>
      <c r="I39" s="520"/>
      <c r="J39" s="520"/>
      <c r="K39" s="520"/>
      <c r="L39" s="520"/>
      <c r="M39" s="520"/>
      <c r="N39" s="520"/>
      <c r="O39" s="520"/>
      <c r="P39" s="521"/>
      <c r="Q39" s="515" t="s">
        <v>171</v>
      </c>
      <c r="R39" s="515"/>
      <c r="S39" s="515"/>
      <c r="T39" s="515"/>
      <c r="U39" s="515"/>
      <c r="V39" s="515"/>
      <c r="W39" s="515"/>
      <c r="X39" s="515"/>
      <c r="Y39" s="515"/>
      <c r="Z39" s="515"/>
      <c r="AA39" s="515"/>
      <c r="AB39" s="515"/>
      <c r="AC39" s="515"/>
      <c r="AD39" s="515"/>
      <c r="AE39" s="605"/>
      <c r="AG39" s="128"/>
      <c r="AH39" s="128"/>
      <c r="AI39" s="128"/>
      <c r="AJ39" s="128"/>
      <c r="AK39" s="128"/>
      <c r="AL39" s="128"/>
      <c r="AM39" s="128"/>
      <c r="AN39" s="128"/>
      <c r="AO39" s="128"/>
    </row>
    <row r="40" spans="1:41" ht="26.1" customHeight="1" x14ac:dyDescent="0.25">
      <c r="A40" s="514"/>
      <c r="B40" s="516"/>
      <c r="C40" s="518"/>
      <c r="D40" s="48" t="s">
        <v>172</v>
      </c>
      <c r="E40" s="48" t="s">
        <v>173</v>
      </c>
      <c r="F40" s="48" t="s">
        <v>174</v>
      </c>
      <c r="G40" s="48" t="s">
        <v>175</v>
      </c>
      <c r="H40" s="48" t="s">
        <v>176</v>
      </c>
      <c r="I40" s="48" t="s">
        <v>177</v>
      </c>
      <c r="J40" s="48" t="s">
        <v>178</v>
      </c>
      <c r="K40" s="48" t="s">
        <v>179</v>
      </c>
      <c r="L40" s="48" t="s">
        <v>180</v>
      </c>
      <c r="M40" s="48" t="s">
        <v>181</v>
      </c>
      <c r="N40" s="48" t="s">
        <v>182</v>
      </c>
      <c r="O40" s="48" t="s">
        <v>183</v>
      </c>
      <c r="P40" s="48" t="s">
        <v>184</v>
      </c>
      <c r="Q40" s="602" t="s">
        <v>185</v>
      </c>
      <c r="R40" s="603"/>
      <c r="S40" s="603"/>
      <c r="T40" s="603"/>
      <c r="U40" s="603"/>
      <c r="V40" s="603"/>
      <c r="W40" s="603"/>
      <c r="X40" s="604"/>
      <c r="Y40" s="602" t="s">
        <v>68</v>
      </c>
      <c r="Z40" s="603"/>
      <c r="AA40" s="603"/>
      <c r="AB40" s="603"/>
      <c r="AC40" s="603"/>
      <c r="AD40" s="603"/>
      <c r="AE40" s="606"/>
      <c r="AG40" s="213"/>
      <c r="AH40" s="213"/>
      <c r="AI40" s="213"/>
      <c r="AJ40" s="213"/>
      <c r="AK40" s="213"/>
      <c r="AL40" s="213"/>
      <c r="AM40" s="213"/>
      <c r="AN40" s="213"/>
      <c r="AO40" s="213"/>
    </row>
    <row r="41" spans="1:41" ht="81" customHeight="1" x14ac:dyDescent="0.25">
      <c r="A41" s="617" t="s">
        <v>186</v>
      </c>
      <c r="B41" s="618">
        <v>0.03</v>
      </c>
      <c r="C41" s="56" t="s">
        <v>48</v>
      </c>
      <c r="D41" s="57">
        <v>0</v>
      </c>
      <c r="E41" s="57">
        <v>0</v>
      </c>
      <c r="F41" s="57">
        <v>0</v>
      </c>
      <c r="G41" s="57">
        <v>0</v>
      </c>
      <c r="H41" s="57">
        <v>0</v>
      </c>
      <c r="I41" s="57">
        <v>0</v>
      </c>
      <c r="J41" s="57">
        <v>0</v>
      </c>
      <c r="K41" s="57">
        <v>0.3</v>
      </c>
      <c r="L41" s="57">
        <v>0.7</v>
      </c>
      <c r="M41" s="57">
        <v>0</v>
      </c>
      <c r="N41" s="57">
        <v>0</v>
      </c>
      <c r="O41" s="57">
        <v>0</v>
      </c>
      <c r="P41" s="58">
        <f t="shared" ref="P41:P48" si="3">SUM(D41:O41)</f>
        <v>1</v>
      </c>
      <c r="Q41" s="619" t="s">
        <v>187</v>
      </c>
      <c r="R41" s="620"/>
      <c r="S41" s="620"/>
      <c r="T41" s="620"/>
      <c r="U41" s="620"/>
      <c r="V41" s="620"/>
      <c r="W41" s="620"/>
      <c r="X41" s="621"/>
      <c r="Y41" s="625" t="s">
        <v>188</v>
      </c>
      <c r="Z41" s="626"/>
      <c r="AA41" s="626"/>
      <c r="AB41" s="626"/>
      <c r="AC41" s="626"/>
      <c r="AD41" s="626"/>
      <c r="AE41" s="626"/>
      <c r="AG41" s="214"/>
      <c r="AH41" s="214"/>
      <c r="AI41" s="214"/>
      <c r="AJ41" s="214"/>
      <c r="AK41" s="214"/>
      <c r="AL41" s="214"/>
      <c r="AM41" s="214"/>
      <c r="AN41" s="214"/>
      <c r="AO41" s="214"/>
    </row>
    <row r="42" spans="1:41" ht="81" customHeight="1" x14ac:dyDescent="0.25">
      <c r="A42" s="617"/>
      <c r="B42" s="618"/>
      <c r="C42" s="59" t="s">
        <v>50</v>
      </c>
      <c r="D42" s="60">
        <v>0</v>
      </c>
      <c r="E42" s="60">
        <v>0</v>
      </c>
      <c r="F42" s="60">
        <v>0</v>
      </c>
      <c r="G42" s="60">
        <v>0</v>
      </c>
      <c r="H42" s="60">
        <v>0</v>
      </c>
      <c r="I42" s="60">
        <v>0</v>
      </c>
      <c r="J42" s="60">
        <v>0</v>
      </c>
      <c r="K42" s="60">
        <v>0.3</v>
      </c>
      <c r="L42" s="60">
        <v>0.7</v>
      </c>
      <c r="M42" s="60"/>
      <c r="N42" s="60"/>
      <c r="O42" s="60"/>
      <c r="P42" s="58">
        <f t="shared" si="3"/>
        <v>1</v>
      </c>
      <c r="Q42" s="622"/>
      <c r="R42" s="623"/>
      <c r="S42" s="623"/>
      <c r="T42" s="623"/>
      <c r="U42" s="623"/>
      <c r="V42" s="623"/>
      <c r="W42" s="623"/>
      <c r="X42" s="624"/>
      <c r="Y42" s="626"/>
      <c r="Z42" s="626"/>
      <c r="AA42" s="626"/>
      <c r="AB42" s="626"/>
      <c r="AC42" s="626"/>
      <c r="AD42" s="626"/>
      <c r="AE42" s="626"/>
    </row>
    <row r="43" spans="1:41" ht="102" customHeight="1" x14ac:dyDescent="0.25">
      <c r="A43" s="617" t="s">
        <v>189</v>
      </c>
      <c r="B43" s="618">
        <v>0.02</v>
      </c>
      <c r="C43" s="56" t="s">
        <v>48</v>
      </c>
      <c r="D43" s="57">
        <v>0</v>
      </c>
      <c r="E43" s="57">
        <v>0</v>
      </c>
      <c r="F43" s="57">
        <v>0</v>
      </c>
      <c r="G43" s="57">
        <v>0</v>
      </c>
      <c r="H43" s="57">
        <v>0</v>
      </c>
      <c r="I43" s="57">
        <v>0</v>
      </c>
      <c r="J43" s="57">
        <v>0</v>
      </c>
      <c r="K43" s="57">
        <v>0.5</v>
      </c>
      <c r="L43" s="57">
        <v>0.3</v>
      </c>
      <c r="M43" s="57">
        <v>0.2</v>
      </c>
      <c r="N43" s="57">
        <v>0</v>
      </c>
      <c r="O43" s="57">
        <v>0</v>
      </c>
      <c r="P43" s="58">
        <f t="shared" si="3"/>
        <v>1</v>
      </c>
      <c r="Q43" s="627" t="s">
        <v>190</v>
      </c>
      <c r="R43" s="628"/>
      <c r="S43" s="628"/>
      <c r="T43" s="628"/>
      <c r="U43" s="628"/>
      <c r="V43" s="628"/>
      <c r="W43" s="628"/>
      <c r="X43" s="629"/>
      <c r="Y43" s="633" t="s">
        <v>191</v>
      </c>
      <c r="Z43" s="634"/>
      <c r="AA43" s="634"/>
      <c r="AB43" s="634"/>
      <c r="AC43" s="634"/>
      <c r="AD43" s="634"/>
      <c r="AE43" s="635"/>
    </row>
    <row r="44" spans="1:41" ht="79.5" customHeight="1" x14ac:dyDescent="0.25">
      <c r="A44" s="617"/>
      <c r="B44" s="618"/>
      <c r="C44" s="59" t="s">
        <v>50</v>
      </c>
      <c r="D44" s="60">
        <v>0</v>
      </c>
      <c r="E44" s="60">
        <v>0</v>
      </c>
      <c r="F44" s="60">
        <v>0</v>
      </c>
      <c r="G44" s="60">
        <v>0</v>
      </c>
      <c r="H44" s="60">
        <v>0</v>
      </c>
      <c r="I44" s="60">
        <v>0</v>
      </c>
      <c r="J44" s="60">
        <v>0</v>
      </c>
      <c r="K44" s="60">
        <v>0.5</v>
      </c>
      <c r="L44" s="60">
        <v>0.3</v>
      </c>
      <c r="M44" s="60"/>
      <c r="N44" s="60"/>
      <c r="O44" s="60"/>
      <c r="P44" s="58">
        <f t="shared" si="3"/>
        <v>0.8</v>
      </c>
      <c r="Q44" s="630"/>
      <c r="R44" s="631"/>
      <c r="S44" s="631"/>
      <c r="T44" s="631"/>
      <c r="U44" s="631"/>
      <c r="V44" s="631"/>
      <c r="W44" s="631"/>
      <c r="X44" s="632"/>
      <c r="Y44" s="636"/>
      <c r="Z44" s="637"/>
      <c r="AA44" s="637"/>
      <c r="AB44" s="637"/>
      <c r="AC44" s="637"/>
      <c r="AD44" s="637"/>
      <c r="AE44" s="638"/>
    </row>
    <row r="45" spans="1:41" ht="66.599999999999994" customHeight="1" x14ac:dyDescent="0.25">
      <c r="A45" s="617" t="s">
        <v>192</v>
      </c>
      <c r="B45" s="618">
        <v>0.03</v>
      </c>
      <c r="C45" s="56" t="s">
        <v>48</v>
      </c>
      <c r="D45" s="57">
        <v>0</v>
      </c>
      <c r="E45" s="57">
        <v>0</v>
      </c>
      <c r="F45" s="57">
        <v>0</v>
      </c>
      <c r="G45" s="57">
        <v>0</v>
      </c>
      <c r="H45" s="57">
        <v>0</v>
      </c>
      <c r="I45" s="57">
        <v>0</v>
      </c>
      <c r="J45" s="57">
        <v>0</v>
      </c>
      <c r="K45" s="57">
        <v>0</v>
      </c>
      <c r="L45" s="57">
        <v>0.25</v>
      </c>
      <c r="M45" s="57">
        <v>0.25</v>
      </c>
      <c r="N45" s="57">
        <v>0.25</v>
      </c>
      <c r="O45" s="57">
        <v>0.25</v>
      </c>
      <c r="P45" s="58">
        <f t="shared" si="3"/>
        <v>1</v>
      </c>
      <c r="Q45" s="639" t="s">
        <v>193</v>
      </c>
      <c r="R45" s="628"/>
      <c r="S45" s="628"/>
      <c r="T45" s="628"/>
      <c r="U45" s="628"/>
      <c r="V45" s="628"/>
      <c r="W45" s="628"/>
      <c r="X45" s="629"/>
      <c r="Y45" s="619" t="s">
        <v>194</v>
      </c>
      <c r="Z45" s="620"/>
      <c r="AA45" s="620"/>
      <c r="AB45" s="620"/>
      <c r="AC45" s="620"/>
      <c r="AD45" s="620"/>
      <c r="AE45" s="640"/>
    </row>
    <row r="46" spans="1:41" ht="66.599999999999994" customHeight="1" x14ac:dyDescent="0.25">
      <c r="A46" s="617"/>
      <c r="B46" s="618"/>
      <c r="C46" s="59" t="s">
        <v>50</v>
      </c>
      <c r="D46" s="60">
        <v>0</v>
      </c>
      <c r="E46" s="60">
        <v>0</v>
      </c>
      <c r="F46" s="60">
        <v>0</v>
      </c>
      <c r="G46" s="60">
        <v>0</v>
      </c>
      <c r="H46" s="60">
        <v>0</v>
      </c>
      <c r="I46" s="60">
        <v>0</v>
      </c>
      <c r="J46" s="60">
        <v>0</v>
      </c>
      <c r="K46" s="60">
        <v>0</v>
      </c>
      <c r="L46" s="60">
        <v>0.25</v>
      </c>
      <c r="M46" s="60"/>
      <c r="N46" s="60"/>
      <c r="O46" s="60"/>
      <c r="P46" s="58">
        <f t="shared" si="3"/>
        <v>0.25</v>
      </c>
      <c r="Q46" s="630"/>
      <c r="R46" s="631"/>
      <c r="S46" s="631"/>
      <c r="T46" s="631"/>
      <c r="U46" s="631"/>
      <c r="V46" s="631"/>
      <c r="W46" s="631"/>
      <c r="X46" s="632"/>
      <c r="Y46" s="622"/>
      <c r="Z46" s="623"/>
      <c r="AA46" s="623"/>
      <c r="AB46" s="623"/>
      <c r="AC46" s="623"/>
      <c r="AD46" s="623"/>
      <c r="AE46" s="641"/>
    </row>
    <row r="47" spans="1:41" ht="55.9" customHeight="1" x14ac:dyDescent="0.25">
      <c r="A47" s="617" t="s">
        <v>195</v>
      </c>
      <c r="B47" s="618">
        <v>0.02</v>
      </c>
      <c r="C47" s="56" t="s">
        <v>48</v>
      </c>
      <c r="D47" s="57">
        <v>0</v>
      </c>
      <c r="E47" s="57">
        <v>0</v>
      </c>
      <c r="F47" s="57">
        <v>0</v>
      </c>
      <c r="G47" s="57">
        <v>0</v>
      </c>
      <c r="H47" s="57">
        <v>0</v>
      </c>
      <c r="I47" s="57">
        <v>0</v>
      </c>
      <c r="J47" s="57">
        <v>0</v>
      </c>
      <c r="K47" s="57">
        <v>0</v>
      </c>
      <c r="L47" s="57">
        <v>0</v>
      </c>
      <c r="M47" s="57">
        <v>0</v>
      </c>
      <c r="N47" s="57">
        <v>0.5</v>
      </c>
      <c r="O47" s="57">
        <v>0.5</v>
      </c>
      <c r="P47" s="58">
        <f t="shared" si="3"/>
        <v>1</v>
      </c>
      <c r="Q47" s="619" t="s">
        <v>196</v>
      </c>
      <c r="R47" s="620"/>
      <c r="S47" s="620"/>
      <c r="T47" s="620"/>
      <c r="U47" s="620"/>
      <c r="V47" s="620"/>
      <c r="W47" s="620"/>
      <c r="X47" s="621"/>
      <c r="Y47" s="619" t="s">
        <v>197</v>
      </c>
      <c r="Z47" s="620"/>
      <c r="AA47" s="620"/>
      <c r="AB47" s="620"/>
      <c r="AC47" s="620"/>
      <c r="AD47" s="620"/>
      <c r="AE47" s="640"/>
    </row>
    <row r="48" spans="1:41" ht="55.9" customHeight="1" thickBot="1" x14ac:dyDescent="0.3">
      <c r="A48" s="642"/>
      <c r="B48" s="643"/>
      <c r="C48" s="55" t="s">
        <v>50</v>
      </c>
      <c r="D48" s="60">
        <v>0</v>
      </c>
      <c r="E48" s="60">
        <v>0</v>
      </c>
      <c r="F48" s="60">
        <v>0</v>
      </c>
      <c r="G48" s="60">
        <v>0</v>
      </c>
      <c r="H48" s="60">
        <v>0</v>
      </c>
      <c r="I48" s="60">
        <v>0</v>
      </c>
      <c r="J48" s="60">
        <v>0</v>
      </c>
      <c r="K48" s="61">
        <v>0</v>
      </c>
      <c r="L48" s="61">
        <v>0</v>
      </c>
      <c r="M48" s="61"/>
      <c r="N48" s="61"/>
      <c r="O48" s="61"/>
      <c r="P48" s="62">
        <f t="shared" si="3"/>
        <v>0</v>
      </c>
      <c r="Q48" s="622"/>
      <c r="R48" s="623"/>
      <c r="S48" s="623"/>
      <c r="T48" s="623"/>
      <c r="U48" s="623"/>
      <c r="V48" s="623"/>
      <c r="W48" s="623"/>
      <c r="X48" s="624"/>
      <c r="Y48" s="622"/>
      <c r="Z48" s="623"/>
      <c r="AA48" s="623"/>
      <c r="AB48" s="623"/>
      <c r="AC48" s="623"/>
      <c r="AD48" s="623"/>
      <c r="AE48" s="641"/>
    </row>
    <row r="49" spans="1:31" ht="15" customHeight="1" x14ac:dyDescent="0.25">
      <c r="A49" s="125" t="s">
        <v>198</v>
      </c>
      <c r="Q49" s="215"/>
      <c r="R49" s="215"/>
      <c r="S49" s="215"/>
      <c r="T49" s="215"/>
      <c r="U49" s="215"/>
      <c r="V49" s="215"/>
      <c r="W49" s="215"/>
      <c r="X49" s="215"/>
      <c r="Y49" s="215"/>
      <c r="Z49" s="215"/>
      <c r="AA49" s="215"/>
      <c r="AB49" s="215"/>
      <c r="AC49" s="215"/>
      <c r="AD49" s="215"/>
      <c r="AE49" s="215"/>
    </row>
    <row r="50" spans="1:31" x14ac:dyDescent="0.25">
      <c r="Q50" s="215"/>
      <c r="R50" s="215"/>
      <c r="S50" s="215"/>
      <c r="T50" s="215"/>
      <c r="U50" s="215"/>
      <c r="V50" s="215"/>
      <c r="W50" s="215"/>
      <c r="X50" s="215"/>
      <c r="Y50" s="215"/>
      <c r="Z50" s="215"/>
      <c r="AA50" s="215"/>
      <c r="AB50" s="215"/>
      <c r="AC50" s="215"/>
      <c r="AD50" s="215"/>
      <c r="AE50" s="215"/>
    </row>
    <row r="51" spans="1:31" x14ac:dyDescent="0.25">
      <c r="Q51" s="215"/>
      <c r="R51" s="215"/>
      <c r="S51" s="215"/>
      <c r="T51" s="215"/>
      <c r="U51" s="215"/>
      <c r="V51" s="215"/>
      <c r="W51" s="215"/>
      <c r="X51" s="215"/>
      <c r="Y51" s="215"/>
      <c r="Z51" s="215"/>
      <c r="AA51" s="215"/>
      <c r="AB51" s="215"/>
      <c r="AC51" s="215"/>
      <c r="AD51" s="215"/>
      <c r="AE51" s="215"/>
    </row>
    <row r="52" spans="1:31" x14ac:dyDescent="0.25">
      <c r="Q52" s="215"/>
      <c r="R52" s="215"/>
      <c r="S52" s="215"/>
      <c r="T52" s="215"/>
      <c r="U52" s="215"/>
      <c r="V52" s="215"/>
      <c r="W52" s="215"/>
      <c r="X52" s="215"/>
      <c r="Y52" s="215"/>
      <c r="Z52" s="215"/>
      <c r="AA52" s="215"/>
      <c r="AB52" s="215"/>
      <c r="AC52" s="215"/>
      <c r="AD52" s="215"/>
      <c r="AE52" s="215"/>
    </row>
    <row r="53" spans="1:31" x14ac:dyDescent="0.25">
      <c r="Q53" s="215"/>
      <c r="R53" s="215"/>
      <c r="S53" s="215"/>
      <c r="T53" s="215"/>
      <c r="U53" s="215"/>
      <c r="V53" s="215"/>
      <c r="W53" s="215"/>
      <c r="X53" s="215"/>
      <c r="Y53" s="215"/>
      <c r="Z53" s="215"/>
      <c r="AA53" s="215"/>
      <c r="AB53" s="215"/>
      <c r="AC53" s="215"/>
      <c r="AD53" s="215"/>
      <c r="AE53" s="215"/>
    </row>
    <row r="54" spans="1:31" ht="75" hidden="1" customHeight="1" thickBot="1" x14ac:dyDescent="0.3">
      <c r="Q54" s="215"/>
      <c r="R54" s="215"/>
      <c r="S54" s="215"/>
      <c r="T54" s="215"/>
      <c r="U54" s="215"/>
      <c r="V54" s="215"/>
      <c r="W54" s="215"/>
      <c r="X54" s="215"/>
      <c r="Y54" s="215"/>
      <c r="Z54" s="215"/>
      <c r="AA54" s="215"/>
      <c r="AB54" s="215"/>
      <c r="AC54" s="215"/>
      <c r="AD54" s="215"/>
      <c r="AE54" s="215"/>
    </row>
    <row r="55" spans="1:31" s="219" customFormat="1" ht="15" hidden="1" x14ac:dyDescent="0.25">
      <c r="A55" s="499" t="s">
        <v>44</v>
      </c>
      <c r="B55" s="501" t="s">
        <v>168</v>
      </c>
      <c r="C55" s="503" t="s">
        <v>170</v>
      </c>
      <c r="D55" s="504"/>
      <c r="E55" s="504"/>
      <c r="F55" s="504"/>
      <c r="G55" s="504"/>
      <c r="H55" s="504"/>
      <c r="I55" s="504"/>
      <c r="J55" s="504"/>
      <c r="K55" s="504"/>
      <c r="L55" s="504"/>
      <c r="M55" s="504"/>
      <c r="N55" s="504"/>
      <c r="O55" s="504"/>
      <c r="P55" s="505"/>
      <c r="Q55" s="216"/>
      <c r="R55" s="216"/>
      <c r="S55" s="217"/>
      <c r="T55" s="217"/>
      <c r="U55" s="217"/>
      <c r="V55" s="217"/>
      <c r="W55" s="217"/>
      <c r="X55" s="217"/>
      <c r="Y55" s="217"/>
      <c r="Z55" s="217"/>
      <c r="AA55" s="217"/>
      <c r="AB55" s="217"/>
      <c r="AC55" s="217"/>
      <c r="AD55" s="217"/>
      <c r="AE55" s="218"/>
    </row>
    <row r="56" spans="1:31" s="219" customFormat="1" ht="21" hidden="1" x14ac:dyDescent="0.25">
      <c r="A56" s="500"/>
      <c r="B56" s="502"/>
      <c r="C56" s="220" t="s">
        <v>169</v>
      </c>
      <c r="D56" s="220" t="s">
        <v>172</v>
      </c>
      <c r="E56" s="220" t="s">
        <v>173</v>
      </c>
      <c r="F56" s="220" t="s">
        <v>174</v>
      </c>
      <c r="G56" s="220" t="s">
        <v>175</v>
      </c>
      <c r="H56" s="220" t="s">
        <v>176</v>
      </c>
      <c r="I56" s="220" t="s">
        <v>177</v>
      </c>
      <c r="J56" s="220" t="s">
        <v>178</v>
      </c>
      <c r="K56" s="220" t="s">
        <v>179</v>
      </c>
      <c r="L56" s="220" t="s">
        <v>180</v>
      </c>
      <c r="M56" s="220" t="s">
        <v>181</v>
      </c>
      <c r="N56" s="220" t="s">
        <v>182</v>
      </c>
      <c r="O56" s="220" t="s">
        <v>183</v>
      </c>
      <c r="P56" s="221" t="s">
        <v>184</v>
      </c>
      <c r="Q56" s="216"/>
      <c r="R56" s="216"/>
      <c r="S56" s="217"/>
      <c r="T56" s="217"/>
      <c r="U56" s="217"/>
      <c r="V56" s="217"/>
      <c r="W56" s="217"/>
      <c r="X56" s="217"/>
      <c r="Y56" s="217"/>
      <c r="Z56" s="217"/>
      <c r="AA56" s="217"/>
      <c r="AB56" s="217"/>
      <c r="AC56" s="217"/>
      <c r="AD56" s="217"/>
      <c r="AE56" s="218"/>
    </row>
    <row r="57" spans="1:31" s="219" customFormat="1" ht="18" hidden="1" customHeight="1" x14ac:dyDescent="0.25">
      <c r="A57" s="495" t="str">
        <f>A41</f>
        <v>1. Desarrollar una guía estructurada que sirva como referencia para la creación de documentos técnicos enfocados en la formulación de estrategias de transformación cultural.</v>
      </c>
      <c r="B57" s="497">
        <f>B41</f>
        <v>0.03</v>
      </c>
      <c r="C57" s="222" t="s">
        <v>48</v>
      </c>
      <c r="D57" s="223">
        <f>D41*$B$41/$P$41</f>
        <v>0</v>
      </c>
      <c r="E57" s="223">
        <f t="shared" ref="E57:O58" si="4">E41*$B$41/$P$41</f>
        <v>0</v>
      </c>
      <c r="F57" s="223">
        <f t="shared" si="4"/>
        <v>0</v>
      </c>
      <c r="G57" s="223">
        <f t="shared" si="4"/>
        <v>0</v>
      </c>
      <c r="H57" s="223">
        <f t="shared" si="4"/>
        <v>0</v>
      </c>
      <c r="I57" s="223">
        <f t="shared" si="4"/>
        <v>0</v>
      </c>
      <c r="J57" s="223">
        <f t="shared" si="4"/>
        <v>0</v>
      </c>
      <c r="K57" s="223">
        <f t="shared" si="4"/>
        <v>8.9999999999999993E-3</v>
      </c>
      <c r="L57" s="223">
        <f t="shared" si="4"/>
        <v>2.0999999999999998E-2</v>
      </c>
      <c r="M57" s="223">
        <f t="shared" si="4"/>
        <v>0</v>
      </c>
      <c r="N57" s="223">
        <f t="shared" si="4"/>
        <v>0</v>
      </c>
      <c r="O57" s="223">
        <f t="shared" si="4"/>
        <v>0</v>
      </c>
      <c r="P57" s="224">
        <f>SUM(D57:O57)</f>
        <v>0.03</v>
      </c>
      <c r="Q57" s="225">
        <v>0.05</v>
      </c>
      <c r="R57" s="226">
        <f t="shared" ref="R57:R68" si="5">+P57-Q57</f>
        <v>-2.0000000000000004E-2</v>
      </c>
      <c r="S57" s="217"/>
      <c r="T57" s="217"/>
      <c r="U57" s="217"/>
      <c r="V57" s="217"/>
      <c r="W57" s="217"/>
      <c r="X57" s="217"/>
      <c r="Y57" s="217"/>
      <c r="Z57" s="217"/>
      <c r="AA57" s="217"/>
      <c r="AB57" s="217"/>
      <c r="AC57" s="217"/>
      <c r="AD57" s="217"/>
      <c r="AE57" s="218"/>
    </row>
    <row r="58" spans="1:31" s="219" customFormat="1" ht="18" hidden="1" customHeight="1" x14ac:dyDescent="0.25">
      <c r="A58" s="496"/>
      <c r="B58" s="498"/>
      <c r="C58" s="227" t="s">
        <v>50</v>
      </c>
      <c r="D58" s="228">
        <f>D42*$B$41/$P$41</f>
        <v>0</v>
      </c>
      <c r="E58" s="228">
        <f t="shared" si="4"/>
        <v>0</v>
      </c>
      <c r="F58" s="228">
        <f t="shared" si="4"/>
        <v>0</v>
      </c>
      <c r="G58" s="228">
        <f t="shared" si="4"/>
        <v>0</v>
      </c>
      <c r="H58" s="228">
        <f t="shared" si="4"/>
        <v>0</v>
      </c>
      <c r="I58" s="228">
        <f t="shared" si="4"/>
        <v>0</v>
      </c>
      <c r="J58" s="228">
        <f t="shared" si="4"/>
        <v>0</v>
      </c>
      <c r="K58" s="228">
        <f>K42*$B$41/$P$41</f>
        <v>8.9999999999999993E-3</v>
      </c>
      <c r="L58" s="228">
        <f t="shared" si="4"/>
        <v>2.0999999999999998E-2</v>
      </c>
      <c r="M58" s="228">
        <f t="shared" si="4"/>
        <v>0</v>
      </c>
      <c r="N58" s="228">
        <f t="shared" si="4"/>
        <v>0</v>
      </c>
      <c r="O58" s="228">
        <f t="shared" si="4"/>
        <v>0</v>
      </c>
      <c r="P58" s="229">
        <f>SUM(D58:O58)</f>
        <v>0.03</v>
      </c>
      <c r="Q58" s="230">
        <f>+P58</f>
        <v>0.03</v>
      </c>
      <c r="R58" s="226">
        <f t="shared" si="5"/>
        <v>0</v>
      </c>
      <c r="S58" s="217"/>
      <c r="T58" s="217"/>
      <c r="U58" s="217"/>
      <c r="V58" s="217"/>
      <c r="W58" s="217"/>
      <c r="X58" s="217"/>
      <c r="Y58" s="217"/>
      <c r="Z58" s="217"/>
      <c r="AA58" s="217"/>
      <c r="AB58" s="217"/>
      <c r="AC58" s="217"/>
      <c r="AD58" s="217"/>
      <c r="AE58" s="218"/>
    </row>
    <row r="59" spans="1:31" s="219" customFormat="1" ht="18" hidden="1" customHeight="1" x14ac:dyDescent="0.25">
      <c r="A59" s="495" t="str">
        <f t="shared" ref="A59:B59" si="6">A43</f>
        <v xml:space="preserve">2. Adelantar dos diagnósticos para identificar las barreras culturales, sociales, legales y económicas que impiden la redistribución equitativa del cuidado, y sustentan las violencias de género  aplicando los respectivos modelos de cambio cultural y comportamental. </v>
      </c>
      <c r="B59" s="497">
        <f t="shared" si="6"/>
        <v>0.02</v>
      </c>
      <c r="C59" s="222" t="s">
        <v>48</v>
      </c>
      <c r="D59" s="223">
        <f>D43*$B$43/$P$43</f>
        <v>0</v>
      </c>
      <c r="E59" s="223">
        <f t="shared" ref="E59:O60" si="7">E43*$B$43/$P$43</f>
        <v>0</v>
      </c>
      <c r="F59" s="223">
        <f t="shared" si="7"/>
        <v>0</v>
      </c>
      <c r="G59" s="223">
        <f t="shared" si="7"/>
        <v>0</v>
      </c>
      <c r="H59" s="223">
        <f t="shared" si="7"/>
        <v>0</v>
      </c>
      <c r="I59" s="223">
        <f t="shared" si="7"/>
        <v>0</v>
      </c>
      <c r="J59" s="223">
        <f t="shared" si="7"/>
        <v>0</v>
      </c>
      <c r="K59" s="223">
        <f t="shared" si="7"/>
        <v>0.01</v>
      </c>
      <c r="L59" s="223">
        <f t="shared" si="7"/>
        <v>6.0000000000000001E-3</v>
      </c>
      <c r="M59" s="223">
        <f t="shared" si="7"/>
        <v>4.0000000000000001E-3</v>
      </c>
      <c r="N59" s="223">
        <f t="shared" si="7"/>
        <v>0</v>
      </c>
      <c r="O59" s="223">
        <f t="shared" si="7"/>
        <v>0</v>
      </c>
      <c r="P59" s="224">
        <f>SUM(D59:O59)</f>
        <v>0.02</v>
      </c>
      <c r="Q59" s="225">
        <v>2.5000000000000001E-2</v>
      </c>
      <c r="R59" s="226">
        <f t="shared" si="5"/>
        <v>-5.000000000000001E-3</v>
      </c>
      <c r="S59" s="217"/>
      <c r="T59" s="217"/>
      <c r="U59" s="217"/>
      <c r="V59" s="217"/>
      <c r="W59" s="217"/>
      <c r="X59" s="217"/>
      <c r="Y59" s="217"/>
      <c r="Z59" s="217"/>
      <c r="AA59" s="217"/>
      <c r="AB59" s="217"/>
      <c r="AC59" s="217"/>
      <c r="AD59" s="217"/>
      <c r="AE59" s="218"/>
    </row>
    <row r="60" spans="1:31" s="219" customFormat="1" ht="18" hidden="1" customHeight="1" x14ac:dyDescent="0.25">
      <c r="A60" s="496"/>
      <c r="B60" s="498"/>
      <c r="C60" s="227" t="s">
        <v>50</v>
      </c>
      <c r="D60" s="228">
        <f>D44*$B$43/$P$43</f>
        <v>0</v>
      </c>
      <c r="E60" s="228">
        <f t="shared" si="7"/>
        <v>0</v>
      </c>
      <c r="F60" s="228">
        <f t="shared" si="7"/>
        <v>0</v>
      </c>
      <c r="G60" s="228">
        <f t="shared" si="7"/>
        <v>0</v>
      </c>
      <c r="H60" s="228">
        <f t="shared" si="7"/>
        <v>0</v>
      </c>
      <c r="I60" s="228">
        <f t="shared" si="7"/>
        <v>0</v>
      </c>
      <c r="J60" s="228">
        <f t="shared" si="7"/>
        <v>0</v>
      </c>
      <c r="K60" s="228">
        <f t="shared" si="7"/>
        <v>0.01</v>
      </c>
      <c r="L60" s="228">
        <f t="shared" si="7"/>
        <v>6.0000000000000001E-3</v>
      </c>
      <c r="M60" s="228">
        <f t="shared" si="7"/>
        <v>0</v>
      </c>
      <c r="N60" s="228">
        <f t="shared" si="7"/>
        <v>0</v>
      </c>
      <c r="O60" s="228">
        <f t="shared" si="7"/>
        <v>0</v>
      </c>
      <c r="P60" s="229">
        <f t="shared" ref="P60:P64" si="8">SUM(D60:O60)</f>
        <v>1.6E-2</v>
      </c>
      <c r="Q60" s="230">
        <f>+P60</f>
        <v>1.6E-2</v>
      </c>
      <c r="R60" s="226">
        <f t="shared" si="5"/>
        <v>0</v>
      </c>
      <c r="S60" s="217"/>
      <c r="T60" s="217"/>
      <c r="U60" s="217"/>
      <c r="V60" s="217"/>
      <c r="W60" s="217"/>
      <c r="X60" s="217"/>
      <c r="Y60" s="217"/>
      <c r="Z60" s="217"/>
      <c r="AA60" s="217"/>
      <c r="AB60" s="217"/>
      <c r="AC60" s="217"/>
      <c r="AD60" s="217"/>
      <c r="AE60" s="218"/>
    </row>
    <row r="61" spans="1:31" s="219" customFormat="1" ht="18" hidden="1" customHeight="1" x14ac:dyDescent="0.25">
      <c r="A61" s="495" t="str">
        <f t="shared" ref="A61:B61" si="9">A45</f>
        <v>3. Planificar la implementación de las estrategias, incluyendo la coordinación con otras dependencias, entidades, organizaciones locales y comunitarias. Establecer alianzas y definir roles y responsabilidades.</v>
      </c>
      <c r="B61" s="497">
        <f t="shared" si="9"/>
        <v>0.03</v>
      </c>
      <c r="C61" s="222" t="s">
        <v>48</v>
      </c>
      <c r="D61" s="223">
        <f>D45*$B$45/$P$45</f>
        <v>0</v>
      </c>
      <c r="E61" s="223">
        <f t="shared" ref="E61:O62" si="10">E45*$B$45/$P$45</f>
        <v>0</v>
      </c>
      <c r="F61" s="223">
        <f t="shared" si="10"/>
        <v>0</v>
      </c>
      <c r="G61" s="223">
        <f t="shared" si="10"/>
        <v>0</v>
      </c>
      <c r="H61" s="223">
        <f t="shared" si="10"/>
        <v>0</v>
      </c>
      <c r="I61" s="223">
        <f t="shared" si="10"/>
        <v>0</v>
      </c>
      <c r="J61" s="223">
        <f t="shared" si="10"/>
        <v>0</v>
      </c>
      <c r="K61" s="223">
        <f t="shared" si="10"/>
        <v>0</v>
      </c>
      <c r="L61" s="223">
        <f t="shared" si="10"/>
        <v>7.4999999999999997E-3</v>
      </c>
      <c r="M61" s="223">
        <f t="shared" si="10"/>
        <v>7.4999999999999997E-3</v>
      </c>
      <c r="N61" s="223">
        <f t="shared" si="10"/>
        <v>7.4999999999999997E-3</v>
      </c>
      <c r="O61" s="223">
        <f t="shared" si="10"/>
        <v>7.4999999999999997E-3</v>
      </c>
      <c r="P61" s="224">
        <f>SUM(D61:O61)</f>
        <v>0.03</v>
      </c>
      <c r="Q61" s="225">
        <v>2.5000000000000001E-2</v>
      </c>
      <c r="R61" s="226">
        <f t="shared" si="5"/>
        <v>4.9999999999999975E-3</v>
      </c>
      <c r="S61" s="217"/>
      <c r="T61" s="217"/>
      <c r="U61" s="217"/>
      <c r="V61" s="217"/>
      <c r="W61" s="217"/>
      <c r="X61" s="217"/>
      <c r="Y61" s="217"/>
      <c r="Z61" s="217"/>
      <c r="AA61" s="217"/>
      <c r="AB61" s="217"/>
      <c r="AC61" s="217"/>
      <c r="AD61" s="217"/>
      <c r="AE61" s="218"/>
    </row>
    <row r="62" spans="1:31" s="219" customFormat="1" ht="18" hidden="1" customHeight="1" x14ac:dyDescent="0.25">
      <c r="A62" s="496"/>
      <c r="B62" s="498"/>
      <c r="C62" s="227" t="s">
        <v>50</v>
      </c>
      <c r="D62" s="231">
        <f>D46*$B$45/$P$45</f>
        <v>0</v>
      </c>
      <c r="E62" s="231">
        <f t="shared" si="10"/>
        <v>0</v>
      </c>
      <c r="F62" s="231">
        <f t="shared" si="10"/>
        <v>0</v>
      </c>
      <c r="G62" s="231">
        <f t="shared" si="10"/>
        <v>0</v>
      </c>
      <c r="H62" s="231">
        <f t="shared" si="10"/>
        <v>0</v>
      </c>
      <c r="I62" s="231">
        <f t="shared" si="10"/>
        <v>0</v>
      </c>
      <c r="J62" s="231">
        <f t="shared" si="10"/>
        <v>0</v>
      </c>
      <c r="K62" s="231">
        <f t="shared" si="10"/>
        <v>0</v>
      </c>
      <c r="L62" s="231">
        <f t="shared" si="10"/>
        <v>7.4999999999999997E-3</v>
      </c>
      <c r="M62" s="231">
        <f t="shared" si="10"/>
        <v>0</v>
      </c>
      <c r="N62" s="231">
        <f t="shared" si="10"/>
        <v>0</v>
      </c>
      <c r="O62" s="231">
        <f t="shared" si="10"/>
        <v>0</v>
      </c>
      <c r="P62" s="229">
        <f t="shared" si="8"/>
        <v>7.4999999999999997E-3</v>
      </c>
      <c r="Q62" s="230">
        <f>+P62</f>
        <v>7.4999999999999997E-3</v>
      </c>
      <c r="R62" s="226">
        <f t="shared" si="5"/>
        <v>0</v>
      </c>
      <c r="S62" s="217"/>
      <c r="T62" s="217"/>
      <c r="U62" s="217"/>
      <c r="V62" s="217"/>
      <c r="W62" s="217"/>
      <c r="X62" s="217"/>
      <c r="Y62" s="217"/>
      <c r="Z62" s="217"/>
      <c r="AA62" s="217"/>
      <c r="AB62" s="217"/>
      <c r="AC62" s="217"/>
      <c r="AD62" s="217"/>
      <c r="AE62" s="218"/>
    </row>
    <row r="63" spans="1:31" s="219" customFormat="1" ht="18" hidden="1" customHeight="1" x14ac:dyDescent="0.25">
      <c r="A63" s="495" t="str">
        <f t="shared" ref="A63:B63" si="11">A47</f>
        <v>4. Desarrollar un informe de balance general que detalle y evalúe las acciones implementadas bajo la estrategia de transformación cultural durante el año 2024.</v>
      </c>
      <c r="B63" s="497">
        <f t="shared" si="11"/>
        <v>0.02</v>
      </c>
      <c r="C63" s="222" t="s">
        <v>48</v>
      </c>
      <c r="D63" s="223">
        <f>D47*$B$47/$P$47</f>
        <v>0</v>
      </c>
      <c r="E63" s="223">
        <f t="shared" ref="E63:O63" si="12">E47*$B$47/$P$47</f>
        <v>0</v>
      </c>
      <c r="F63" s="223">
        <f t="shared" si="12"/>
        <v>0</v>
      </c>
      <c r="G63" s="223">
        <f t="shared" si="12"/>
        <v>0</v>
      </c>
      <c r="H63" s="223">
        <f t="shared" si="12"/>
        <v>0</v>
      </c>
      <c r="I63" s="223">
        <f t="shared" si="12"/>
        <v>0</v>
      </c>
      <c r="J63" s="223">
        <f t="shared" si="12"/>
        <v>0</v>
      </c>
      <c r="K63" s="223">
        <f t="shared" si="12"/>
        <v>0</v>
      </c>
      <c r="L63" s="223">
        <f t="shared" si="12"/>
        <v>0</v>
      </c>
      <c r="M63" s="223">
        <f t="shared" si="12"/>
        <v>0</v>
      </c>
      <c r="N63" s="223">
        <f t="shared" si="12"/>
        <v>0.01</v>
      </c>
      <c r="O63" s="223">
        <f t="shared" si="12"/>
        <v>0.01</v>
      </c>
      <c r="P63" s="224">
        <f>SUM(D63:O63)</f>
        <v>0.02</v>
      </c>
      <c r="Q63" s="225"/>
      <c r="R63" s="226">
        <f t="shared" si="5"/>
        <v>0.02</v>
      </c>
      <c r="S63" s="217"/>
      <c r="T63" s="217"/>
      <c r="U63" s="217"/>
      <c r="V63" s="217"/>
      <c r="W63" s="217"/>
      <c r="X63" s="217"/>
      <c r="Y63" s="217"/>
      <c r="Z63" s="217"/>
      <c r="AA63" s="217"/>
      <c r="AB63" s="217"/>
      <c r="AC63" s="217"/>
      <c r="AD63" s="217"/>
      <c r="AE63" s="218"/>
    </row>
    <row r="64" spans="1:31" s="219" customFormat="1" ht="18" hidden="1" customHeight="1" thickBot="1" x14ac:dyDescent="0.3">
      <c r="A64" s="496"/>
      <c r="B64" s="498"/>
      <c r="C64" s="232" t="s">
        <v>50</v>
      </c>
      <c r="D64" s="231">
        <f>D48*$B$47/$P$47</f>
        <v>0</v>
      </c>
      <c r="E64" s="231">
        <f t="shared" ref="E64:O64" si="13">E48*$B$47/$P$47</f>
        <v>0</v>
      </c>
      <c r="F64" s="231">
        <f t="shared" si="13"/>
        <v>0</v>
      </c>
      <c r="G64" s="231">
        <f t="shared" si="13"/>
        <v>0</v>
      </c>
      <c r="H64" s="231">
        <f t="shared" si="13"/>
        <v>0</v>
      </c>
      <c r="I64" s="231">
        <f t="shared" si="13"/>
        <v>0</v>
      </c>
      <c r="J64" s="231">
        <f t="shared" si="13"/>
        <v>0</v>
      </c>
      <c r="K64" s="231">
        <f t="shared" si="13"/>
        <v>0</v>
      </c>
      <c r="L64" s="231">
        <f t="shared" si="13"/>
        <v>0</v>
      </c>
      <c r="M64" s="231">
        <f t="shared" si="13"/>
        <v>0</v>
      </c>
      <c r="N64" s="231">
        <f t="shared" si="13"/>
        <v>0</v>
      </c>
      <c r="O64" s="231">
        <f t="shared" si="13"/>
        <v>0</v>
      </c>
      <c r="P64" s="229">
        <f t="shared" si="8"/>
        <v>0</v>
      </c>
      <c r="Q64" s="230"/>
      <c r="R64" s="226">
        <f t="shared" si="5"/>
        <v>0</v>
      </c>
      <c r="S64" s="217"/>
      <c r="T64" s="217"/>
      <c r="U64" s="217"/>
      <c r="V64" s="217"/>
      <c r="W64" s="217"/>
      <c r="X64" s="217"/>
      <c r="Y64" s="217"/>
      <c r="Z64" s="217"/>
      <c r="AA64" s="217"/>
      <c r="AB64" s="217"/>
      <c r="AC64" s="217"/>
      <c r="AD64" s="217"/>
      <c r="AE64" s="218"/>
    </row>
    <row r="65" spans="1:31" s="219" customFormat="1" ht="15" hidden="1" x14ac:dyDescent="0.25">
      <c r="A65" s="491"/>
      <c r="B65" s="493"/>
      <c r="C65" s="233"/>
      <c r="D65" s="223"/>
      <c r="E65" s="223"/>
      <c r="F65" s="223"/>
      <c r="G65" s="223"/>
      <c r="H65" s="223"/>
      <c r="I65" s="223"/>
      <c r="J65" s="223"/>
      <c r="K65" s="223"/>
      <c r="L65" s="223"/>
      <c r="M65" s="223"/>
      <c r="N65" s="223"/>
      <c r="O65" s="223"/>
      <c r="P65" s="234"/>
      <c r="Q65" s="225"/>
      <c r="R65" s="226">
        <f t="shared" si="5"/>
        <v>0</v>
      </c>
      <c r="S65" s="217"/>
      <c r="T65" s="217"/>
      <c r="U65" s="217"/>
      <c r="V65" s="217"/>
      <c r="W65" s="217"/>
      <c r="X65" s="217"/>
      <c r="Y65" s="217"/>
      <c r="Z65" s="217"/>
      <c r="AA65" s="217"/>
      <c r="AB65" s="217"/>
      <c r="AC65" s="217"/>
      <c r="AD65" s="217"/>
      <c r="AE65" s="218"/>
    </row>
    <row r="66" spans="1:31" s="219" customFormat="1" ht="15" hidden="1" x14ac:dyDescent="0.25">
      <c r="A66" s="492"/>
      <c r="B66" s="494"/>
      <c r="C66" s="233"/>
      <c r="D66" s="237"/>
      <c r="E66" s="237"/>
      <c r="F66" s="237"/>
      <c r="G66" s="237"/>
      <c r="H66" s="237"/>
      <c r="I66" s="237"/>
      <c r="J66" s="237"/>
      <c r="K66" s="237"/>
      <c r="L66" s="237"/>
      <c r="M66" s="237"/>
      <c r="N66" s="237"/>
      <c r="O66" s="237"/>
      <c r="P66" s="234"/>
      <c r="Q66" s="230"/>
      <c r="R66" s="226">
        <f t="shared" si="5"/>
        <v>0</v>
      </c>
      <c r="S66" s="217"/>
      <c r="T66" s="217"/>
      <c r="U66" s="217"/>
      <c r="V66" s="217"/>
      <c r="W66" s="217"/>
      <c r="X66" s="217"/>
      <c r="Y66" s="217"/>
      <c r="Z66" s="217"/>
      <c r="AA66" s="217"/>
      <c r="AB66" s="217"/>
      <c r="AC66" s="217"/>
      <c r="AD66" s="217"/>
      <c r="AE66" s="218"/>
    </row>
    <row r="67" spans="1:31" s="219" customFormat="1" ht="15" hidden="1" x14ac:dyDescent="0.25">
      <c r="A67" s="491"/>
      <c r="B67" s="493"/>
      <c r="C67" s="233"/>
      <c r="D67" s="223"/>
      <c r="E67" s="223"/>
      <c r="F67" s="223"/>
      <c r="G67" s="223"/>
      <c r="H67" s="223"/>
      <c r="I67" s="223"/>
      <c r="J67" s="223"/>
      <c r="K67" s="223"/>
      <c r="L67" s="223"/>
      <c r="M67" s="223"/>
      <c r="N67" s="223"/>
      <c r="O67" s="223"/>
      <c r="P67" s="234"/>
      <c r="Q67" s="225"/>
      <c r="R67" s="226">
        <f t="shared" si="5"/>
        <v>0</v>
      </c>
      <c r="S67" s="217"/>
      <c r="T67" s="217"/>
      <c r="U67" s="217"/>
      <c r="V67" s="217"/>
      <c r="W67" s="217"/>
      <c r="X67" s="217"/>
      <c r="Y67" s="217"/>
      <c r="Z67" s="217"/>
      <c r="AA67" s="217"/>
      <c r="AB67" s="217"/>
      <c r="AC67" s="217"/>
      <c r="AD67" s="217"/>
      <c r="AE67" s="218"/>
    </row>
    <row r="68" spans="1:31" s="219" customFormat="1" ht="15" hidden="1" x14ac:dyDescent="0.25">
      <c r="A68" s="492"/>
      <c r="B68" s="494"/>
      <c r="C68" s="233"/>
      <c r="D68" s="237"/>
      <c r="E68" s="237"/>
      <c r="F68" s="237"/>
      <c r="G68" s="237"/>
      <c r="H68" s="237"/>
      <c r="I68" s="237"/>
      <c r="J68" s="237"/>
      <c r="K68" s="237"/>
      <c r="L68" s="237"/>
      <c r="M68" s="237"/>
      <c r="N68" s="237"/>
      <c r="O68" s="237"/>
      <c r="P68" s="234"/>
      <c r="Q68" s="230"/>
      <c r="R68" s="226">
        <f t="shared" si="5"/>
        <v>0</v>
      </c>
      <c r="S68" s="217"/>
      <c r="T68" s="217"/>
      <c r="U68" s="217"/>
      <c r="V68" s="217"/>
      <c r="W68" s="217"/>
      <c r="X68" s="217"/>
      <c r="Y68" s="217"/>
      <c r="Z68" s="217"/>
      <c r="AA68" s="217"/>
      <c r="AB68" s="217"/>
      <c r="AC68" s="217"/>
      <c r="AD68" s="217"/>
      <c r="AE68" s="218"/>
    </row>
    <row r="69" spans="1:31" s="219" customFormat="1" ht="15" hidden="1" x14ac:dyDescent="0.25">
      <c r="A69" s="491"/>
      <c r="B69" s="493"/>
      <c r="C69" s="233"/>
      <c r="D69" s="223"/>
      <c r="E69" s="223"/>
      <c r="F69" s="223"/>
      <c r="G69" s="223"/>
      <c r="H69" s="223"/>
      <c r="I69" s="223"/>
      <c r="J69" s="223"/>
      <c r="K69" s="223"/>
      <c r="L69" s="223"/>
      <c r="M69" s="223"/>
      <c r="N69" s="223"/>
      <c r="O69" s="223"/>
      <c r="P69" s="234"/>
      <c r="Q69" s="225"/>
      <c r="R69" s="226"/>
      <c r="S69" s="217"/>
      <c r="T69" s="217"/>
      <c r="U69" s="217"/>
      <c r="V69" s="217"/>
      <c r="W69" s="217"/>
      <c r="X69" s="217"/>
      <c r="Y69" s="217"/>
      <c r="Z69" s="217"/>
      <c r="AA69" s="217"/>
      <c r="AB69" s="217"/>
      <c r="AC69" s="217"/>
      <c r="AD69" s="217"/>
      <c r="AE69" s="218"/>
    </row>
    <row r="70" spans="1:31" s="219" customFormat="1" ht="15" hidden="1" x14ac:dyDescent="0.25">
      <c r="A70" s="492"/>
      <c r="B70" s="494"/>
      <c r="C70" s="233"/>
      <c r="D70" s="237"/>
      <c r="E70" s="237"/>
      <c r="F70" s="237"/>
      <c r="G70" s="237"/>
      <c r="H70" s="237"/>
      <c r="I70" s="237"/>
      <c r="J70" s="237"/>
      <c r="K70" s="237"/>
      <c r="L70" s="237"/>
      <c r="M70" s="237"/>
      <c r="N70" s="237"/>
      <c r="O70" s="237"/>
      <c r="P70" s="234"/>
      <c r="Q70" s="230"/>
      <c r="R70" s="226"/>
      <c r="S70" s="217"/>
      <c r="T70" s="217"/>
      <c r="U70" s="217"/>
      <c r="V70" s="217"/>
      <c r="W70" s="217"/>
      <c r="X70" s="217"/>
      <c r="Y70" s="217"/>
      <c r="Z70" s="217"/>
      <c r="AA70" s="217"/>
      <c r="AB70" s="217"/>
      <c r="AC70" s="217"/>
      <c r="AD70" s="217"/>
      <c r="AE70" s="218"/>
    </row>
    <row r="71" spans="1:31" s="219" customFormat="1" ht="15" hidden="1" x14ac:dyDescent="0.25">
      <c r="A71" s="216"/>
      <c r="B71" s="238"/>
      <c r="C71" s="239"/>
      <c r="D71" s="240">
        <f>D58+D60+D62+D64</f>
        <v>0</v>
      </c>
      <c r="E71" s="240">
        <f t="shared" ref="E71:O71" si="14">E58+E60+E62+E64</f>
        <v>0</v>
      </c>
      <c r="F71" s="240">
        <f t="shared" si="14"/>
        <v>0</v>
      </c>
      <c r="G71" s="240">
        <f t="shared" si="14"/>
        <v>0</v>
      </c>
      <c r="H71" s="240">
        <f t="shared" si="14"/>
        <v>0</v>
      </c>
      <c r="I71" s="240">
        <f t="shared" si="14"/>
        <v>0</v>
      </c>
      <c r="J71" s="240">
        <f t="shared" si="14"/>
        <v>0</v>
      </c>
      <c r="K71" s="240">
        <f t="shared" si="14"/>
        <v>1.9E-2</v>
      </c>
      <c r="L71" s="240">
        <f t="shared" si="14"/>
        <v>3.4499999999999996E-2</v>
      </c>
      <c r="M71" s="240">
        <f t="shared" si="14"/>
        <v>0</v>
      </c>
      <c r="N71" s="240">
        <f t="shared" si="14"/>
        <v>0</v>
      </c>
      <c r="O71" s="240">
        <f t="shared" si="14"/>
        <v>0</v>
      </c>
      <c r="P71" s="240">
        <f>P58+P60+P62+P64</f>
        <v>5.3499999999999999E-2</v>
      </c>
      <c r="Q71" s="216"/>
      <c r="R71" s="226">
        <f>+P71-Q71</f>
        <v>5.3499999999999999E-2</v>
      </c>
      <c r="S71" s="217"/>
      <c r="T71" s="217"/>
      <c r="U71" s="217"/>
      <c r="V71" s="217"/>
      <c r="W71" s="217"/>
      <c r="X71" s="217"/>
      <c r="Y71" s="217"/>
      <c r="Z71" s="217"/>
      <c r="AA71" s="217"/>
      <c r="AB71" s="217"/>
      <c r="AC71" s="217"/>
      <c r="AD71" s="217"/>
      <c r="AE71" s="218"/>
    </row>
    <row r="72" spans="1:31" s="219" customFormat="1" ht="15" hidden="1" x14ac:dyDescent="0.25">
      <c r="A72" s="216"/>
      <c r="B72" s="241"/>
      <c r="C72" s="242" t="s">
        <v>50</v>
      </c>
      <c r="D72" s="243">
        <f>D71*3/$B$35</f>
        <v>0</v>
      </c>
      <c r="E72" s="243">
        <f t="shared" ref="E72:O72" si="15">E71*3/$B$35</f>
        <v>0</v>
      </c>
      <c r="F72" s="243">
        <f t="shared" si="15"/>
        <v>0</v>
      </c>
      <c r="G72" s="243">
        <f t="shared" si="15"/>
        <v>0</v>
      </c>
      <c r="H72" s="243">
        <f t="shared" si="15"/>
        <v>0</v>
      </c>
      <c r="I72" s="243">
        <f t="shared" si="15"/>
        <v>0</v>
      </c>
      <c r="J72" s="243">
        <f t="shared" si="15"/>
        <v>0</v>
      </c>
      <c r="K72" s="243">
        <f t="shared" si="15"/>
        <v>0.56999999999999995</v>
      </c>
      <c r="L72" s="243">
        <f t="shared" si="15"/>
        <v>1.0349999999999997</v>
      </c>
      <c r="M72" s="243">
        <f t="shared" si="15"/>
        <v>0</v>
      </c>
      <c r="N72" s="243">
        <f t="shared" si="15"/>
        <v>0</v>
      </c>
      <c r="O72" s="243">
        <f t="shared" si="15"/>
        <v>0</v>
      </c>
      <c r="P72" s="244">
        <f>SUM(D72:O72)</f>
        <v>1.6049999999999995</v>
      </c>
      <c r="Q72" s="245"/>
      <c r="R72" s="216"/>
      <c r="S72" s="217"/>
      <c r="T72" s="217"/>
      <c r="U72" s="217"/>
      <c r="V72" s="217"/>
      <c r="W72" s="217"/>
      <c r="X72" s="217"/>
      <c r="Y72" s="217"/>
      <c r="Z72" s="217"/>
      <c r="AA72" s="217"/>
      <c r="AB72" s="217"/>
      <c r="AC72" s="217"/>
      <c r="AD72" s="217"/>
      <c r="AE72" s="218"/>
    </row>
    <row r="73" spans="1:31" s="219" customFormat="1" ht="15" hidden="1" x14ac:dyDescent="0.25">
      <c r="A73" s="245"/>
      <c r="B73" s="246"/>
      <c r="C73" s="246"/>
      <c r="D73" s="246"/>
      <c r="E73" s="246"/>
      <c r="F73" s="246"/>
      <c r="G73" s="246"/>
      <c r="H73" s="246"/>
      <c r="I73" s="246"/>
      <c r="J73" s="246"/>
      <c r="K73" s="246"/>
      <c r="L73" s="246"/>
      <c r="M73" s="246"/>
      <c r="N73" s="246"/>
      <c r="O73" s="246"/>
      <c r="P73" s="246"/>
      <c r="Q73" s="245"/>
      <c r="R73" s="245"/>
      <c r="S73" s="217"/>
      <c r="T73" s="217"/>
      <c r="U73" s="217"/>
      <c r="V73" s="217"/>
      <c r="W73" s="217"/>
      <c r="X73" s="217"/>
      <c r="Y73" s="217"/>
      <c r="Z73" s="217"/>
      <c r="AA73" s="217"/>
      <c r="AB73" s="217"/>
      <c r="AC73" s="217"/>
      <c r="AD73" s="217"/>
      <c r="AE73" s="218"/>
    </row>
    <row r="74" spans="1:31" s="219" customFormat="1" ht="15" hidden="1" x14ac:dyDescent="0.25">
      <c r="A74" s="225"/>
      <c r="B74" s="247"/>
      <c r="C74" s="247"/>
      <c r="D74" s="240">
        <f>+D57+D59+D61+D63</f>
        <v>0</v>
      </c>
      <c r="E74" s="240">
        <f t="shared" ref="E74:O74" si="16">+E57+E59+E61+E63</f>
        <v>0</v>
      </c>
      <c r="F74" s="240">
        <f t="shared" si="16"/>
        <v>0</v>
      </c>
      <c r="G74" s="240">
        <f t="shared" si="16"/>
        <v>0</v>
      </c>
      <c r="H74" s="240">
        <f t="shared" si="16"/>
        <v>0</v>
      </c>
      <c r="I74" s="240">
        <f t="shared" si="16"/>
        <v>0</v>
      </c>
      <c r="J74" s="240">
        <f t="shared" si="16"/>
        <v>0</v>
      </c>
      <c r="K74" s="240">
        <f t="shared" si="16"/>
        <v>1.9E-2</v>
      </c>
      <c r="L74" s="240">
        <f t="shared" si="16"/>
        <v>3.4499999999999996E-2</v>
      </c>
      <c r="M74" s="240">
        <f t="shared" si="16"/>
        <v>1.15E-2</v>
      </c>
      <c r="N74" s="240">
        <f t="shared" si="16"/>
        <v>1.7500000000000002E-2</v>
      </c>
      <c r="O74" s="240">
        <f t="shared" si="16"/>
        <v>1.7500000000000002E-2</v>
      </c>
      <c r="P74" s="240">
        <f t="shared" ref="P74" si="17">+P57+P59+P61+P63</f>
        <v>0.1</v>
      </c>
      <c r="Q74" s="225"/>
      <c r="R74" s="225"/>
      <c r="S74" s="217"/>
      <c r="T74" s="217"/>
      <c r="U74" s="217"/>
      <c r="V74" s="217"/>
      <c r="W74" s="217"/>
      <c r="X74" s="217"/>
      <c r="Y74" s="217"/>
      <c r="Z74" s="217"/>
      <c r="AA74" s="217"/>
      <c r="AB74" s="217"/>
      <c r="AC74" s="217"/>
      <c r="AD74" s="217"/>
      <c r="AE74" s="218"/>
    </row>
    <row r="75" spans="1:31" s="219" customFormat="1" ht="15" hidden="1" x14ac:dyDescent="0.25">
      <c r="A75" s="225"/>
      <c r="B75" s="247"/>
      <c r="C75" s="242" t="s">
        <v>48</v>
      </c>
      <c r="D75" s="243">
        <f>D74*3/$B$35</f>
        <v>0</v>
      </c>
      <c r="E75" s="243">
        <f t="shared" ref="E75:O75" si="18">E74*3/$B$35</f>
        <v>0</v>
      </c>
      <c r="F75" s="243">
        <f t="shared" si="18"/>
        <v>0</v>
      </c>
      <c r="G75" s="243">
        <f t="shared" si="18"/>
        <v>0</v>
      </c>
      <c r="H75" s="243">
        <f t="shared" si="18"/>
        <v>0</v>
      </c>
      <c r="I75" s="243">
        <f t="shared" si="18"/>
        <v>0</v>
      </c>
      <c r="J75" s="243">
        <f t="shared" si="18"/>
        <v>0</v>
      </c>
      <c r="K75" s="243">
        <f t="shared" si="18"/>
        <v>0.56999999999999995</v>
      </c>
      <c r="L75" s="243">
        <f t="shared" si="18"/>
        <v>1.0349999999999997</v>
      </c>
      <c r="M75" s="243">
        <f t="shared" si="18"/>
        <v>0.34500000000000003</v>
      </c>
      <c r="N75" s="243">
        <f t="shared" si="18"/>
        <v>0.52500000000000002</v>
      </c>
      <c r="O75" s="243">
        <f t="shared" si="18"/>
        <v>0.52500000000000002</v>
      </c>
      <c r="P75" s="244">
        <f>SUM(D75:O75)</f>
        <v>2.9999999999999996</v>
      </c>
      <c r="Q75" s="225"/>
      <c r="R75" s="225"/>
      <c r="S75" s="217"/>
      <c r="T75" s="217"/>
      <c r="U75" s="217"/>
      <c r="V75" s="217"/>
      <c r="W75" s="217"/>
      <c r="X75" s="217"/>
      <c r="Y75" s="217"/>
      <c r="Z75" s="217"/>
      <c r="AA75" s="217"/>
      <c r="AB75" s="217"/>
      <c r="AC75" s="217"/>
      <c r="AD75" s="217"/>
      <c r="AE75" s="218"/>
    </row>
    <row r="76" spans="1:31" s="219" customFormat="1" ht="15" hidden="1" x14ac:dyDescent="0.25">
      <c r="A76" s="217"/>
      <c r="Q76" s="217"/>
      <c r="R76" s="217"/>
      <c r="S76" s="217"/>
      <c r="T76" s="217"/>
      <c r="U76" s="217"/>
      <c r="V76" s="217"/>
      <c r="W76" s="217"/>
      <c r="X76" s="217"/>
      <c r="Y76" s="217"/>
      <c r="Z76" s="217"/>
      <c r="AA76" s="217"/>
      <c r="AB76" s="217"/>
      <c r="AC76" s="217"/>
      <c r="AD76" s="217"/>
      <c r="AE76" s="218"/>
    </row>
    <row r="77" spans="1:31" s="219" customFormat="1" ht="15" hidden="1" x14ac:dyDescent="0.25">
      <c r="A77" s="217"/>
      <c r="Q77" s="217"/>
      <c r="R77" s="217"/>
      <c r="S77" s="217"/>
      <c r="T77" s="217"/>
      <c r="U77" s="217"/>
      <c r="V77" s="217"/>
      <c r="W77" s="217"/>
      <c r="X77" s="217"/>
      <c r="Y77" s="217"/>
      <c r="Z77" s="217"/>
      <c r="AA77" s="217"/>
      <c r="AB77" s="217"/>
      <c r="AC77" s="217"/>
      <c r="AD77" s="217"/>
      <c r="AE77" s="218"/>
    </row>
    <row r="78" spans="1:31" s="219" customFormat="1" ht="15" hidden="1" x14ac:dyDescent="0.25">
      <c r="A78" s="217"/>
      <c r="Q78" s="217"/>
      <c r="R78" s="217"/>
      <c r="S78" s="217"/>
      <c r="T78" s="217"/>
      <c r="U78" s="217"/>
      <c r="V78" s="217"/>
      <c r="W78" s="217"/>
      <c r="X78" s="217"/>
      <c r="Y78" s="217"/>
      <c r="Z78" s="217"/>
      <c r="AA78" s="217"/>
      <c r="AB78" s="217"/>
      <c r="AC78" s="217"/>
      <c r="AD78" s="217"/>
      <c r="AE78" s="218"/>
    </row>
    <row r="79" spans="1:31" hidden="1" x14ac:dyDescent="0.25">
      <c r="Q79" s="215"/>
      <c r="R79" s="215"/>
      <c r="S79" s="215"/>
      <c r="T79" s="215"/>
      <c r="U79" s="215"/>
      <c r="V79" s="215"/>
      <c r="W79" s="215"/>
      <c r="X79" s="215"/>
      <c r="Y79" s="215"/>
      <c r="Z79" s="215"/>
      <c r="AA79" s="215"/>
      <c r="AB79" s="215"/>
      <c r="AC79" s="215"/>
      <c r="AD79" s="215"/>
      <c r="AE79" s="215"/>
    </row>
    <row r="80" spans="1:31" x14ac:dyDescent="0.25">
      <c r="Q80" s="215"/>
      <c r="R80" s="215"/>
      <c r="S80" s="215"/>
      <c r="T80" s="215"/>
      <c r="U80" s="215"/>
      <c r="V80" s="215"/>
      <c r="W80" s="215"/>
      <c r="X80" s="215"/>
      <c r="Y80" s="215"/>
      <c r="Z80" s="215"/>
      <c r="AA80" s="215"/>
      <c r="AB80" s="215"/>
      <c r="AC80" s="215"/>
      <c r="AD80" s="215"/>
      <c r="AE80" s="215"/>
    </row>
    <row r="81" spans="12:31" x14ac:dyDescent="0.25">
      <c r="Q81" s="215"/>
      <c r="R81" s="215"/>
      <c r="S81" s="215"/>
      <c r="T81" s="215"/>
      <c r="U81" s="215"/>
      <c r="V81" s="215"/>
      <c r="W81" s="215"/>
      <c r="X81" s="215"/>
      <c r="Y81" s="215"/>
      <c r="Z81" s="215"/>
      <c r="AA81" s="215"/>
      <c r="AB81" s="215"/>
      <c r="AC81" s="215"/>
      <c r="AD81" s="215"/>
      <c r="AE81" s="215"/>
    </row>
    <row r="82" spans="12:31" x14ac:dyDescent="0.25">
      <c r="Q82" s="215"/>
      <c r="R82" s="215"/>
      <c r="S82" s="215"/>
      <c r="T82" s="215"/>
      <c r="U82" s="215"/>
      <c r="V82" s="215"/>
      <c r="W82" s="215"/>
      <c r="X82" s="215"/>
      <c r="Y82" s="215"/>
      <c r="Z82" s="215"/>
      <c r="AA82" s="215"/>
      <c r="AB82" s="215"/>
      <c r="AC82" s="215"/>
      <c r="AD82" s="215"/>
      <c r="AE82" s="215"/>
    </row>
    <row r="83" spans="12:31" x14ac:dyDescent="0.25">
      <c r="Q83" s="215"/>
      <c r="R83" s="215"/>
      <c r="S83" s="215"/>
      <c r="T83" s="215"/>
      <c r="U83" s="215"/>
      <c r="V83" s="215"/>
      <c r="W83" s="215"/>
      <c r="X83" s="215"/>
      <c r="Y83" s="215"/>
      <c r="Z83" s="215"/>
      <c r="AA83" s="215"/>
      <c r="AB83" s="215"/>
      <c r="AC83" s="215"/>
      <c r="AD83" s="215"/>
      <c r="AE83" s="215"/>
    </row>
    <row r="84" spans="12:31" x14ac:dyDescent="0.25">
      <c r="Q84" s="215"/>
      <c r="R84" s="215"/>
      <c r="S84" s="215"/>
      <c r="T84" s="215"/>
      <c r="U84" s="215"/>
      <c r="V84" s="215"/>
      <c r="W84" s="215"/>
      <c r="X84" s="215"/>
      <c r="Y84" s="215"/>
      <c r="Z84" s="215"/>
      <c r="AA84" s="215"/>
      <c r="AB84" s="215"/>
      <c r="AC84" s="215"/>
      <c r="AD84" s="215"/>
      <c r="AE84" s="215"/>
    </row>
    <row r="96" spans="12:31" x14ac:dyDescent="0.25">
      <c r="L96" s="125">
        <v>31</v>
      </c>
      <c r="M96" s="125">
        <v>7.5</v>
      </c>
      <c r="N96" s="125">
        <v>7.5</v>
      </c>
      <c r="O96" s="125">
        <v>17.5</v>
      </c>
      <c r="P96" s="125">
        <v>17.5</v>
      </c>
    </row>
  </sheetData>
  <mergeCells count="101">
    <mergeCell ref="A43:A44"/>
    <mergeCell ref="B43:B44"/>
    <mergeCell ref="Q43:X44"/>
    <mergeCell ref="Y43:AE44"/>
    <mergeCell ref="A45:A46"/>
    <mergeCell ref="B45:B46"/>
    <mergeCell ref="Q45:X46"/>
    <mergeCell ref="Y45:AE46"/>
    <mergeCell ref="A47:A48"/>
    <mergeCell ref="B47:B48"/>
    <mergeCell ref="Q47:X48"/>
    <mergeCell ref="Y47:AE48"/>
    <mergeCell ref="Q39:AE39"/>
    <mergeCell ref="Q40:X40"/>
    <mergeCell ref="Y40:AE40"/>
    <mergeCell ref="A35:A36"/>
    <mergeCell ref="B35:B36"/>
    <mergeCell ref="Q35:T36"/>
    <mergeCell ref="U35:X36"/>
    <mergeCell ref="Y35:AB36"/>
    <mergeCell ref="A41:A42"/>
    <mergeCell ref="B41:B42"/>
    <mergeCell ref="Q41:X42"/>
    <mergeCell ref="Y41:AE42"/>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AA15:AE15"/>
    <mergeCell ref="O7:P7"/>
    <mergeCell ref="M8:N8"/>
    <mergeCell ref="O8:P8"/>
    <mergeCell ref="M9:N9"/>
    <mergeCell ref="O9:P9"/>
    <mergeCell ref="A15:B15"/>
    <mergeCell ref="C15:K15"/>
    <mergeCell ref="L15:Q15"/>
    <mergeCell ref="R15:X15"/>
    <mergeCell ref="Y15:Z1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G35:AJ36"/>
    <mergeCell ref="A65:A66"/>
    <mergeCell ref="B65:B66"/>
    <mergeCell ref="A67:A68"/>
    <mergeCell ref="B67:B68"/>
    <mergeCell ref="A69:A70"/>
    <mergeCell ref="B69:B70"/>
    <mergeCell ref="A59:A60"/>
    <mergeCell ref="B59:B60"/>
    <mergeCell ref="A61:A62"/>
    <mergeCell ref="B61:B62"/>
    <mergeCell ref="A63:A64"/>
    <mergeCell ref="B63:B64"/>
    <mergeCell ref="A55:A56"/>
    <mergeCell ref="B55:B56"/>
    <mergeCell ref="C55:P55"/>
    <mergeCell ref="A57:A58"/>
    <mergeCell ref="B57:B58"/>
    <mergeCell ref="AC35:AE36"/>
    <mergeCell ref="A38:AE38"/>
    <mergeCell ref="A39:A40"/>
    <mergeCell ref="B39:B40"/>
    <mergeCell ref="C39:C40"/>
    <mergeCell ref="D39:P39"/>
  </mergeCells>
  <dataValidations count="3">
    <dataValidation type="list" allowBlank="1" showInputMessage="1" showErrorMessage="1" sqref="C7" xr:uid="{39538307-F343-48D1-A5B2-EBFF1DC531F2}">
      <formula1>$B$21:$M$21</formula1>
    </dataValidation>
    <dataValidation type="textLength" operator="lessThanOrEqual" allowBlank="1" showInputMessage="1" showErrorMessage="1" errorTitle="Máximo 2.000 caracteres" error="Máximo 2.000 caracteres" promptTitle="2.000 caracteres" sqref="Q30:Q31" xr:uid="{68D3F2C7-9CA0-4B83-A491-133FD41EE2AD}">
      <formula1>2000</formula1>
    </dataValidation>
    <dataValidation type="textLength" operator="lessThanOrEqual" allowBlank="1" showInputMessage="1" showErrorMessage="1" errorTitle="Máximo 2.000 caracteres" error="Máximo 2.000 caracteres" sqref="AC35 Q35 Q47 Q45 Q41 Q43 U35 AG35" xr:uid="{14A3AC6F-AE52-4CC4-97AB-014BB2E52FAB}">
      <formula1>2000</formula1>
    </dataValidation>
  </dataValidations>
  <hyperlinks>
    <hyperlink ref="Y41" r:id="rId1" display="Agosto _x000a_https://secretariadistritald.sharepoint.com/:f:/s/BogotCaminaSegura/ErEYkwm3ZTJHgHmDcbYV18ABhV2_Xm_hLA5SR1cNmQ7m6g?e=chq82o_x000a__x000a_Septiembre _x000a_https://secretariadistritald.sharepoint.com/:x:/s/BogotCaminaSegura/EaDU3BJQhNpJv49HYDBPXrAB32MnXH7VttTZG2jupg" xr:uid="{0D1EF0C7-7AF5-43DE-8494-090110B7DEF1}"/>
    <hyperlink ref="Y43" r:id="rId2" display="Agosto _x000a_https://secretariadistritald.sharepoint.com/:f:/s/BogotCaminaSegura/EjqAGpGrq4FOjG9Opvdc9yoBUeNBDQZiQUOhsXHdCXtTeQ?e=Sg7VNj_x000a__x000a_Septiembre._x000a_https://secretariadistritald.sharepoint.com/:b:/s/BogotCaminaSegura/EcOOl3MsjxdHiwJpPbmv7F0B8cCGq1_P9VbGx8RFKw" xr:uid="{DFF4A4E8-D2B1-415A-9BB4-B00C26A3E0F1}"/>
  </hyperlinks>
  <printOptions horizontalCentered="1"/>
  <pageMargins left="0.39370078740157483" right="0.39370078740157483" top="0.39370078740157483" bottom="0.39370078740157483" header="0" footer="0"/>
  <pageSetup scale="20"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ED4D352F-9517-4FB7-9C80-630FAA8A0349}">
          <x14:formula1>
            <xm:f>listas!$C$2:$C$20</xm:f>
          </x14:formula1>
          <xm:sqref>AA15:AE15</xm:sqref>
        </x14:dataValidation>
        <x14:dataValidation type="list" allowBlank="1" showInputMessage="1" showErrorMessage="1" xr:uid="{7EC779E5-8252-4901-A58F-0DD7D9E4F33E}">
          <x14:formula1>
            <xm:f>listas!$B$2:$B$8</xm:f>
          </x14:formula1>
          <xm:sqref>R15:X15</xm:sqref>
        </x14:dataValidation>
        <x14:dataValidation type="list" allowBlank="1" showInputMessage="1" showErrorMessage="1" xr:uid="{EF9DE93E-B784-4311-8E85-55607BEF5690}">
          <x14:formula1>
            <xm:f>listas!$A$2:$A$6</xm:f>
          </x14:formula1>
          <xm:sqref>C15:K15</xm:sqref>
        </x14:dataValidation>
        <x14:dataValidation type="list" allowBlank="1" showInputMessage="1" showErrorMessage="1" xr:uid="{7F67B074-10FD-4807-A2D6-C0F3B30859A4}">
          <x14:formula1>
            <xm:f>listas!$D$2:$D$15</xm:f>
          </x14:formula1>
          <xm:sqref>C11:AE13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E674EC"/>
    <pageSetUpPr fitToPage="1"/>
  </sheetPr>
  <dimension ref="A1:AO84"/>
  <sheetViews>
    <sheetView showGridLines="0" tabSelected="1" view="pageBreakPreview" topLeftCell="J13" zoomScale="60" zoomScaleNormal="60" workbookViewId="0">
      <selection activeCell="A27" sqref="A27:AE27"/>
    </sheetView>
  </sheetViews>
  <sheetFormatPr baseColWidth="10" defaultColWidth="10.85546875" defaultRowHeight="14.25" x14ac:dyDescent="0.25"/>
  <cols>
    <col min="1" max="1" width="47.140625" style="125" customWidth="1"/>
    <col min="2" max="2" width="18.28515625" style="188" customWidth="1"/>
    <col min="3" max="14" width="20.7109375" style="125" customWidth="1"/>
    <col min="15" max="15" width="20.5703125" style="125" customWidth="1"/>
    <col min="16" max="16" width="32.42578125" style="125" customWidth="1"/>
    <col min="17" max="27" width="18.140625" style="125" customWidth="1"/>
    <col min="28" max="28" width="22.7109375" style="125" customWidth="1"/>
    <col min="29" max="29" width="19" style="125" customWidth="1"/>
    <col min="30" max="30" width="19.42578125" style="125" customWidth="1"/>
    <col min="31" max="31" width="20.5703125" style="125" customWidth="1"/>
    <col min="32" max="32" width="22.85546875" style="125" customWidth="1"/>
    <col min="33" max="33" width="18.42578125" style="125" bestFit="1" customWidth="1"/>
    <col min="34" max="34" width="8.42578125" style="125" customWidth="1"/>
    <col min="35" max="35" width="18.42578125" style="125" bestFit="1" customWidth="1"/>
    <col min="36" max="36" width="5.7109375" style="125" customWidth="1"/>
    <col min="37" max="37" width="18.42578125" style="125" bestFit="1" customWidth="1"/>
    <col min="38" max="38" width="4.7109375" style="125" customWidth="1"/>
    <col min="39" max="39" width="23" style="125" bestFit="1" customWidth="1"/>
    <col min="40" max="40" width="10.85546875" style="125"/>
    <col min="41" max="41" width="18.42578125" style="125" bestFit="1" customWidth="1"/>
    <col min="42" max="42" width="16.140625" style="125" customWidth="1"/>
    <col min="43" max="16384" width="10.85546875" style="125"/>
  </cols>
  <sheetData>
    <row r="1" spans="1:31" ht="32.25" customHeight="1" thickBot="1" x14ac:dyDescent="0.3">
      <c r="A1" s="522"/>
      <c r="B1" s="525" t="s">
        <v>121</v>
      </c>
      <c r="C1" s="526"/>
      <c r="D1" s="526"/>
      <c r="E1" s="526"/>
      <c r="F1" s="526"/>
      <c r="G1" s="526"/>
      <c r="H1" s="526"/>
      <c r="I1" s="526"/>
      <c r="J1" s="526"/>
      <c r="K1" s="526"/>
      <c r="L1" s="526"/>
      <c r="M1" s="526"/>
      <c r="N1" s="526"/>
      <c r="O1" s="526"/>
      <c r="P1" s="526"/>
      <c r="Q1" s="526"/>
      <c r="R1" s="526"/>
      <c r="S1" s="526"/>
      <c r="T1" s="526"/>
      <c r="U1" s="526"/>
      <c r="V1" s="526"/>
      <c r="W1" s="526"/>
      <c r="X1" s="526"/>
      <c r="Y1" s="526"/>
      <c r="Z1" s="526"/>
      <c r="AA1" s="527"/>
      <c r="AB1" s="685" t="s">
        <v>122</v>
      </c>
      <c r="AC1" s="686"/>
      <c r="AD1" s="686"/>
      <c r="AE1" s="687"/>
    </row>
    <row r="2" spans="1:31" ht="30.75" customHeight="1" thickBot="1" x14ac:dyDescent="0.3">
      <c r="A2" s="523"/>
      <c r="B2" s="525" t="s">
        <v>123</v>
      </c>
      <c r="C2" s="526"/>
      <c r="D2" s="526"/>
      <c r="E2" s="526"/>
      <c r="F2" s="526"/>
      <c r="G2" s="526"/>
      <c r="H2" s="526"/>
      <c r="I2" s="526"/>
      <c r="J2" s="526"/>
      <c r="K2" s="526"/>
      <c r="L2" s="526"/>
      <c r="M2" s="526"/>
      <c r="N2" s="526"/>
      <c r="O2" s="526"/>
      <c r="P2" s="526"/>
      <c r="Q2" s="526"/>
      <c r="R2" s="526"/>
      <c r="S2" s="526"/>
      <c r="T2" s="526"/>
      <c r="U2" s="526"/>
      <c r="V2" s="526"/>
      <c r="W2" s="526"/>
      <c r="X2" s="526"/>
      <c r="Y2" s="526"/>
      <c r="Z2" s="526"/>
      <c r="AA2" s="527"/>
      <c r="AB2" s="685" t="s">
        <v>124</v>
      </c>
      <c r="AC2" s="686"/>
      <c r="AD2" s="686"/>
      <c r="AE2" s="687"/>
    </row>
    <row r="3" spans="1:31" ht="24" customHeight="1" thickBot="1" x14ac:dyDescent="0.3">
      <c r="A3" s="523"/>
      <c r="B3" s="531" t="s">
        <v>125</v>
      </c>
      <c r="C3" s="532"/>
      <c r="D3" s="532"/>
      <c r="E3" s="532"/>
      <c r="F3" s="532"/>
      <c r="G3" s="532"/>
      <c r="H3" s="532"/>
      <c r="I3" s="532"/>
      <c r="J3" s="532"/>
      <c r="K3" s="532"/>
      <c r="L3" s="532"/>
      <c r="M3" s="532"/>
      <c r="N3" s="532"/>
      <c r="O3" s="532"/>
      <c r="P3" s="532"/>
      <c r="Q3" s="532"/>
      <c r="R3" s="532"/>
      <c r="S3" s="532"/>
      <c r="T3" s="532"/>
      <c r="U3" s="532"/>
      <c r="V3" s="532"/>
      <c r="W3" s="532"/>
      <c r="X3" s="532"/>
      <c r="Y3" s="532"/>
      <c r="Z3" s="532"/>
      <c r="AA3" s="533"/>
      <c r="AB3" s="685" t="s">
        <v>126</v>
      </c>
      <c r="AC3" s="686"/>
      <c r="AD3" s="686"/>
      <c r="AE3" s="687"/>
    </row>
    <row r="4" spans="1:31" ht="21.75" customHeight="1" thickBot="1" x14ac:dyDescent="0.3">
      <c r="A4" s="524"/>
      <c r="B4" s="534"/>
      <c r="C4" s="535"/>
      <c r="D4" s="535"/>
      <c r="E4" s="535"/>
      <c r="F4" s="535"/>
      <c r="G4" s="535"/>
      <c r="H4" s="535"/>
      <c r="I4" s="535"/>
      <c r="J4" s="535"/>
      <c r="K4" s="535"/>
      <c r="L4" s="535"/>
      <c r="M4" s="535"/>
      <c r="N4" s="535"/>
      <c r="O4" s="535"/>
      <c r="P4" s="535"/>
      <c r="Q4" s="535"/>
      <c r="R4" s="535"/>
      <c r="S4" s="535"/>
      <c r="T4" s="535"/>
      <c r="U4" s="535"/>
      <c r="V4" s="535"/>
      <c r="W4" s="535"/>
      <c r="X4" s="535"/>
      <c r="Y4" s="535"/>
      <c r="Z4" s="535"/>
      <c r="AA4" s="536"/>
      <c r="AB4" s="685" t="s">
        <v>127</v>
      </c>
      <c r="AC4" s="686"/>
      <c r="AD4" s="686"/>
      <c r="AE4" s="687"/>
    </row>
    <row r="5" spans="1:31" ht="9" customHeight="1" thickBot="1" x14ac:dyDescent="0.3">
      <c r="A5" s="17"/>
      <c r="B5" s="172"/>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31" ht="9" customHeight="1" thickBot="1" x14ac:dyDescent="0.3">
      <c r="A6" s="23"/>
      <c r="B6" s="34"/>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31" ht="13.9" customHeight="1" x14ac:dyDescent="0.25">
      <c r="A7" s="537" t="s">
        <v>4</v>
      </c>
      <c r="B7" s="538"/>
      <c r="C7" s="549" t="s">
        <v>128</v>
      </c>
      <c r="D7" s="552" t="s">
        <v>6</v>
      </c>
      <c r="E7" s="553"/>
      <c r="F7" s="553"/>
      <c r="G7" s="553"/>
      <c r="H7" s="554"/>
      <c r="I7" s="561">
        <v>45568</v>
      </c>
      <c r="J7" s="562"/>
      <c r="K7" s="552" t="s">
        <v>8</v>
      </c>
      <c r="L7" s="554"/>
      <c r="M7" s="567" t="s">
        <v>129</v>
      </c>
      <c r="N7" s="568"/>
      <c r="O7" s="572"/>
      <c r="P7" s="573"/>
      <c r="Q7" s="20"/>
      <c r="R7" s="20"/>
      <c r="S7" s="20"/>
      <c r="T7" s="20"/>
      <c r="U7" s="20"/>
      <c r="V7" s="20"/>
      <c r="W7" s="20"/>
      <c r="X7" s="20"/>
      <c r="Y7" s="20"/>
      <c r="Z7" s="20"/>
      <c r="AA7" s="20"/>
      <c r="AB7" s="20"/>
      <c r="AD7" s="21"/>
      <c r="AE7" s="22"/>
    </row>
    <row r="8" spans="1:31" ht="13.9" customHeight="1" x14ac:dyDescent="0.25">
      <c r="A8" s="539"/>
      <c r="B8" s="540"/>
      <c r="C8" s="550"/>
      <c r="D8" s="555"/>
      <c r="E8" s="556"/>
      <c r="F8" s="556"/>
      <c r="G8" s="556"/>
      <c r="H8" s="557"/>
      <c r="I8" s="563"/>
      <c r="J8" s="564"/>
      <c r="K8" s="555"/>
      <c r="L8" s="557"/>
      <c r="M8" s="574" t="s">
        <v>130</v>
      </c>
      <c r="N8" s="575"/>
      <c r="O8" s="576" t="s">
        <v>131</v>
      </c>
      <c r="P8" s="577"/>
      <c r="Q8" s="20"/>
      <c r="R8" s="20"/>
      <c r="S8" s="20"/>
      <c r="T8" s="20"/>
      <c r="U8" s="20"/>
      <c r="V8" s="20"/>
      <c r="W8" s="20"/>
      <c r="X8" s="20"/>
      <c r="Y8" s="20"/>
      <c r="Z8" s="20"/>
      <c r="AA8" s="20"/>
      <c r="AB8" s="20"/>
      <c r="AD8" s="21"/>
      <c r="AE8" s="22"/>
    </row>
    <row r="9" spans="1:31" ht="14.45" customHeight="1" thickBot="1" x14ac:dyDescent="0.3">
      <c r="A9" s="541"/>
      <c r="B9" s="542"/>
      <c r="C9" s="551"/>
      <c r="D9" s="558"/>
      <c r="E9" s="559"/>
      <c r="F9" s="559"/>
      <c r="G9" s="559"/>
      <c r="H9" s="560"/>
      <c r="I9" s="565"/>
      <c r="J9" s="566"/>
      <c r="K9" s="558"/>
      <c r="L9" s="560"/>
      <c r="M9" s="578" t="s">
        <v>132</v>
      </c>
      <c r="N9" s="579"/>
      <c r="O9" s="580" t="s">
        <v>131</v>
      </c>
      <c r="P9" s="581"/>
      <c r="Q9" s="20"/>
      <c r="R9" s="20"/>
      <c r="S9" s="20"/>
      <c r="T9" s="20"/>
      <c r="U9" s="20"/>
      <c r="V9" s="20"/>
      <c r="W9" s="20"/>
      <c r="X9" s="20"/>
      <c r="Y9" s="20"/>
      <c r="Z9" s="20"/>
      <c r="AA9" s="20"/>
      <c r="AB9" s="20"/>
      <c r="AD9" s="21"/>
      <c r="AE9" s="22"/>
    </row>
    <row r="10" spans="1:31" ht="15" customHeight="1" thickBot="1" x14ac:dyDescent="0.3">
      <c r="A10" s="24"/>
      <c r="B10" s="26"/>
      <c r="C10" s="25"/>
      <c r="D10" s="26"/>
      <c r="E10" s="26"/>
      <c r="F10" s="26"/>
      <c r="G10" s="26"/>
      <c r="H10" s="26"/>
      <c r="I10" s="186"/>
      <c r="J10" s="186"/>
      <c r="K10" s="26"/>
      <c r="L10" s="26"/>
      <c r="M10" s="187"/>
      <c r="N10" s="187"/>
      <c r="O10" s="188"/>
      <c r="P10" s="188"/>
      <c r="Q10" s="25"/>
      <c r="R10" s="25"/>
      <c r="S10" s="25"/>
      <c r="T10" s="25"/>
      <c r="U10" s="25"/>
      <c r="V10" s="25"/>
      <c r="W10" s="25"/>
      <c r="X10" s="25"/>
      <c r="Y10" s="25"/>
      <c r="Z10" s="25"/>
      <c r="AA10" s="25"/>
      <c r="AB10" s="25"/>
      <c r="AD10" s="28"/>
      <c r="AE10" s="29"/>
    </row>
    <row r="11" spans="1:31" ht="15" customHeight="1" x14ac:dyDescent="0.25">
      <c r="A11" s="537" t="s">
        <v>10</v>
      </c>
      <c r="B11" s="538"/>
      <c r="C11" s="510" t="s">
        <v>133</v>
      </c>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2"/>
    </row>
    <row r="12" spans="1:31" ht="15" customHeight="1" x14ac:dyDescent="0.25">
      <c r="A12" s="539"/>
      <c r="B12" s="540"/>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5"/>
    </row>
    <row r="13" spans="1:31" ht="15" customHeight="1" thickBot="1" x14ac:dyDescent="0.3">
      <c r="A13" s="541"/>
      <c r="B13" s="542"/>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8"/>
    </row>
    <row r="14" spans="1:31"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31" ht="39" customHeight="1" thickBot="1" x14ac:dyDescent="0.3">
      <c r="A15" s="582" t="s">
        <v>12</v>
      </c>
      <c r="B15" s="583"/>
      <c r="C15" s="584" t="s">
        <v>134</v>
      </c>
      <c r="D15" s="585"/>
      <c r="E15" s="585"/>
      <c r="F15" s="585"/>
      <c r="G15" s="585"/>
      <c r="H15" s="585"/>
      <c r="I15" s="585"/>
      <c r="J15" s="585"/>
      <c r="K15" s="586"/>
      <c r="L15" s="587" t="s">
        <v>14</v>
      </c>
      <c r="M15" s="588"/>
      <c r="N15" s="588"/>
      <c r="O15" s="588"/>
      <c r="P15" s="588"/>
      <c r="Q15" s="589"/>
      <c r="R15" s="590" t="s">
        <v>135</v>
      </c>
      <c r="S15" s="591"/>
      <c r="T15" s="591"/>
      <c r="U15" s="591"/>
      <c r="V15" s="591"/>
      <c r="W15" s="591"/>
      <c r="X15" s="592"/>
      <c r="Y15" s="587" t="s">
        <v>15</v>
      </c>
      <c r="Z15" s="589"/>
      <c r="AA15" s="569" t="s">
        <v>136</v>
      </c>
      <c r="AB15" s="570"/>
      <c r="AC15" s="570"/>
      <c r="AD15" s="570"/>
      <c r="AE15" s="571"/>
    </row>
    <row r="16" spans="1:31" ht="9" customHeight="1" thickBot="1" x14ac:dyDescent="0.3">
      <c r="A16" s="23"/>
      <c r="B16" s="34"/>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D16" s="21"/>
      <c r="AE16" s="22"/>
    </row>
    <row r="17" spans="1:32" s="36" customFormat="1" ht="37.5" customHeight="1" thickBot="1" x14ac:dyDescent="0.3">
      <c r="A17" s="582" t="s">
        <v>17</v>
      </c>
      <c r="B17" s="583"/>
      <c r="C17" s="569" t="s">
        <v>199</v>
      </c>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1"/>
    </row>
    <row r="18" spans="1:32" ht="16.5" customHeight="1" thickBot="1" x14ac:dyDescent="0.3">
      <c r="A18" s="189"/>
      <c r="B18" s="251"/>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D18" s="190"/>
      <c r="AE18" s="191"/>
    </row>
    <row r="19" spans="1:32" ht="32.1" customHeight="1" thickBot="1" x14ac:dyDescent="0.3">
      <c r="A19" s="587" t="s">
        <v>138</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9"/>
      <c r="AF19" s="192"/>
    </row>
    <row r="20" spans="1:32" ht="32.1" customHeight="1" thickBot="1" x14ac:dyDescent="0.3">
      <c r="A20" s="37" t="s">
        <v>19</v>
      </c>
      <c r="B20" s="558" t="s">
        <v>139</v>
      </c>
      <c r="C20" s="559"/>
      <c r="D20" s="559"/>
      <c r="E20" s="559"/>
      <c r="F20" s="559"/>
      <c r="G20" s="559"/>
      <c r="H20" s="559"/>
      <c r="I20" s="559"/>
      <c r="J20" s="559"/>
      <c r="K20" s="559"/>
      <c r="L20" s="559"/>
      <c r="M20" s="559"/>
      <c r="N20" s="559"/>
      <c r="O20" s="560"/>
      <c r="P20" s="587" t="s">
        <v>140</v>
      </c>
      <c r="Q20" s="588"/>
      <c r="R20" s="588"/>
      <c r="S20" s="588"/>
      <c r="T20" s="588"/>
      <c r="U20" s="588"/>
      <c r="V20" s="588"/>
      <c r="W20" s="588"/>
      <c r="X20" s="588"/>
      <c r="Y20" s="588"/>
      <c r="Z20" s="588"/>
      <c r="AA20" s="588"/>
      <c r="AB20" s="588"/>
      <c r="AC20" s="588"/>
      <c r="AD20" s="588"/>
      <c r="AE20" s="589"/>
      <c r="AF20" s="192"/>
    </row>
    <row r="21" spans="1:32" ht="32.1" customHeight="1" thickBot="1" x14ac:dyDescent="0.3">
      <c r="A21" s="24"/>
      <c r="B21" s="38" t="s">
        <v>141</v>
      </c>
      <c r="C21" s="39" t="s">
        <v>142</v>
      </c>
      <c r="D21" s="39" t="s">
        <v>143</v>
      </c>
      <c r="E21" s="39" t="s">
        <v>144</v>
      </c>
      <c r="F21" s="39" t="s">
        <v>145</v>
      </c>
      <c r="G21" s="39" t="s">
        <v>146</v>
      </c>
      <c r="H21" s="39" t="s">
        <v>147</v>
      </c>
      <c r="I21" s="39" t="s">
        <v>148</v>
      </c>
      <c r="J21" s="39" t="s">
        <v>128</v>
      </c>
      <c r="K21" s="39" t="s">
        <v>149</v>
      </c>
      <c r="L21" s="39" t="s">
        <v>150</v>
      </c>
      <c r="M21" s="39" t="s">
        <v>151</v>
      </c>
      <c r="N21" s="39" t="s">
        <v>102</v>
      </c>
      <c r="O21" s="40" t="s">
        <v>100</v>
      </c>
      <c r="P21" s="41"/>
      <c r="Q21" s="37" t="s">
        <v>141</v>
      </c>
      <c r="R21" s="42" t="s">
        <v>142</v>
      </c>
      <c r="S21" s="42" t="s">
        <v>143</v>
      </c>
      <c r="T21" s="42" t="s">
        <v>144</v>
      </c>
      <c r="U21" s="42" t="s">
        <v>145</v>
      </c>
      <c r="V21" s="42" t="s">
        <v>146</v>
      </c>
      <c r="W21" s="42" t="s">
        <v>147</v>
      </c>
      <c r="X21" s="42" t="s">
        <v>148</v>
      </c>
      <c r="Y21" s="42" t="s">
        <v>128</v>
      </c>
      <c r="Z21" s="42" t="s">
        <v>149</v>
      </c>
      <c r="AA21" s="42" t="s">
        <v>150</v>
      </c>
      <c r="AB21" s="42" t="s">
        <v>151</v>
      </c>
      <c r="AC21" s="42" t="s">
        <v>102</v>
      </c>
      <c r="AD21" s="43" t="s">
        <v>152</v>
      </c>
      <c r="AE21" s="43" t="s">
        <v>153</v>
      </c>
      <c r="AF21" s="193"/>
    </row>
    <row r="22" spans="1:32" ht="32.1" customHeight="1" x14ac:dyDescent="0.25">
      <c r="A22" s="44" t="s">
        <v>31</v>
      </c>
      <c r="B22" s="252"/>
      <c r="C22" s="195"/>
      <c r="D22" s="195"/>
      <c r="E22" s="195"/>
      <c r="F22" s="195"/>
      <c r="G22" s="195"/>
      <c r="H22" s="195"/>
      <c r="I22" s="195"/>
      <c r="J22" s="195"/>
      <c r="K22" s="195"/>
      <c r="L22" s="195"/>
      <c r="M22" s="195"/>
      <c r="N22" s="195">
        <f>SUM(B22:M22)</f>
        <v>0</v>
      </c>
      <c r="O22" s="196"/>
      <c r="P22" s="44" t="s">
        <v>27</v>
      </c>
      <c r="Q22" s="197">
        <v>0</v>
      </c>
      <c r="R22" s="198">
        <v>0</v>
      </c>
      <c r="S22" s="198">
        <v>0</v>
      </c>
      <c r="T22" s="198">
        <v>0</v>
      </c>
      <c r="U22" s="198">
        <v>0</v>
      </c>
      <c r="V22" s="198">
        <v>0</v>
      </c>
      <c r="W22" s="198">
        <v>0</v>
      </c>
      <c r="X22" s="199">
        <v>354757112</v>
      </c>
      <c r="Y22" s="199">
        <v>0</v>
      </c>
      <c r="Z22" s="199"/>
      <c r="AA22" s="199">
        <v>0</v>
      </c>
      <c r="AB22" s="199">
        <v>39260242</v>
      </c>
      <c r="AC22" s="199">
        <f>SUM(Q22:AB22)</f>
        <v>394017354</v>
      </c>
      <c r="AD22" s="280"/>
      <c r="AE22" s="200"/>
      <c r="AF22" s="193"/>
    </row>
    <row r="23" spans="1:32" ht="32.1" customHeight="1" x14ac:dyDescent="0.25">
      <c r="A23" s="45" t="s">
        <v>21</v>
      </c>
      <c r="B23" s="253"/>
      <c r="C23" s="202"/>
      <c r="D23" s="202"/>
      <c r="E23" s="202"/>
      <c r="F23" s="202"/>
      <c r="G23" s="202"/>
      <c r="H23" s="202"/>
      <c r="I23" s="202"/>
      <c r="J23" s="202"/>
      <c r="K23" s="202"/>
      <c r="L23" s="202"/>
      <c r="M23" s="202"/>
      <c r="N23" s="202">
        <f>SUM(B23:M23)</f>
        <v>0</v>
      </c>
      <c r="O23" s="203" t="str">
        <f>IFERROR(N23/(SUMIF(B23:M23,"&gt;0",B22:M22))," ")</f>
        <v xml:space="preserve"> </v>
      </c>
      <c r="P23" s="45" t="s">
        <v>29</v>
      </c>
      <c r="Q23" s="201">
        <v>0</v>
      </c>
      <c r="R23" s="202">
        <v>0</v>
      </c>
      <c r="S23" s="202">
        <v>0</v>
      </c>
      <c r="T23" s="202">
        <v>0</v>
      </c>
      <c r="U23" s="202">
        <v>0</v>
      </c>
      <c r="V23" s="202">
        <v>0</v>
      </c>
      <c r="W23" s="202">
        <v>0</v>
      </c>
      <c r="X23" s="204">
        <v>334634016</v>
      </c>
      <c r="Y23" s="204">
        <v>0</v>
      </c>
      <c r="Z23" s="204">
        <v>0</v>
      </c>
      <c r="AA23" s="204">
        <v>0</v>
      </c>
      <c r="AB23" s="204">
        <v>0</v>
      </c>
      <c r="AC23" s="204">
        <f>SUM(Q23:AB23)</f>
        <v>334634016</v>
      </c>
      <c r="AD23" s="281">
        <f>AC23/SUM(Q22:AB22)</f>
        <v>0.84928750625537164</v>
      </c>
      <c r="AE23" s="205">
        <f>AC23/AC22</f>
        <v>0.84928750625537164</v>
      </c>
      <c r="AF23" s="193"/>
    </row>
    <row r="24" spans="1:32" ht="32.1" customHeight="1" x14ac:dyDescent="0.25">
      <c r="A24" s="45" t="s">
        <v>23</v>
      </c>
      <c r="B24" s="253">
        <f t="shared" ref="B24:M24" si="0">+B22-B23</f>
        <v>0</v>
      </c>
      <c r="C24" s="202">
        <f t="shared" si="0"/>
        <v>0</v>
      </c>
      <c r="D24" s="202">
        <f t="shared" si="0"/>
        <v>0</v>
      </c>
      <c r="E24" s="202">
        <f t="shared" si="0"/>
        <v>0</v>
      </c>
      <c r="F24" s="202">
        <f t="shared" si="0"/>
        <v>0</v>
      </c>
      <c r="G24" s="202">
        <f t="shared" si="0"/>
        <v>0</v>
      </c>
      <c r="H24" s="202">
        <f t="shared" si="0"/>
        <v>0</v>
      </c>
      <c r="I24" s="202">
        <f t="shared" si="0"/>
        <v>0</v>
      </c>
      <c r="J24" s="202">
        <f t="shared" si="0"/>
        <v>0</v>
      </c>
      <c r="K24" s="202">
        <f t="shared" si="0"/>
        <v>0</v>
      </c>
      <c r="L24" s="202">
        <f t="shared" si="0"/>
        <v>0</v>
      </c>
      <c r="M24" s="202">
        <f t="shared" si="0"/>
        <v>0</v>
      </c>
      <c r="N24" s="202">
        <f>SUM(B24:M24)</f>
        <v>0</v>
      </c>
      <c r="O24" s="206"/>
      <c r="P24" s="45" t="s">
        <v>31</v>
      </c>
      <c r="Q24" s="201">
        <v>0</v>
      </c>
      <c r="R24" s="202">
        <v>0</v>
      </c>
      <c r="S24" s="202">
        <v>0</v>
      </c>
      <c r="T24" s="202">
        <v>0</v>
      </c>
      <c r="U24" s="202">
        <v>0</v>
      </c>
      <c r="V24" s="202">
        <v>0</v>
      </c>
      <c r="W24" s="202">
        <v>0</v>
      </c>
      <c r="X24" s="204">
        <v>0</v>
      </c>
      <c r="Y24" s="204">
        <v>53369312</v>
      </c>
      <c r="Z24" s="204">
        <v>75346950</v>
      </c>
      <c r="AA24" s="204">
        <v>75346950</v>
      </c>
      <c r="AB24" s="204">
        <f>75346950+114607192</f>
        <v>189954142</v>
      </c>
      <c r="AC24" s="204">
        <f>SUM(Q24:AB24)</f>
        <v>394017354</v>
      </c>
      <c r="AD24" s="282"/>
      <c r="AE24" s="207"/>
      <c r="AF24" s="193"/>
    </row>
    <row r="25" spans="1:32" ht="32.1" customHeight="1" thickBot="1" x14ac:dyDescent="0.3">
      <c r="A25" s="46" t="s">
        <v>25</v>
      </c>
      <c r="B25" s="254"/>
      <c r="C25" s="209"/>
      <c r="D25" s="209"/>
      <c r="E25" s="209"/>
      <c r="F25" s="209"/>
      <c r="G25" s="209"/>
      <c r="H25" s="209"/>
      <c r="I25" s="209"/>
      <c r="J25" s="209"/>
      <c r="K25" s="209"/>
      <c r="L25" s="209"/>
      <c r="M25" s="209"/>
      <c r="N25" s="209">
        <f>SUM(B25:M25)</f>
        <v>0</v>
      </c>
      <c r="O25" s="210" t="str">
        <f>IFERROR(N25/(SUMIF(B25:M25,"&gt;0",B24:M24))," ")</f>
        <v xml:space="preserve"> </v>
      </c>
      <c r="P25" s="46" t="s">
        <v>25</v>
      </c>
      <c r="Q25" s="208">
        <v>0</v>
      </c>
      <c r="R25" s="209">
        <v>0</v>
      </c>
      <c r="S25" s="209">
        <v>0</v>
      </c>
      <c r="T25" s="209">
        <v>0</v>
      </c>
      <c r="U25" s="209">
        <v>0</v>
      </c>
      <c r="V25" s="209">
        <v>0</v>
      </c>
      <c r="W25" s="209">
        <v>0</v>
      </c>
      <c r="X25" s="209">
        <v>0</v>
      </c>
      <c r="Y25" s="209">
        <v>32741317</v>
      </c>
      <c r="Z25" s="209">
        <v>0</v>
      </c>
      <c r="AA25" s="209">
        <v>0</v>
      </c>
      <c r="AB25" s="209">
        <v>0</v>
      </c>
      <c r="AC25" s="204">
        <f>SUM(Q25:AB25)</f>
        <v>32741317</v>
      </c>
      <c r="AD25" s="283">
        <f>AC25/SUM(Q24:AB24)</f>
        <v>8.3096129314141828E-2</v>
      </c>
      <c r="AE25" s="211">
        <f>AC25/AC24</f>
        <v>8.3096129314141828E-2</v>
      </c>
      <c r="AF25" s="193"/>
    </row>
    <row r="26" spans="1:32" s="212" customFormat="1" ht="16.5" customHeight="1" thickBot="1" x14ac:dyDescent="0.25">
      <c r="B26" s="255"/>
    </row>
    <row r="27" spans="1:32" ht="33.950000000000003" customHeight="1" x14ac:dyDescent="0.25">
      <c r="A27" s="594" t="s">
        <v>154</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6"/>
    </row>
    <row r="28" spans="1:32" ht="15" customHeight="1" x14ac:dyDescent="0.25">
      <c r="A28" s="514" t="s">
        <v>34</v>
      </c>
      <c r="B28" s="516" t="s">
        <v>36</v>
      </c>
      <c r="C28" s="516"/>
      <c r="D28" s="516" t="s">
        <v>155</v>
      </c>
      <c r="E28" s="516"/>
      <c r="F28" s="516"/>
      <c r="G28" s="516"/>
      <c r="H28" s="516"/>
      <c r="I28" s="516"/>
      <c r="J28" s="516"/>
      <c r="K28" s="516"/>
      <c r="L28" s="516"/>
      <c r="M28" s="516"/>
      <c r="N28" s="516"/>
      <c r="O28" s="516"/>
      <c r="P28" s="516" t="s">
        <v>102</v>
      </c>
      <c r="Q28" s="516" t="s">
        <v>156</v>
      </c>
      <c r="R28" s="516"/>
      <c r="S28" s="516"/>
      <c r="T28" s="516"/>
      <c r="U28" s="516"/>
      <c r="V28" s="516"/>
      <c r="W28" s="516"/>
      <c r="X28" s="516"/>
      <c r="Y28" s="516" t="s">
        <v>157</v>
      </c>
      <c r="Z28" s="516"/>
      <c r="AA28" s="516"/>
      <c r="AB28" s="516"/>
      <c r="AC28" s="516"/>
      <c r="AD28" s="516"/>
      <c r="AE28" s="597"/>
    </row>
    <row r="29" spans="1:32" ht="27" customHeight="1" x14ac:dyDescent="0.25">
      <c r="A29" s="514"/>
      <c r="B29" s="516"/>
      <c r="C29" s="516"/>
      <c r="D29" s="48" t="s">
        <v>141</v>
      </c>
      <c r="E29" s="48" t="s">
        <v>142</v>
      </c>
      <c r="F29" s="48" t="s">
        <v>143</v>
      </c>
      <c r="G29" s="48" t="s">
        <v>144</v>
      </c>
      <c r="H29" s="48" t="s">
        <v>145</v>
      </c>
      <c r="I29" s="48" t="s">
        <v>146</v>
      </c>
      <c r="J29" s="48" t="s">
        <v>147</v>
      </c>
      <c r="K29" s="48" t="s">
        <v>148</v>
      </c>
      <c r="L29" s="48" t="s">
        <v>128</v>
      </c>
      <c r="M29" s="48" t="s">
        <v>149</v>
      </c>
      <c r="N29" s="48" t="s">
        <v>150</v>
      </c>
      <c r="O29" s="48" t="s">
        <v>151</v>
      </c>
      <c r="P29" s="516"/>
      <c r="Q29" s="516"/>
      <c r="R29" s="516"/>
      <c r="S29" s="516"/>
      <c r="T29" s="516"/>
      <c r="U29" s="516"/>
      <c r="V29" s="516"/>
      <c r="W29" s="516"/>
      <c r="X29" s="516"/>
      <c r="Y29" s="516"/>
      <c r="Z29" s="516"/>
      <c r="AA29" s="516"/>
      <c r="AB29" s="516"/>
      <c r="AC29" s="516"/>
      <c r="AD29" s="516"/>
      <c r="AE29" s="597"/>
    </row>
    <row r="30" spans="1:32" ht="42" customHeight="1" thickBot="1" x14ac:dyDescent="0.3">
      <c r="A30" s="49"/>
      <c r="B30" s="598"/>
      <c r="C30" s="598"/>
      <c r="D30" s="16"/>
      <c r="E30" s="16"/>
      <c r="F30" s="16"/>
      <c r="G30" s="16"/>
      <c r="H30" s="16"/>
      <c r="I30" s="16"/>
      <c r="J30" s="16"/>
      <c r="K30" s="16"/>
      <c r="L30" s="16"/>
      <c r="M30" s="16"/>
      <c r="N30" s="16"/>
      <c r="O30" s="16"/>
      <c r="P30" s="50">
        <f>SUM(D30:O30)</f>
        <v>0</v>
      </c>
      <c r="Q30" s="599" t="s">
        <v>158</v>
      </c>
      <c r="R30" s="599"/>
      <c r="S30" s="599"/>
      <c r="T30" s="599"/>
      <c r="U30" s="599"/>
      <c r="V30" s="599"/>
      <c r="W30" s="599"/>
      <c r="X30" s="599"/>
      <c r="Y30" s="599" t="s">
        <v>43</v>
      </c>
      <c r="Z30" s="599"/>
      <c r="AA30" s="599"/>
      <c r="AB30" s="599"/>
      <c r="AC30" s="599"/>
      <c r="AD30" s="599"/>
      <c r="AE30" s="600"/>
    </row>
    <row r="31" spans="1:32" ht="12" customHeight="1" thickBot="1" x14ac:dyDescent="0.3">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2" ht="45" customHeight="1" x14ac:dyDescent="0.25">
      <c r="A32" s="510" t="s">
        <v>159</v>
      </c>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2"/>
    </row>
    <row r="33" spans="1:41" ht="23.1" customHeight="1" x14ac:dyDescent="0.25">
      <c r="A33" s="514" t="s">
        <v>44</v>
      </c>
      <c r="B33" s="516" t="s">
        <v>46</v>
      </c>
      <c r="C33" s="516" t="s">
        <v>36</v>
      </c>
      <c r="D33" s="516" t="s">
        <v>160</v>
      </c>
      <c r="E33" s="516"/>
      <c r="F33" s="516"/>
      <c r="G33" s="516"/>
      <c r="H33" s="516"/>
      <c r="I33" s="516"/>
      <c r="J33" s="516"/>
      <c r="K33" s="516"/>
      <c r="L33" s="516"/>
      <c r="M33" s="516"/>
      <c r="N33" s="516"/>
      <c r="O33" s="516"/>
      <c r="P33" s="516"/>
      <c r="Q33" s="516" t="s">
        <v>161</v>
      </c>
      <c r="R33" s="516"/>
      <c r="S33" s="516"/>
      <c r="T33" s="516"/>
      <c r="U33" s="516"/>
      <c r="V33" s="516"/>
      <c r="W33" s="516"/>
      <c r="X33" s="516"/>
      <c r="Y33" s="516"/>
      <c r="Z33" s="516"/>
      <c r="AA33" s="516"/>
      <c r="AB33" s="516"/>
      <c r="AC33" s="516"/>
      <c r="AD33" s="516"/>
      <c r="AE33" s="597"/>
      <c r="AG33" s="128"/>
      <c r="AH33" s="128"/>
      <c r="AI33" s="128"/>
      <c r="AJ33" s="128"/>
      <c r="AK33" s="128"/>
      <c r="AL33" s="128"/>
      <c r="AM33" s="128"/>
      <c r="AN33" s="128"/>
      <c r="AO33" s="128"/>
    </row>
    <row r="34" spans="1:41" ht="27" customHeight="1" x14ac:dyDescent="0.25">
      <c r="A34" s="514"/>
      <c r="B34" s="516"/>
      <c r="C34" s="601"/>
      <c r="D34" s="48" t="s">
        <v>141</v>
      </c>
      <c r="E34" s="48" t="s">
        <v>142</v>
      </c>
      <c r="F34" s="48" t="s">
        <v>143</v>
      </c>
      <c r="G34" s="48" t="s">
        <v>144</v>
      </c>
      <c r="H34" s="48" t="s">
        <v>145</v>
      </c>
      <c r="I34" s="48" t="s">
        <v>146</v>
      </c>
      <c r="J34" s="48" t="s">
        <v>147</v>
      </c>
      <c r="K34" s="48" t="s">
        <v>148</v>
      </c>
      <c r="L34" s="48" t="s">
        <v>128</v>
      </c>
      <c r="M34" s="48" t="s">
        <v>149</v>
      </c>
      <c r="N34" s="48" t="s">
        <v>150</v>
      </c>
      <c r="O34" s="48" t="s">
        <v>151</v>
      </c>
      <c r="P34" s="48" t="s">
        <v>102</v>
      </c>
      <c r="Q34" s="602" t="s">
        <v>52</v>
      </c>
      <c r="R34" s="603"/>
      <c r="S34" s="603"/>
      <c r="T34" s="604"/>
      <c r="U34" s="516" t="s">
        <v>54</v>
      </c>
      <c r="V34" s="516"/>
      <c r="W34" s="516"/>
      <c r="X34" s="516"/>
      <c r="Y34" s="516" t="s">
        <v>56</v>
      </c>
      <c r="Z34" s="516"/>
      <c r="AA34" s="516"/>
      <c r="AB34" s="516"/>
      <c r="AC34" s="516" t="s">
        <v>58</v>
      </c>
      <c r="AD34" s="516"/>
      <c r="AE34" s="597"/>
      <c r="AG34" s="128"/>
      <c r="AH34" s="128"/>
      <c r="AI34" s="128"/>
      <c r="AJ34" s="128"/>
      <c r="AK34" s="128"/>
      <c r="AL34" s="128"/>
      <c r="AM34" s="128"/>
      <c r="AN34" s="128"/>
      <c r="AO34" s="128"/>
    </row>
    <row r="35" spans="1:41" ht="214.15" customHeight="1" x14ac:dyDescent="0.25">
      <c r="A35" s="607" t="str">
        <f>+C17</f>
        <v>Implementar 3 acciones de transformación cultural que promuevan la redistribución equitativa de las labores del cuidado en Bogotá. (Producto MGA - Servicio de promoción de la garantía de derechos)</v>
      </c>
      <c r="B35" s="609">
        <v>0.69</v>
      </c>
      <c r="C35" s="54" t="s">
        <v>48</v>
      </c>
      <c r="D35" s="166">
        <v>0</v>
      </c>
      <c r="E35" s="166">
        <v>0</v>
      </c>
      <c r="F35" s="166">
        <v>0</v>
      </c>
      <c r="G35" s="166">
        <v>0</v>
      </c>
      <c r="H35" s="166">
        <v>0</v>
      </c>
      <c r="I35" s="166">
        <v>0</v>
      </c>
      <c r="J35" s="166">
        <v>0</v>
      </c>
      <c r="K35" s="166">
        <f>+K82</f>
        <v>4.0579710144927547E-2</v>
      </c>
      <c r="L35" s="166">
        <f t="shared" ref="L35:O35" si="1">+L82</f>
        <v>0.17971014492753629</v>
      </c>
      <c r="M35" s="166">
        <f t="shared" si="1"/>
        <v>0.25797101449275367</v>
      </c>
      <c r="N35" s="166">
        <f t="shared" si="1"/>
        <v>0.29420289855072468</v>
      </c>
      <c r="O35" s="166">
        <f t="shared" si="1"/>
        <v>0.227536231884058</v>
      </c>
      <c r="P35" s="168">
        <f>SUM(D35:O35)</f>
        <v>1.0000000000000002</v>
      </c>
      <c r="Q35" s="669" t="s">
        <v>200</v>
      </c>
      <c r="R35" s="670"/>
      <c r="S35" s="670"/>
      <c r="T35" s="671"/>
      <c r="U35" s="669" t="s">
        <v>201</v>
      </c>
      <c r="V35" s="670"/>
      <c r="W35" s="670"/>
      <c r="X35" s="675"/>
      <c r="Y35" s="677" t="s">
        <v>202</v>
      </c>
      <c r="Z35" s="678"/>
      <c r="AA35" s="678"/>
      <c r="AB35" s="679"/>
      <c r="AC35" s="669" t="s">
        <v>203</v>
      </c>
      <c r="AD35" s="670"/>
      <c r="AE35" s="683"/>
      <c r="AG35" s="128" t="s">
        <v>204</v>
      </c>
      <c r="AH35" s="128">
        <f>LEN(AG35)</f>
        <v>300</v>
      </c>
      <c r="AI35" s="128"/>
      <c r="AJ35" s="128"/>
      <c r="AK35" s="128"/>
      <c r="AL35" s="128"/>
      <c r="AM35" s="128"/>
      <c r="AN35" s="128"/>
      <c r="AO35" s="128"/>
    </row>
    <row r="36" spans="1:41" ht="214.15" customHeight="1" thickBot="1" x14ac:dyDescent="0.3">
      <c r="A36" s="608"/>
      <c r="B36" s="610"/>
      <c r="C36" s="55" t="s">
        <v>50</v>
      </c>
      <c r="D36" s="169">
        <v>0</v>
      </c>
      <c r="E36" s="169">
        <v>0</v>
      </c>
      <c r="F36" s="169">
        <v>0</v>
      </c>
      <c r="G36" s="169">
        <v>0</v>
      </c>
      <c r="H36" s="169">
        <v>0</v>
      </c>
      <c r="I36" s="169">
        <v>0</v>
      </c>
      <c r="J36" s="169">
        <v>0</v>
      </c>
      <c r="K36" s="169">
        <f>+K79</f>
        <v>4.0579710144927547E-2</v>
      </c>
      <c r="L36" s="169">
        <f t="shared" ref="L36:O36" si="2">+L79</f>
        <v>0.17391304347826092</v>
      </c>
      <c r="M36" s="169">
        <f t="shared" si="2"/>
        <v>0</v>
      </c>
      <c r="N36" s="169">
        <f t="shared" si="2"/>
        <v>0</v>
      </c>
      <c r="O36" s="169">
        <f t="shared" si="2"/>
        <v>0</v>
      </c>
      <c r="P36" s="167">
        <f>SUM(D36:O36)</f>
        <v>0.21449275362318848</v>
      </c>
      <c r="Q36" s="672"/>
      <c r="R36" s="673"/>
      <c r="S36" s="673"/>
      <c r="T36" s="674"/>
      <c r="U36" s="672"/>
      <c r="V36" s="673"/>
      <c r="W36" s="673"/>
      <c r="X36" s="676"/>
      <c r="Y36" s="680"/>
      <c r="Z36" s="681"/>
      <c r="AA36" s="681"/>
      <c r="AB36" s="682"/>
      <c r="AC36" s="672"/>
      <c r="AD36" s="673"/>
      <c r="AE36" s="684"/>
      <c r="AG36" s="128"/>
      <c r="AH36" s="128"/>
      <c r="AI36" s="128"/>
      <c r="AJ36" s="128"/>
      <c r="AK36" s="128"/>
      <c r="AL36" s="128"/>
      <c r="AM36" s="128"/>
      <c r="AN36" s="128"/>
      <c r="AO36" s="128"/>
    </row>
    <row r="37" spans="1:41" s="212" customFormat="1" ht="17.25" customHeight="1" x14ac:dyDescent="0.2">
      <c r="B37" s="255"/>
    </row>
    <row r="38" spans="1:41" ht="45" customHeight="1" x14ac:dyDescent="0.25">
      <c r="A38" s="510" t="s">
        <v>167</v>
      </c>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2"/>
      <c r="AG38" s="128"/>
      <c r="AH38" s="128"/>
      <c r="AI38" s="128"/>
      <c r="AJ38" s="128"/>
      <c r="AK38" s="128"/>
      <c r="AL38" s="128"/>
      <c r="AM38" s="128"/>
      <c r="AN38" s="128"/>
      <c r="AO38" s="128"/>
    </row>
    <row r="39" spans="1:41" ht="26.1" customHeight="1" x14ac:dyDescent="0.25">
      <c r="A39" s="513" t="s">
        <v>60</v>
      </c>
      <c r="B39" s="515" t="s">
        <v>168</v>
      </c>
      <c r="C39" s="517" t="s">
        <v>169</v>
      </c>
      <c r="D39" s="519" t="s">
        <v>170</v>
      </c>
      <c r="E39" s="520"/>
      <c r="F39" s="520"/>
      <c r="G39" s="520"/>
      <c r="H39" s="520"/>
      <c r="I39" s="520"/>
      <c r="J39" s="520"/>
      <c r="K39" s="520"/>
      <c r="L39" s="520"/>
      <c r="M39" s="520"/>
      <c r="N39" s="520"/>
      <c r="O39" s="520"/>
      <c r="P39" s="521"/>
      <c r="Q39" s="515" t="s">
        <v>171</v>
      </c>
      <c r="R39" s="515"/>
      <c r="S39" s="515"/>
      <c r="T39" s="515"/>
      <c r="U39" s="515"/>
      <c r="V39" s="515"/>
      <c r="W39" s="515"/>
      <c r="X39" s="515"/>
      <c r="Y39" s="515"/>
      <c r="Z39" s="515"/>
      <c r="AA39" s="515"/>
      <c r="AB39" s="515"/>
      <c r="AC39" s="515"/>
      <c r="AD39" s="515"/>
      <c r="AE39" s="605"/>
      <c r="AG39" s="128"/>
      <c r="AH39" s="128"/>
      <c r="AI39" s="128"/>
      <c r="AJ39" s="128"/>
      <c r="AK39" s="128"/>
      <c r="AL39" s="128"/>
      <c r="AM39" s="128"/>
      <c r="AN39" s="128"/>
      <c r="AO39" s="128"/>
    </row>
    <row r="40" spans="1:41" ht="26.1" customHeight="1" x14ac:dyDescent="0.25">
      <c r="A40" s="514"/>
      <c r="B40" s="516"/>
      <c r="C40" s="518"/>
      <c r="D40" s="48" t="s">
        <v>172</v>
      </c>
      <c r="E40" s="48" t="s">
        <v>173</v>
      </c>
      <c r="F40" s="48" t="s">
        <v>174</v>
      </c>
      <c r="G40" s="48" t="s">
        <v>175</v>
      </c>
      <c r="H40" s="48" t="s">
        <v>176</v>
      </c>
      <c r="I40" s="48" t="s">
        <v>177</v>
      </c>
      <c r="J40" s="48" t="s">
        <v>178</v>
      </c>
      <c r="K40" s="48" t="s">
        <v>179</v>
      </c>
      <c r="L40" s="48" t="s">
        <v>180</v>
      </c>
      <c r="M40" s="48" t="s">
        <v>181</v>
      </c>
      <c r="N40" s="48" t="s">
        <v>182</v>
      </c>
      <c r="O40" s="48" t="s">
        <v>183</v>
      </c>
      <c r="P40" s="48" t="s">
        <v>184</v>
      </c>
      <c r="Q40" s="602" t="s">
        <v>185</v>
      </c>
      <c r="R40" s="603"/>
      <c r="S40" s="603"/>
      <c r="T40" s="603"/>
      <c r="U40" s="603"/>
      <c r="V40" s="603"/>
      <c r="W40" s="603"/>
      <c r="X40" s="604"/>
      <c r="Y40" s="602" t="s">
        <v>68</v>
      </c>
      <c r="Z40" s="603"/>
      <c r="AA40" s="603"/>
      <c r="AB40" s="603"/>
      <c r="AC40" s="603"/>
      <c r="AD40" s="603"/>
      <c r="AE40" s="606"/>
      <c r="AG40" s="213"/>
      <c r="AH40" s="213"/>
      <c r="AI40" s="213"/>
      <c r="AJ40" s="213"/>
      <c r="AK40" s="213"/>
      <c r="AL40" s="213"/>
      <c r="AM40" s="213"/>
      <c r="AN40" s="213"/>
      <c r="AO40" s="213"/>
    </row>
    <row r="41" spans="1:41" ht="83.45" customHeight="1" x14ac:dyDescent="0.25">
      <c r="A41" s="617" t="s">
        <v>205</v>
      </c>
      <c r="B41" s="618">
        <v>0.1</v>
      </c>
      <c r="C41" s="56" t="s">
        <v>48</v>
      </c>
      <c r="D41" s="57">
        <v>0</v>
      </c>
      <c r="E41" s="57">
        <v>0</v>
      </c>
      <c r="F41" s="57">
        <v>0</v>
      </c>
      <c r="G41" s="57">
        <v>0</v>
      </c>
      <c r="H41" s="57">
        <v>0</v>
      </c>
      <c r="I41" s="57">
        <v>0</v>
      </c>
      <c r="J41" s="57">
        <v>0</v>
      </c>
      <c r="K41" s="57">
        <v>0.2</v>
      </c>
      <c r="L41" s="57">
        <v>0.2</v>
      </c>
      <c r="M41" s="57">
        <v>0.2</v>
      </c>
      <c r="N41" s="57">
        <v>0.2</v>
      </c>
      <c r="O41" s="57">
        <v>0.2</v>
      </c>
      <c r="P41" s="58">
        <f t="shared" ref="P41:P52" si="3">SUM(D41:O41)</f>
        <v>1</v>
      </c>
      <c r="Q41" s="639" t="s">
        <v>206</v>
      </c>
      <c r="R41" s="628"/>
      <c r="S41" s="628"/>
      <c r="T41" s="628"/>
      <c r="U41" s="628"/>
      <c r="V41" s="628"/>
      <c r="W41" s="628"/>
      <c r="X41" s="629"/>
      <c r="Y41" s="663" t="s">
        <v>207</v>
      </c>
      <c r="Z41" s="664"/>
      <c r="AA41" s="664"/>
      <c r="AB41" s="664"/>
      <c r="AC41" s="664"/>
      <c r="AD41" s="664"/>
      <c r="AE41" s="665"/>
      <c r="AG41" s="214"/>
      <c r="AH41" s="214"/>
      <c r="AI41" s="214"/>
      <c r="AJ41" s="214"/>
      <c r="AK41" s="214"/>
      <c r="AL41" s="214"/>
      <c r="AM41" s="214"/>
      <c r="AN41" s="214"/>
      <c r="AO41" s="214"/>
    </row>
    <row r="42" spans="1:41" ht="83.45" customHeight="1" x14ac:dyDescent="0.25">
      <c r="A42" s="617"/>
      <c r="B42" s="618"/>
      <c r="C42" s="59" t="s">
        <v>50</v>
      </c>
      <c r="D42" s="60">
        <v>0</v>
      </c>
      <c r="E42" s="60">
        <v>0</v>
      </c>
      <c r="F42" s="60">
        <v>0</v>
      </c>
      <c r="G42" s="60">
        <v>0</v>
      </c>
      <c r="H42" s="60">
        <v>0</v>
      </c>
      <c r="I42" s="60">
        <v>0</v>
      </c>
      <c r="J42" s="60">
        <v>0</v>
      </c>
      <c r="K42" s="60">
        <v>0.2</v>
      </c>
      <c r="L42" s="60">
        <v>0.2</v>
      </c>
      <c r="M42" s="60"/>
      <c r="N42" s="60"/>
      <c r="O42" s="60"/>
      <c r="P42" s="58">
        <f t="shared" si="3"/>
        <v>0.4</v>
      </c>
      <c r="Q42" s="630"/>
      <c r="R42" s="631"/>
      <c r="S42" s="631"/>
      <c r="T42" s="631"/>
      <c r="U42" s="631"/>
      <c r="V42" s="631"/>
      <c r="W42" s="631"/>
      <c r="X42" s="632"/>
      <c r="Y42" s="666"/>
      <c r="Z42" s="667"/>
      <c r="AA42" s="667"/>
      <c r="AB42" s="667"/>
      <c r="AC42" s="667"/>
      <c r="AD42" s="667"/>
      <c r="AE42" s="668"/>
    </row>
    <row r="43" spans="1:41" ht="55.15" customHeight="1" x14ac:dyDescent="0.25">
      <c r="A43" s="617" t="s">
        <v>208</v>
      </c>
      <c r="B43" s="618">
        <v>0.32</v>
      </c>
      <c r="C43" s="56" t="s">
        <v>48</v>
      </c>
      <c r="D43" s="57">
        <v>0</v>
      </c>
      <c r="E43" s="57">
        <v>0</v>
      </c>
      <c r="F43" s="57">
        <v>0</v>
      </c>
      <c r="G43" s="57">
        <v>0</v>
      </c>
      <c r="H43" s="57">
        <v>0</v>
      </c>
      <c r="I43" s="57">
        <v>0</v>
      </c>
      <c r="J43" s="57">
        <v>0</v>
      </c>
      <c r="K43" s="57">
        <v>0</v>
      </c>
      <c r="L43" s="57">
        <v>0.3</v>
      </c>
      <c r="M43" s="57">
        <v>0.3</v>
      </c>
      <c r="N43" s="57">
        <v>0.3</v>
      </c>
      <c r="O43" s="57">
        <v>0.1</v>
      </c>
      <c r="P43" s="58">
        <f t="shared" si="3"/>
        <v>0.99999999999999989</v>
      </c>
      <c r="Q43" s="639" t="s">
        <v>209</v>
      </c>
      <c r="R43" s="628"/>
      <c r="S43" s="628"/>
      <c r="T43" s="628"/>
      <c r="U43" s="628"/>
      <c r="V43" s="628"/>
      <c r="W43" s="628"/>
      <c r="X43" s="629"/>
      <c r="Y43" s="639" t="s">
        <v>210</v>
      </c>
      <c r="Z43" s="628"/>
      <c r="AA43" s="628"/>
      <c r="AB43" s="628"/>
      <c r="AC43" s="628"/>
      <c r="AD43" s="628"/>
      <c r="AE43" s="628"/>
    </row>
    <row r="44" spans="1:41" ht="55.15" customHeight="1" x14ac:dyDescent="0.25">
      <c r="A44" s="617"/>
      <c r="B44" s="618"/>
      <c r="C44" s="59" t="s">
        <v>50</v>
      </c>
      <c r="D44" s="60">
        <v>0</v>
      </c>
      <c r="E44" s="60">
        <v>0</v>
      </c>
      <c r="F44" s="60">
        <v>0</v>
      </c>
      <c r="G44" s="60">
        <v>0</v>
      </c>
      <c r="H44" s="60">
        <v>0</v>
      </c>
      <c r="I44" s="60">
        <v>0</v>
      </c>
      <c r="J44" s="60">
        <v>0</v>
      </c>
      <c r="K44" s="60">
        <v>0</v>
      </c>
      <c r="L44" s="60">
        <v>0.3</v>
      </c>
      <c r="M44" s="60"/>
      <c r="N44" s="60"/>
      <c r="O44" s="60"/>
      <c r="P44" s="58">
        <f t="shared" si="3"/>
        <v>0.3</v>
      </c>
      <c r="Q44" s="630"/>
      <c r="R44" s="631"/>
      <c r="S44" s="631"/>
      <c r="T44" s="631"/>
      <c r="U44" s="631"/>
      <c r="V44" s="631"/>
      <c r="W44" s="631"/>
      <c r="X44" s="632"/>
      <c r="Y44" s="630"/>
      <c r="Z44" s="631"/>
      <c r="AA44" s="631"/>
      <c r="AB44" s="631"/>
      <c r="AC44" s="631"/>
      <c r="AD44" s="631"/>
      <c r="AE44" s="631"/>
    </row>
    <row r="45" spans="1:41" ht="81.599999999999994" customHeight="1" x14ac:dyDescent="0.25">
      <c r="A45" s="659" t="s">
        <v>211</v>
      </c>
      <c r="B45" s="618">
        <v>0.18</v>
      </c>
      <c r="C45" s="56" t="s">
        <v>48</v>
      </c>
      <c r="D45" s="154">
        <v>0</v>
      </c>
      <c r="E45" s="57">
        <v>0</v>
      </c>
      <c r="F45" s="57">
        <v>0</v>
      </c>
      <c r="G45" s="57">
        <v>0</v>
      </c>
      <c r="H45" s="57">
        <v>0</v>
      </c>
      <c r="I45" s="57">
        <v>0</v>
      </c>
      <c r="J45" s="57">
        <v>0</v>
      </c>
      <c r="K45" s="57">
        <v>0</v>
      </c>
      <c r="L45" s="417">
        <v>0</v>
      </c>
      <c r="M45" s="57">
        <v>0.3</v>
      </c>
      <c r="N45" s="57">
        <v>0.3</v>
      </c>
      <c r="O45" s="57">
        <v>0.4</v>
      </c>
      <c r="P45" s="58">
        <f t="shared" si="3"/>
        <v>1</v>
      </c>
      <c r="Q45" s="639" t="s">
        <v>212</v>
      </c>
      <c r="R45" s="628"/>
      <c r="S45" s="628"/>
      <c r="T45" s="628"/>
      <c r="U45" s="628"/>
      <c r="V45" s="628"/>
      <c r="W45" s="628"/>
      <c r="X45" s="628"/>
      <c r="Y45" s="626" t="s">
        <v>213</v>
      </c>
      <c r="Z45" s="626"/>
      <c r="AA45" s="626"/>
      <c r="AB45" s="626"/>
      <c r="AC45" s="626"/>
      <c r="AD45" s="626"/>
      <c r="AE45" s="626"/>
    </row>
    <row r="46" spans="1:41" ht="81.599999999999994" customHeight="1" x14ac:dyDescent="0.25">
      <c r="A46" s="660"/>
      <c r="B46" s="618"/>
      <c r="C46" s="59" t="s">
        <v>50</v>
      </c>
      <c r="D46" s="60">
        <v>0</v>
      </c>
      <c r="E46" s="60">
        <v>0</v>
      </c>
      <c r="F46" s="60">
        <v>0</v>
      </c>
      <c r="G46" s="60">
        <v>0</v>
      </c>
      <c r="H46" s="60">
        <v>0</v>
      </c>
      <c r="I46" s="60">
        <v>0</v>
      </c>
      <c r="J46" s="60">
        <v>0</v>
      </c>
      <c r="K46" s="60">
        <v>0</v>
      </c>
      <c r="L46" s="418">
        <v>0</v>
      </c>
      <c r="M46" s="60"/>
      <c r="N46" s="60"/>
      <c r="O46" s="60"/>
      <c r="P46" s="58">
        <f t="shared" si="3"/>
        <v>0</v>
      </c>
      <c r="Q46" s="630"/>
      <c r="R46" s="631"/>
      <c r="S46" s="631"/>
      <c r="T46" s="631"/>
      <c r="U46" s="631"/>
      <c r="V46" s="631"/>
      <c r="W46" s="631"/>
      <c r="X46" s="631"/>
      <c r="Y46" s="626"/>
      <c r="Z46" s="626"/>
      <c r="AA46" s="626"/>
      <c r="AB46" s="626"/>
      <c r="AC46" s="626"/>
      <c r="AD46" s="626"/>
      <c r="AE46" s="626"/>
    </row>
    <row r="47" spans="1:41" ht="55.15" customHeight="1" x14ac:dyDescent="0.25">
      <c r="A47" s="653" t="s">
        <v>214</v>
      </c>
      <c r="B47" s="618">
        <v>0.05</v>
      </c>
      <c r="C47" s="152" t="s">
        <v>48</v>
      </c>
      <c r="D47" s="154">
        <v>0</v>
      </c>
      <c r="E47" s="57">
        <v>0</v>
      </c>
      <c r="F47" s="57">
        <v>0</v>
      </c>
      <c r="G47" s="57">
        <v>0</v>
      </c>
      <c r="H47" s="57">
        <v>0</v>
      </c>
      <c r="I47" s="57">
        <v>0</v>
      </c>
      <c r="J47" s="57">
        <v>0</v>
      </c>
      <c r="K47" s="57">
        <v>0</v>
      </c>
      <c r="L47" s="57">
        <v>0</v>
      </c>
      <c r="M47" s="57">
        <v>0</v>
      </c>
      <c r="N47" s="57">
        <v>0.5</v>
      </c>
      <c r="O47" s="57">
        <v>0.5</v>
      </c>
      <c r="P47" s="58">
        <f t="shared" si="3"/>
        <v>1</v>
      </c>
      <c r="Q47" s="619" t="s">
        <v>215</v>
      </c>
      <c r="R47" s="620"/>
      <c r="S47" s="620"/>
      <c r="T47" s="620"/>
      <c r="U47" s="620"/>
      <c r="V47" s="620"/>
      <c r="W47" s="620"/>
      <c r="X47" s="661"/>
      <c r="Y47" s="626" t="s">
        <v>197</v>
      </c>
      <c r="Z47" s="626"/>
      <c r="AA47" s="626"/>
      <c r="AB47" s="626"/>
      <c r="AC47" s="626"/>
      <c r="AD47" s="626"/>
      <c r="AE47" s="626"/>
    </row>
    <row r="48" spans="1:41" ht="55.15" customHeight="1" x14ac:dyDescent="0.25">
      <c r="A48" s="654"/>
      <c r="B48" s="618"/>
      <c r="C48" s="153" t="s">
        <v>50</v>
      </c>
      <c r="D48" s="60">
        <v>0</v>
      </c>
      <c r="E48" s="60">
        <v>0</v>
      </c>
      <c r="F48" s="60">
        <v>0</v>
      </c>
      <c r="G48" s="60">
        <v>0</v>
      </c>
      <c r="H48" s="60">
        <v>0</v>
      </c>
      <c r="I48" s="60">
        <v>0</v>
      </c>
      <c r="J48" s="60">
        <v>0</v>
      </c>
      <c r="K48" s="151">
        <v>0</v>
      </c>
      <c r="L48" s="151"/>
      <c r="M48" s="151"/>
      <c r="N48" s="151"/>
      <c r="O48" s="151"/>
      <c r="P48" s="141">
        <f t="shared" si="3"/>
        <v>0</v>
      </c>
      <c r="Q48" s="622"/>
      <c r="R48" s="623"/>
      <c r="S48" s="623"/>
      <c r="T48" s="623"/>
      <c r="U48" s="623"/>
      <c r="V48" s="623"/>
      <c r="W48" s="623"/>
      <c r="X48" s="662"/>
      <c r="Y48" s="626"/>
      <c r="Z48" s="626"/>
      <c r="AA48" s="626"/>
      <c r="AB48" s="626"/>
      <c r="AC48" s="626"/>
      <c r="AD48" s="626"/>
      <c r="AE48" s="626"/>
    </row>
    <row r="49" spans="1:31" ht="97.15" customHeight="1" x14ac:dyDescent="0.25">
      <c r="A49" s="688" t="s">
        <v>216</v>
      </c>
      <c r="B49" s="618">
        <v>0.02</v>
      </c>
      <c r="C49" s="152" t="s">
        <v>48</v>
      </c>
      <c r="D49" s="57">
        <v>0</v>
      </c>
      <c r="E49" s="57">
        <v>0</v>
      </c>
      <c r="F49" s="57">
        <v>0</v>
      </c>
      <c r="G49" s="57">
        <v>0</v>
      </c>
      <c r="H49" s="57">
        <v>0</v>
      </c>
      <c r="I49" s="57">
        <v>0</v>
      </c>
      <c r="J49" s="57">
        <v>0</v>
      </c>
      <c r="K49" s="57">
        <v>0.2</v>
      </c>
      <c r="L49" s="57">
        <v>0.2</v>
      </c>
      <c r="M49" s="57">
        <v>0.2</v>
      </c>
      <c r="N49" s="57">
        <v>0.2</v>
      </c>
      <c r="O49" s="57">
        <v>0.2</v>
      </c>
      <c r="P49" s="58">
        <f t="shared" si="3"/>
        <v>1</v>
      </c>
      <c r="Q49" s="611" t="s">
        <v>217</v>
      </c>
      <c r="R49" s="612"/>
      <c r="S49" s="612"/>
      <c r="T49" s="612"/>
      <c r="U49" s="612"/>
      <c r="V49" s="612"/>
      <c r="W49" s="612"/>
      <c r="X49" s="690"/>
      <c r="Y49" s="663" t="s">
        <v>218</v>
      </c>
      <c r="Z49" s="664"/>
      <c r="AA49" s="664"/>
      <c r="AB49" s="664"/>
      <c r="AC49" s="664"/>
      <c r="AD49" s="664"/>
      <c r="AE49" s="665"/>
    </row>
    <row r="50" spans="1:31" ht="97.15" customHeight="1" x14ac:dyDescent="0.25">
      <c r="A50" s="689"/>
      <c r="B50" s="618"/>
      <c r="C50" s="153" t="s">
        <v>50</v>
      </c>
      <c r="D50" s="60">
        <v>0</v>
      </c>
      <c r="E50" s="60">
        <v>0</v>
      </c>
      <c r="F50" s="60">
        <v>0</v>
      </c>
      <c r="G50" s="60">
        <v>0</v>
      </c>
      <c r="H50" s="60">
        <v>0</v>
      </c>
      <c r="I50" s="60">
        <v>0</v>
      </c>
      <c r="J50" s="60">
        <v>0</v>
      </c>
      <c r="K50" s="151">
        <v>0.2</v>
      </c>
      <c r="L50" s="151"/>
      <c r="M50" s="151"/>
      <c r="N50" s="151"/>
      <c r="O50" s="151"/>
      <c r="P50" s="141">
        <f t="shared" si="3"/>
        <v>0.2</v>
      </c>
      <c r="Q50" s="691"/>
      <c r="R50" s="692"/>
      <c r="S50" s="692"/>
      <c r="T50" s="692"/>
      <c r="U50" s="692"/>
      <c r="V50" s="692"/>
      <c r="W50" s="692"/>
      <c r="X50" s="693"/>
      <c r="Y50" s="666"/>
      <c r="Z50" s="667"/>
      <c r="AA50" s="667"/>
      <c r="AB50" s="667"/>
      <c r="AC50" s="667"/>
      <c r="AD50" s="667"/>
      <c r="AE50" s="668"/>
    </row>
    <row r="51" spans="1:31" ht="75.599999999999994" customHeight="1" x14ac:dyDescent="0.25">
      <c r="A51" s="688" t="s">
        <v>219</v>
      </c>
      <c r="B51" s="618">
        <v>0.02</v>
      </c>
      <c r="C51" s="152" t="s">
        <v>48</v>
      </c>
      <c r="D51" s="57">
        <v>0</v>
      </c>
      <c r="E51" s="57">
        <v>0</v>
      </c>
      <c r="F51" s="57">
        <v>0</v>
      </c>
      <c r="G51" s="57">
        <v>0</v>
      </c>
      <c r="H51" s="57">
        <v>0</v>
      </c>
      <c r="I51" s="57">
        <v>0</v>
      </c>
      <c r="J51" s="57">
        <v>0</v>
      </c>
      <c r="K51" s="57">
        <v>0.2</v>
      </c>
      <c r="L51" s="57">
        <v>0.2</v>
      </c>
      <c r="M51" s="57">
        <v>0.2</v>
      </c>
      <c r="N51" s="57">
        <v>0.2</v>
      </c>
      <c r="O51" s="57">
        <v>0.2</v>
      </c>
      <c r="P51" s="58">
        <f t="shared" si="3"/>
        <v>1</v>
      </c>
      <c r="Q51" s="611" t="s">
        <v>220</v>
      </c>
      <c r="R51" s="612"/>
      <c r="S51" s="612"/>
      <c r="T51" s="612"/>
      <c r="U51" s="612"/>
      <c r="V51" s="612"/>
      <c r="W51" s="612"/>
      <c r="X51" s="690"/>
      <c r="Y51" s="663" t="s">
        <v>221</v>
      </c>
      <c r="Z51" s="664"/>
      <c r="AA51" s="664"/>
      <c r="AB51" s="664"/>
      <c r="AC51" s="664"/>
      <c r="AD51" s="664"/>
      <c r="AE51" s="665"/>
    </row>
    <row r="52" spans="1:31" ht="75.599999999999994" customHeight="1" x14ac:dyDescent="0.25">
      <c r="A52" s="689"/>
      <c r="B52" s="618"/>
      <c r="C52" s="153" t="s">
        <v>50</v>
      </c>
      <c r="D52" s="60">
        <v>0</v>
      </c>
      <c r="E52" s="60">
        <v>0</v>
      </c>
      <c r="F52" s="60">
        <v>0</v>
      </c>
      <c r="G52" s="60">
        <v>0</v>
      </c>
      <c r="H52" s="60">
        <v>0</v>
      </c>
      <c r="I52" s="60">
        <v>0</v>
      </c>
      <c r="J52" s="60">
        <v>0</v>
      </c>
      <c r="K52" s="151">
        <v>0.2</v>
      </c>
      <c r="L52" s="151">
        <v>0.2</v>
      </c>
      <c r="M52" s="151"/>
      <c r="N52" s="151"/>
      <c r="O52" s="151"/>
      <c r="P52" s="141">
        <f t="shared" si="3"/>
        <v>0.4</v>
      </c>
      <c r="Q52" s="691"/>
      <c r="R52" s="692"/>
      <c r="S52" s="692"/>
      <c r="T52" s="692"/>
      <c r="U52" s="692"/>
      <c r="V52" s="692"/>
      <c r="W52" s="692"/>
      <c r="X52" s="693"/>
      <c r="Y52" s="666"/>
      <c r="Z52" s="667"/>
      <c r="AA52" s="667"/>
      <c r="AB52" s="667"/>
      <c r="AC52" s="667"/>
      <c r="AD52" s="667"/>
      <c r="AE52" s="668"/>
    </row>
    <row r="53" spans="1:31" ht="15" customHeight="1" x14ac:dyDescent="0.25">
      <c r="A53" s="125" t="s">
        <v>198</v>
      </c>
      <c r="B53" s="256">
        <f>SUM(B41:B51)</f>
        <v>0.69000000000000017</v>
      </c>
      <c r="Q53" s="215"/>
      <c r="R53" s="215"/>
      <c r="S53" s="215"/>
      <c r="T53" s="215"/>
      <c r="U53" s="215"/>
      <c r="V53" s="215"/>
      <c r="W53" s="215"/>
      <c r="X53" s="215"/>
      <c r="Y53" s="215"/>
      <c r="Z53" s="215"/>
      <c r="AA53" s="215"/>
      <c r="AB53" s="215"/>
      <c r="AC53" s="215"/>
      <c r="AD53" s="215"/>
      <c r="AE53" s="215"/>
    </row>
    <row r="54" spans="1:31" x14ac:dyDescent="0.25">
      <c r="Q54" s="215"/>
      <c r="R54" s="215"/>
      <c r="S54" s="215"/>
      <c r="T54" s="215"/>
      <c r="U54" s="215"/>
      <c r="V54" s="215"/>
      <c r="W54" s="215"/>
      <c r="X54" s="215"/>
      <c r="Y54" s="215"/>
      <c r="Z54" s="215"/>
      <c r="AA54" s="215"/>
      <c r="AB54" s="215"/>
      <c r="AC54" s="215"/>
      <c r="AD54" s="215"/>
      <c r="AE54" s="215"/>
    </row>
    <row r="55" spans="1:31" x14ac:dyDescent="0.25">
      <c r="B55" s="249"/>
      <c r="Q55" s="215"/>
      <c r="R55" s="215"/>
      <c r="S55" s="215"/>
      <c r="T55" s="215"/>
      <c r="U55" s="215"/>
      <c r="V55" s="215"/>
      <c r="W55" s="215"/>
      <c r="X55" s="215"/>
      <c r="Y55" s="215"/>
      <c r="Z55" s="215"/>
      <c r="AA55" s="215"/>
      <c r="AB55" s="215"/>
      <c r="AC55" s="215"/>
      <c r="AD55" s="215"/>
      <c r="AE55" s="215"/>
    </row>
    <row r="56" spans="1:31" x14ac:dyDescent="0.25">
      <c r="B56" s="249"/>
      <c r="Q56" s="215"/>
      <c r="R56" s="215"/>
      <c r="S56" s="215"/>
      <c r="T56" s="215"/>
      <c r="U56" s="215"/>
      <c r="V56" s="215"/>
      <c r="W56" s="215"/>
      <c r="X56" s="215"/>
      <c r="Y56" s="215"/>
      <c r="Z56" s="215"/>
      <c r="AA56" s="215"/>
      <c r="AB56" s="215"/>
      <c r="AC56" s="215"/>
      <c r="AD56" s="215"/>
      <c r="AE56" s="215"/>
    </row>
    <row r="57" spans="1:31" x14ac:dyDescent="0.25">
      <c r="C57" s="257"/>
      <c r="Q57" s="215"/>
      <c r="R57" s="215"/>
      <c r="S57" s="215"/>
      <c r="T57" s="215"/>
      <c r="U57" s="215"/>
      <c r="V57" s="215"/>
      <c r="W57" s="215"/>
      <c r="X57" s="215"/>
      <c r="Y57" s="215"/>
      <c r="Z57" s="215"/>
      <c r="AA57" s="215"/>
      <c r="AB57" s="215"/>
      <c r="AC57" s="215"/>
      <c r="AD57" s="215"/>
      <c r="AE57" s="215"/>
    </row>
    <row r="58" spans="1:31" hidden="1" x14ac:dyDescent="0.25">
      <c r="A58" s="655" t="s">
        <v>44</v>
      </c>
      <c r="B58" s="657" t="s">
        <v>168</v>
      </c>
      <c r="C58" s="644" t="s">
        <v>170</v>
      </c>
      <c r="D58" s="645"/>
      <c r="E58" s="645"/>
      <c r="F58" s="645"/>
      <c r="G58" s="645"/>
      <c r="H58" s="645"/>
      <c r="I58" s="645"/>
      <c r="J58" s="645"/>
      <c r="K58" s="645"/>
      <c r="L58" s="645"/>
      <c r="M58" s="645"/>
      <c r="N58" s="645"/>
      <c r="O58" s="645"/>
      <c r="P58" s="646"/>
      <c r="Q58" s="250"/>
      <c r="R58" s="250"/>
      <c r="S58" s="250"/>
      <c r="T58" s="250"/>
      <c r="U58" s="250"/>
      <c r="V58" s="250"/>
      <c r="W58" s="250"/>
      <c r="X58" s="250"/>
      <c r="Y58" s="250"/>
      <c r="Z58" s="250"/>
      <c r="AA58" s="250"/>
      <c r="AB58" s="250"/>
      <c r="AC58" s="250"/>
      <c r="AD58" s="250"/>
      <c r="AE58" s="215"/>
    </row>
    <row r="59" spans="1:31" ht="30" hidden="1" x14ac:dyDescent="0.25">
      <c r="A59" s="656"/>
      <c r="B59" s="658"/>
      <c r="C59" s="258" t="s">
        <v>169</v>
      </c>
      <c r="D59" s="258" t="s">
        <v>172</v>
      </c>
      <c r="E59" s="258" t="s">
        <v>173</v>
      </c>
      <c r="F59" s="258" t="s">
        <v>174</v>
      </c>
      <c r="G59" s="258" t="s">
        <v>175</v>
      </c>
      <c r="H59" s="258" t="s">
        <v>176</v>
      </c>
      <c r="I59" s="258" t="s">
        <v>177</v>
      </c>
      <c r="J59" s="258" t="s">
        <v>178</v>
      </c>
      <c r="K59" s="258" t="s">
        <v>179</v>
      </c>
      <c r="L59" s="258" t="s">
        <v>180</v>
      </c>
      <c r="M59" s="258" t="s">
        <v>181</v>
      </c>
      <c r="N59" s="258" t="s">
        <v>182</v>
      </c>
      <c r="O59" s="258" t="s">
        <v>183</v>
      </c>
      <c r="P59" s="259" t="s">
        <v>184</v>
      </c>
      <c r="Q59" s="250"/>
      <c r="R59" s="250"/>
      <c r="S59" s="250"/>
      <c r="T59" s="250"/>
      <c r="U59" s="250"/>
      <c r="V59" s="250"/>
      <c r="W59" s="250"/>
      <c r="X59" s="250"/>
      <c r="Y59" s="250"/>
      <c r="Z59" s="250"/>
      <c r="AA59" s="250"/>
      <c r="AB59" s="250"/>
      <c r="AC59" s="250"/>
      <c r="AD59" s="250"/>
      <c r="AE59" s="215"/>
    </row>
    <row r="60" spans="1:31" ht="18" hidden="1" customHeight="1" x14ac:dyDescent="0.25">
      <c r="A60" s="647" t="str">
        <f>+A41</f>
        <v>5. Diseñar dos estrategias de transformación cultural con matrices de consistencia y teorías del cambio (a partir de la línea base de investigación)</v>
      </c>
      <c r="B60" s="649">
        <f>+B41</f>
        <v>0.1</v>
      </c>
      <c r="C60" s="260" t="s">
        <v>48</v>
      </c>
      <c r="D60" s="261">
        <f>D41*$B$41/$P$41</f>
        <v>0</v>
      </c>
      <c r="E60" s="261">
        <f t="shared" ref="E60:O60" si="4">E41*$B$41/$P$41</f>
        <v>0</v>
      </c>
      <c r="F60" s="261">
        <f t="shared" si="4"/>
        <v>0</v>
      </c>
      <c r="G60" s="261">
        <f t="shared" si="4"/>
        <v>0</v>
      </c>
      <c r="H60" s="261">
        <f t="shared" si="4"/>
        <v>0</v>
      </c>
      <c r="I60" s="261">
        <f t="shared" si="4"/>
        <v>0</v>
      </c>
      <c r="J60" s="261">
        <f t="shared" si="4"/>
        <v>0</v>
      </c>
      <c r="K60" s="261">
        <f t="shared" si="4"/>
        <v>2.0000000000000004E-2</v>
      </c>
      <c r="L60" s="261">
        <f t="shared" si="4"/>
        <v>2.0000000000000004E-2</v>
      </c>
      <c r="M60" s="261">
        <f t="shared" si="4"/>
        <v>2.0000000000000004E-2</v>
      </c>
      <c r="N60" s="261">
        <f t="shared" si="4"/>
        <v>2.0000000000000004E-2</v>
      </c>
      <c r="O60" s="261">
        <f t="shared" si="4"/>
        <v>2.0000000000000004E-2</v>
      </c>
      <c r="P60" s="262">
        <f>SUM(D60:O60)</f>
        <v>0.10000000000000002</v>
      </c>
      <c r="Q60" s="250"/>
      <c r="R60" s="263"/>
      <c r="S60" s="250"/>
      <c r="T60" s="250"/>
      <c r="U60" s="250"/>
      <c r="V60" s="250"/>
      <c r="W60" s="250"/>
      <c r="X60" s="250"/>
      <c r="Y60" s="250"/>
      <c r="Z60" s="250"/>
      <c r="AA60" s="250"/>
      <c r="AB60" s="250"/>
      <c r="AC60" s="250"/>
      <c r="AD60" s="250"/>
      <c r="AE60" s="215"/>
    </row>
    <row r="61" spans="1:31" ht="18" hidden="1" customHeight="1" x14ac:dyDescent="0.25">
      <c r="A61" s="648"/>
      <c r="B61" s="650"/>
      <c r="C61" s="264" t="s">
        <v>50</v>
      </c>
      <c r="D61" s="265">
        <f>D42*$B$41/$P$41</f>
        <v>0</v>
      </c>
      <c r="E61" s="265">
        <f t="shared" ref="E61:O61" si="5">E42*$B$41/$P$41</f>
        <v>0</v>
      </c>
      <c r="F61" s="265">
        <f t="shared" si="5"/>
        <v>0</v>
      </c>
      <c r="G61" s="265">
        <f t="shared" si="5"/>
        <v>0</v>
      </c>
      <c r="H61" s="265">
        <f t="shared" si="5"/>
        <v>0</v>
      </c>
      <c r="I61" s="265">
        <f t="shared" si="5"/>
        <v>0</v>
      </c>
      <c r="J61" s="265">
        <f t="shared" si="5"/>
        <v>0</v>
      </c>
      <c r="K61" s="265">
        <f t="shared" si="5"/>
        <v>2.0000000000000004E-2</v>
      </c>
      <c r="L61" s="265">
        <f t="shared" si="5"/>
        <v>2.0000000000000004E-2</v>
      </c>
      <c r="M61" s="265">
        <f t="shared" si="5"/>
        <v>0</v>
      </c>
      <c r="N61" s="265">
        <f t="shared" si="5"/>
        <v>0</v>
      </c>
      <c r="O61" s="265">
        <f t="shared" si="5"/>
        <v>0</v>
      </c>
      <c r="P61" s="266">
        <f>SUM(D61:O61)</f>
        <v>4.0000000000000008E-2</v>
      </c>
      <c r="Q61" s="263"/>
      <c r="R61" s="263"/>
      <c r="S61" s="250"/>
      <c r="T61" s="250"/>
      <c r="U61" s="250"/>
      <c r="V61" s="250"/>
      <c r="W61" s="250"/>
      <c r="X61" s="250"/>
      <c r="Y61" s="250"/>
      <c r="Z61" s="250"/>
      <c r="AA61" s="250"/>
      <c r="AB61" s="250"/>
      <c r="AC61" s="250"/>
      <c r="AD61" s="250"/>
      <c r="AE61" s="215"/>
    </row>
    <row r="62" spans="1:31" ht="18" hidden="1" customHeight="1" x14ac:dyDescent="0.25">
      <c r="A62" s="647" t="str">
        <f t="shared" ref="A62:B62" si="6">+A43</f>
        <v>6. Ejecutar el pilotaje de las estrategias en comunidades seleccionadas, realizar el seguimiento de su implementación y ajustar las estrategias basándose en los resultados obtenidos. Desarrollar las acciones narrativas y comunicativas de cada estrategia.</v>
      </c>
      <c r="B62" s="649">
        <f t="shared" si="6"/>
        <v>0.32</v>
      </c>
      <c r="C62" s="260" t="s">
        <v>48</v>
      </c>
      <c r="D62" s="261">
        <f>D43*$B$43/$P$43</f>
        <v>0</v>
      </c>
      <c r="E62" s="261">
        <f t="shared" ref="E62:O62" si="7">E43*$B$43/$P$43</f>
        <v>0</v>
      </c>
      <c r="F62" s="261">
        <f t="shared" si="7"/>
        <v>0</v>
      </c>
      <c r="G62" s="261">
        <f t="shared" si="7"/>
        <v>0</v>
      </c>
      <c r="H62" s="261">
        <f t="shared" si="7"/>
        <v>0</v>
      </c>
      <c r="I62" s="261">
        <f t="shared" si="7"/>
        <v>0</v>
      </c>
      <c r="J62" s="261">
        <f t="shared" si="7"/>
        <v>0</v>
      </c>
      <c r="K62" s="261">
        <f t="shared" si="7"/>
        <v>0</v>
      </c>
      <c r="L62" s="261">
        <f t="shared" si="7"/>
        <v>9.6000000000000016E-2</v>
      </c>
      <c r="M62" s="261">
        <f t="shared" si="7"/>
        <v>9.6000000000000016E-2</v>
      </c>
      <c r="N62" s="261">
        <f t="shared" si="7"/>
        <v>9.6000000000000016E-2</v>
      </c>
      <c r="O62" s="261">
        <f t="shared" si="7"/>
        <v>3.2000000000000008E-2</v>
      </c>
      <c r="P62" s="262">
        <f>SUM(D62:O62)</f>
        <v>0.32000000000000006</v>
      </c>
      <c r="Q62" s="250"/>
      <c r="R62" s="263"/>
      <c r="S62" s="250"/>
      <c r="T62" s="250"/>
      <c r="U62" s="250"/>
      <c r="V62" s="250"/>
      <c r="W62" s="250"/>
      <c r="X62" s="250"/>
      <c r="Y62" s="250"/>
      <c r="Z62" s="250"/>
      <c r="AA62" s="250"/>
      <c r="AB62" s="250"/>
      <c r="AC62" s="250"/>
      <c r="AD62" s="250"/>
      <c r="AE62" s="215"/>
    </row>
    <row r="63" spans="1:31" ht="18" hidden="1" customHeight="1" x14ac:dyDescent="0.25">
      <c r="A63" s="648"/>
      <c r="B63" s="650"/>
      <c r="C63" s="264" t="s">
        <v>50</v>
      </c>
      <c r="D63" s="265">
        <f>D44*$B$43/$P$43</f>
        <v>0</v>
      </c>
      <c r="E63" s="265">
        <f t="shared" ref="E63:O63" si="8">E44*$B$43/$P$43</f>
        <v>0</v>
      </c>
      <c r="F63" s="265">
        <f t="shared" si="8"/>
        <v>0</v>
      </c>
      <c r="G63" s="265">
        <f t="shared" si="8"/>
        <v>0</v>
      </c>
      <c r="H63" s="265">
        <f t="shared" si="8"/>
        <v>0</v>
      </c>
      <c r="I63" s="265">
        <f t="shared" si="8"/>
        <v>0</v>
      </c>
      <c r="J63" s="265">
        <f t="shared" si="8"/>
        <v>0</v>
      </c>
      <c r="K63" s="265">
        <f t="shared" si="8"/>
        <v>0</v>
      </c>
      <c r="L63" s="265">
        <f t="shared" si="8"/>
        <v>9.6000000000000016E-2</v>
      </c>
      <c r="M63" s="265">
        <f t="shared" si="8"/>
        <v>0</v>
      </c>
      <c r="N63" s="265">
        <f t="shared" si="8"/>
        <v>0</v>
      </c>
      <c r="O63" s="265">
        <f t="shared" si="8"/>
        <v>0</v>
      </c>
      <c r="P63" s="266">
        <f t="shared" ref="P63:P67" si="9">SUM(D63:O63)</f>
        <v>9.6000000000000016E-2</v>
      </c>
      <c r="Q63" s="263"/>
      <c r="R63" s="263"/>
      <c r="S63" s="250"/>
      <c r="T63" s="250"/>
      <c r="U63" s="250"/>
      <c r="V63" s="250"/>
      <c r="W63" s="250"/>
      <c r="X63" s="250"/>
      <c r="Y63" s="250"/>
      <c r="Z63" s="250"/>
      <c r="AA63" s="250"/>
      <c r="AB63" s="250"/>
      <c r="AC63" s="250"/>
      <c r="AD63" s="250"/>
      <c r="AE63" s="215"/>
    </row>
    <row r="64" spans="1:31" ht="18" hidden="1" customHeight="1" x14ac:dyDescent="0.25">
      <c r="A64" s="647" t="str">
        <f t="shared" ref="A64:B64" si="10">+A45</f>
        <v>7. Elaborar documentos de formulación técnica que detallen el desarrollo y los resultados de las estrategias de transformación cultural. Incluir un balance de las acciones adelantadas y su impacto.</v>
      </c>
      <c r="B64" s="649">
        <f t="shared" si="10"/>
        <v>0.18</v>
      </c>
      <c r="C64" s="260" t="s">
        <v>48</v>
      </c>
      <c r="D64" s="261">
        <f>D45*$B$45/$P$45</f>
        <v>0</v>
      </c>
      <c r="E64" s="261">
        <f t="shared" ref="E64:O64" si="11">E45*$B$45/$P$45</f>
        <v>0</v>
      </c>
      <c r="F64" s="261">
        <f t="shared" si="11"/>
        <v>0</v>
      </c>
      <c r="G64" s="261">
        <f t="shared" si="11"/>
        <v>0</v>
      </c>
      <c r="H64" s="261">
        <f t="shared" si="11"/>
        <v>0</v>
      </c>
      <c r="I64" s="261">
        <f t="shared" si="11"/>
        <v>0</v>
      </c>
      <c r="J64" s="261">
        <f t="shared" si="11"/>
        <v>0</v>
      </c>
      <c r="K64" s="261">
        <f t="shared" si="11"/>
        <v>0</v>
      </c>
      <c r="L64" s="261">
        <f t="shared" si="11"/>
        <v>0</v>
      </c>
      <c r="M64" s="261">
        <f t="shared" si="11"/>
        <v>5.3999999999999999E-2</v>
      </c>
      <c r="N64" s="261">
        <f t="shared" si="11"/>
        <v>5.3999999999999999E-2</v>
      </c>
      <c r="O64" s="261">
        <f t="shared" si="11"/>
        <v>7.1999999999999995E-2</v>
      </c>
      <c r="P64" s="262">
        <f>SUM(D64:O64)</f>
        <v>0.18</v>
      </c>
      <c r="Q64" s="250"/>
      <c r="R64" s="263"/>
      <c r="S64" s="250"/>
      <c r="T64" s="250"/>
      <c r="U64" s="250"/>
      <c r="V64" s="250"/>
      <c r="W64" s="250"/>
      <c r="X64" s="250"/>
      <c r="Y64" s="250"/>
      <c r="Z64" s="250"/>
      <c r="AA64" s="250"/>
      <c r="AB64" s="250"/>
      <c r="AC64" s="250"/>
      <c r="AD64" s="250"/>
      <c r="AE64" s="215"/>
    </row>
    <row r="65" spans="1:31" ht="18" hidden="1" customHeight="1" x14ac:dyDescent="0.25">
      <c r="A65" s="648"/>
      <c r="B65" s="650"/>
      <c r="C65" s="264" t="s">
        <v>50</v>
      </c>
      <c r="D65" s="265">
        <f>D46*$B$45/$P$45</f>
        <v>0</v>
      </c>
      <c r="E65" s="265">
        <f t="shared" ref="E65:O65" si="12">E46*$B$45/$P$45</f>
        <v>0</v>
      </c>
      <c r="F65" s="265">
        <f t="shared" si="12"/>
        <v>0</v>
      </c>
      <c r="G65" s="265">
        <f t="shared" si="12"/>
        <v>0</v>
      </c>
      <c r="H65" s="265">
        <f t="shared" si="12"/>
        <v>0</v>
      </c>
      <c r="I65" s="265">
        <f t="shared" si="12"/>
        <v>0</v>
      </c>
      <c r="J65" s="265">
        <f t="shared" si="12"/>
        <v>0</v>
      </c>
      <c r="K65" s="265">
        <f t="shared" si="12"/>
        <v>0</v>
      </c>
      <c r="L65" s="265">
        <f t="shared" si="12"/>
        <v>0</v>
      </c>
      <c r="M65" s="265">
        <f t="shared" si="12"/>
        <v>0</v>
      </c>
      <c r="N65" s="265">
        <f t="shared" si="12"/>
        <v>0</v>
      </c>
      <c r="O65" s="265">
        <f t="shared" si="12"/>
        <v>0</v>
      </c>
      <c r="P65" s="266">
        <f t="shared" si="9"/>
        <v>0</v>
      </c>
      <c r="Q65" s="263"/>
      <c r="R65" s="263"/>
      <c r="S65" s="250"/>
      <c r="T65" s="250"/>
      <c r="U65" s="250"/>
      <c r="V65" s="250"/>
      <c r="W65" s="250"/>
      <c r="X65" s="250"/>
      <c r="Y65" s="250"/>
      <c r="Z65" s="250"/>
      <c r="AA65" s="250"/>
      <c r="AB65" s="250"/>
      <c r="AC65" s="250"/>
      <c r="AD65" s="250"/>
      <c r="AE65" s="215"/>
    </row>
    <row r="66" spans="1:31" ht="18" hidden="1" customHeight="1" x14ac:dyDescent="0.25">
      <c r="A66" s="647" t="str">
        <f t="shared" ref="A66:B66" si="13">+A47</f>
        <v>8. Evaluar de manera integral las estrategias implementadas, identificar áreas de mejora y planificar ajustes para futuras intervenciones.</v>
      </c>
      <c r="B66" s="649">
        <f t="shared" si="13"/>
        <v>0.05</v>
      </c>
      <c r="C66" s="260" t="s">
        <v>48</v>
      </c>
      <c r="D66" s="261">
        <f>D47*$B$47/$P$47</f>
        <v>0</v>
      </c>
      <c r="E66" s="261">
        <f t="shared" ref="E66:O66" si="14">E47*$B$47/$P$47</f>
        <v>0</v>
      </c>
      <c r="F66" s="261">
        <f t="shared" si="14"/>
        <v>0</v>
      </c>
      <c r="G66" s="261">
        <f t="shared" si="14"/>
        <v>0</v>
      </c>
      <c r="H66" s="261">
        <f t="shared" si="14"/>
        <v>0</v>
      </c>
      <c r="I66" s="261">
        <f t="shared" si="14"/>
        <v>0</v>
      </c>
      <c r="J66" s="261">
        <f t="shared" si="14"/>
        <v>0</v>
      </c>
      <c r="K66" s="261">
        <f t="shared" si="14"/>
        <v>0</v>
      </c>
      <c r="L66" s="261">
        <f t="shared" si="14"/>
        <v>0</v>
      </c>
      <c r="M66" s="261">
        <f t="shared" si="14"/>
        <v>0</v>
      </c>
      <c r="N66" s="261">
        <f t="shared" si="14"/>
        <v>2.5000000000000001E-2</v>
      </c>
      <c r="O66" s="261">
        <f t="shared" si="14"/>
        <v>2.5000000000000001E-2</v>
      </c>
      <c r="P66" s="262">
        <f>SUM(D66:O66)</f>
        <v>0.05</v>
      </c>
      <c r="Q66" s="250"/>
      <c r="R66" s="263"/>
      <c r="S66" s="250"/>
      <c r="T66" s="250"/>
      <c r="U66" s="250"/>
      <c r="V66" s="250"/>
      <c r="W66" s="250"/>
      <c r="X66" s="250"/>
      <c r="Y66" s="250"/>
      <c r="Z66" s="250"/>
      <c r="AA66" s="250"/>
      <c r="AB66" s="250"/>
      <c r="AC66" s="250"/>
      <c r="AD66" s="250"/>
      <c r="AE66" s="215"/>
    </row>
    <row r="67" spans="1:31" ht="18" hidden="1" customHeight="1" thickBot="1" x14ac:dyDescent="0.3">
      <c r="A67" s="648"/>
      <c r="B67" s="650"/>
      <c r="C67" s="267" t="s">
        <v>50</v>
      </c>
      <c r="D67" s="265">
        <f>D48*$B$47/$P$47</f>
        <v>0</v>
      </c>
      <c r="E67" s="265">
        <f t="shared" ref="E67:O67" si="15">E48*$B$47/$P$47</f>
        <v>0</v>
      </c>
      <c r="F67" s="265">
        <f t="shared" si="15"/>
        <v>0</v>
      </c>
      <c r="G67" s="265">
        <f t="shared" si="15"/>
        <v>0</v>
      </c>
      <c r="H67" s="265">
        <f t="shared" si="15"/>
        <v>0</v>
      </c>
      <c r="I67" s="265">
        <f t="shared" si="15"/>
        <v>0</v>
      </c>
      <c r="J67" s="265">
        <f t="shared" si="15"/>
        <v>0</v>
      </c>
      <c r="K67" s="265">
        <f t="shared" si="15"/>
        <v>0</v>
      </c>
      <c r="L67" s="265">
        <f t="shared" si="15"/>
        <v>0</v>
      </c>
      <c r="M67" s="265">
        <f t="shared" si="15"/>
        <v>0</v>
      </c>
      <c r="N67" s="265">
        <f t="shared" si="15"/>
        <v>0</v>
      </c>
      <c r="O67" s="265">
        <f t="shared" si="15"/>
        <v>0</v>
      </c>
      <c r="P67" s="266">
        <f t="shared" si="9"/>
        <v>0</v>
      </c>
      <c r="Q67" s="263"/>
      <c r="R67" s="263"/>
      <c r="S67" s="250"/>
      <c r="T67" s="250"/>
      <c r="U67" s="250"/>
      <c r="V67" s="250"/>
      <c r="W67" s="250"/>
      <c r="X67" s="250"/>
      <c r="Y67" s="250"/>
      <c r="Z67" s="250"/>
      <c r="AA67" s="250"/>
      <c r="AB67" s="250"/>
      <c r="AC67" s="250"/>
      <c r="AD67" s="250"/>
      <c r="AE67" s="215"/>
    </row>
    <row r="68" spans="1:31" ht="18" hidden="1" customHeight="1" x14ac:dyDescent="0.25">
      <c r="A68" s="647" t="str">
        <f t="shared" ref="A68:B68" si="16">+A49</f>
        <v>9. Realizar las acciones pertinentes para el desarrollo de la secretaría técnica del Consejo Consultivo de Mujeres de Bogotá, Mesa Coordinadora, Espacio Autónomo, Espacio Ampliado, según las funciones establecidas en el Decreto 364 de 2021.</v>
      </c>
      <c r="B68" s="649">
        <f t="shared" si="16"/>
        <v>0.02</v>
      </c>
      <c r="C68" s="260" t="s">
        <v>48</v>
      </c>
      <c r="D68" s="261">
        <f>D49*$B$49/$P$49</f>
        <v>0</v>
      </c>
      <c r="E68" s="261">
        <f t="shared" ref="E68:O68" si="17">E49*$B$49/$P$49</f>
        <v>0</v>
      </c>
      <c r="F68" s="261">
        <f t="shared" si="17"/>
        <v>0</v>
      </c>
      <c r="G68" s="261">
        <f t="shared" si="17"/>
        <v>0</v>
      </c>
      <c r="H68" s="261">
        <f t="shared" si="17"/>
        <v>0</v>
      </c>
      <c r="I68" s="261">
        <f t="shared" si="17"/>
        <v>0</v>
      </c>
      <c r="J68" s="261">
        <f t="shared" si="17"/>
        <v>0</v>
      </c>
      <c r="K68" s="261">
        <f t="shared" si="17"/>
        <v>4.0000000000000001E-3</v>
      </c>
      <c r="L68" s="261">
        <f t="shared" si="17"/>
        <v>4.0000000000000001E-3</v>
      </c>
      <c r="M68" s="261">
        <f t="shared" si="17"/>
        <v>4.0000000000000001E-3</v>
      </c>
      <c r="N68" s="261">
        <f t="shared" si="17"/>
        <v>4.0000000000000001E-3</v>
      </c>
      <c r="O68" s="261">
        <f t="shared" si="17"/>
        <v>4.0000000000000001E-3</v>
      </c>
      <c r="P68" s="262">
        <f>SUM(D68:O68)</f>
        <v>0.02</v>
      </c>
      <c r="Q68" s="250"/>
      <c r="R68" s="263"/>
      <c r="S68" s="250"/>
      <c r="T68" s="250"/>
      <c r="U68" s="250"/>
      <c r="V68" s="250"/>
      <c r="W68" s="250"/>
      <c r="X68" s="250"/>
      <c r="Y68" s="250"/>
      <c r="Z68" s="250"/>
      <c r="AA68" s="250"/>
      <c r="AB68" s="250"/>
      <c r="AC68" s="250"/>
      <c r="AD68" s="250"/>
      <c r="AE68" s="215"/>
    </row>
    <row r="69" spans="1:31" ht="18" hidden="1" customHeight="1" x14ac:dyDescent="0.25">
      <c r="A69" s="648"/>
      <c r="B69" s="650"/>
      <c r="C69" s="264" t="s">
        <v>50</v>
      </c>
      <c r="D69" s="265">
        <f>D50*$B$49/$P$49</f>
        <v>0</v>
      </c>
      <c r="E69" s="265">
        <f t="shared" ref="E69:O69" si="18">E50*$B$49/$P$49</f>
        <v>0</v>
      </c>
      <c r="F69" s="265">
        <f t="shared" si="18"/>
        <v>0</v>
      </c>
      <c r="G69" s="265">
        <f t="shared" si="18"/>
        <v>0</v>
      </c>
      <c r="H69" s="265">
        <f t="shared" si="18"/>
        <v>0</v>
      </c>
      <c r="I69" s="265">
        <f t="shared" si="18"/>
        <v>0</v>
      </c>
      <c r="J69" s="265">
        <f t="shared" si="18"/>
        <v>0</v>
      </c>
      <c r="K69" s="265">
        <f t="shared" si="18"/>
        <v>4.0000000000000001E-3</v>
      </c>
      <c r="L69" s="265">
        <f t="shared" si="18"/>
        <v>0</v>
      </c>
      <c r="M69" s="265">
        <f t="shared" si="18"/>
        <v>0</v>
      </c>
      <c r="N69" s="265">
        <f t="shared" si="18"/>
        <v>0</v>
      </c>
      <c r="O69" s="265">
        <f t="shared" si="18"/>
        <v>0</v>
      </c>
      <c r="P69" s="266">
        <f>SUM(D69:O69)</f>
        <v>4.0000000000000001E-3</v>
      </c>
      <c r="Q69" s="263"/>
      <c r="R69" s="263"/>
      <c r="S69" s="250"/>
      <c r="T69" s="250"/>
      <c r="U69" s="250"/>
      <c r="V69" s="250"/>
      <c r="W69" s="250"/>
      <c r="X69" s="250"/>
      <c r="Y69" s="250"/>
      <c r="Z69" s="250"/>
      <c r="AA69" s="250"/>
      <c r="AB69" s="250"/>
      <c r="AC69" s="250"/>
      <c r="AD69" s="250"/>
      <c r="AE69" s="215"/>
    </row>
    <row r="70" spans="1:31" ht="18" hidden="1" customHeight="1" x14ac:dyDescent="0.25">
      <c r="A70" s="647" t="str">
        <f t="shared" ref="A70:B70" si="19">+A51</f>
        <v>10. Acompañar técnicamente la transversalización del enfoque de género en el Concejo de Bogotá, con énfasis en las bancadas de mujeres de este órgano</v>
      </c>
      <c r="B70" s="649">
        <f t="shared" si="19"/>
        <v>0.02</v>
      </c>
      <c r="C70" s="260" t="s">
        <v>48</v>
      </c>
      <c r="D70" s="261">
        <f>D51*$B$51/$P$51</f>
        <v>0</v>
      </c>
      <c r="E70" s="261">
        <f t="shared" ref="E70:O70" si="20">E51*$B$51/$P$51</f>
        <v>0</v>
      </c>
      <c r="F70" s="261">
        <f t="shared" si="20"/>
        <v>0</v>
      </c>
      <c r="G70" s="261">
        <f t="shared" si="20"/>
        <v>0</v>
      </c>
      <c r="H70" s="261">
        <f t="shared" si="20"/>
        <v>0</v>
      </c>
      <c r="I70" s="261">
        <f t="shared" si="20"/>
        <v>0</v>
      </c>
      <c r="J70" s="261">
        <f t="shared" si="20"/>
        <v>0</v>
      </c>
      <c r="K70" s="261">
        <f t="shared" si="20"/>
        <v>4.0000000000000001E-3</v>
      </c>
      <c r="L70" s="261">
        <f t="shared" si="20"/>
        <v>4.0000000000000001E-3</v>
      </c>
      <c r="M70" s="261">
        <f t="shared" si="20"/>
        <v>4.0000000000000001E-3</v>
      </c>
      <c r="N70" s="261">
        <f t="shared" si="20"/>
        <v>4.0000000000000001E-3</v>
      </c>
      <c r="O70" s="261">
        <f t="shared" si="20"/>
        <v>4.0000000000000001E-3</v>
      </c>
      <c r="P70" s="262">
        <f>SUM(D70:O70)</f>
        <v>0.02</v>
      </c>
      <c r="Q70" s="250"/>
      <c r="R70" s="263"/>
      <c r="S70" s="250"/>
      <c r="T70" s="250"/>
      <c r="U70" s="250"/>
      <c r="V70" s="250"/>
      <c r="W70" s="250"/>
      <c r="X70" s="250"/>
      <c r="Y70" s="250"/>
      <c r="Z70" s="250"/>
      <c r="AA70" s="250"/>
      <c r="AB70" s="250"/>
      <c r="AC70" s="250"/>
      <c r="AD70" s="250"/>
      <c r="AE70" s="215"/>
    </row>
    <row r="71" spans="1:31" ht="18" hidden="1" customHeight="1" x14ac:dyDescent="0.25">
      <c r="A71" s="648"/>
      <c r="B71" s="650"/>
      <c r="C71" s="264" t="s">
        <v>50</v>
      </c>
      <c r="D71" s="265">
        <f>D52*$B$51/$P$51</f>
        <v>0</v>
      </c>
      <c r="E71" s="265">
        <f t="shared" ref="E71:O71" si="21">E52*$B$51/$P$51</f>
        <v>0</v>
      </c>
      <c r="F71" s="265">
        <f t="shared" si="21"/>
        <v>0</v>
      </c>
      <c r="G71" s="265">
        <f t="shared" si="21"/>
        <v>0</v>
      </c>
      <c r="H71" s="265">
        <f t="shared" si="21"/>
        <v>0</v>
      </c>
      <c r="I71" s="265">
        <f t="shared" si="21"/>
        <v>0</v>
      </c>
      <c r="J71" s="265">
        <f t="shared" si="21"/>
        <v>0</v>
      </c>
      <c r="K71" s="265">
        <f t="shared" si="21"/>
        <v>4.0000000000000001E-3</v>
      </c>
      <c r="L71" s="265">
        <f t="shared" si="21"/>
        <v>4.0000000000000001E-3</v>
      </c>
      <c r="M71" s="265">
        <f t="shared" si="21"/>
        <v>0</v>
      </c>
      <c r="N71" s="265">
        <f t="shared" si="21"/>
        <v>0</v>
      </c>
      <c r="O71" s="265">
        <f t="shared" si="21"/>
        <v>0</v>
      </c>
      <c r="P71" s="266">
        <f t="shared" ref="P71" si="22">SUM(D71:O71)</f>
        <v>8.0000000000000002E-3</v>
      </c>
      <c r="Q71" s="263"/>
      <c r="R71" s="263"/>
      <c r="S71" s="250"/>
      <c r="T71" s="250"/>
      <c r="U71" s="250"/>
      <c r="V71" s="250"/>
      <c r="W71" s="250"/>
      <c r="X71" s="250"/>
      <c r="Y71" s="250"/>
      <c r="Z71" s="250"/>
      <c r="AA71" s="250"/>
      <c r="AB71" s="250"/>
      <c r="AC71" s="250"/>
      <c r="AD71" s="250"/>
      <c r="AE71" s="215"/>
    </row>
    <row r="72" spans="1:31" ht="15" hidden="1" x14ac:dyDescent="0.25">
      <c r="A72" s="652"/>
      <c r="B72" s="651"/>
      <c r="C72" s="187"/>
      <c r="D72" s="261"/>
      <c r="E72" s="261"/>
      <c r="F72" s="261"/>
      <c r="G72" s="261"/>
      <c r="H72" s="261"/>
      <c r="I72" s="261"/>
      <c r="J72" s="261"/>
      <c r="K72" s="261"/>
      <c r="L72" s="261"/>
      <c r="M72" s="261"/>
      <c r="N72" s="261"/>
      <c r="O72" s="261"/>
      <c r="P72" s="268"/>
      <c r="Q72" s="250"/>
      <c r="R72" s="263"/>
      <c r="S72" s="250"/>
      <c r="T72" s="250"/>
      <c r="U72" s="250"/>
      <c r="V72" s="250"/>
      <c r="W72" s="250"/>
      <c r="X72" s="250"/>
      <c r="Y72" s="250"/>
      <c r="Z72" s="250"/>
      <c r="AA72" s="250"/>
      <c r="AB72" s="250"/>
      <c r="AC72" s="250"/>
      <c r="AD72" s="250"/>
      <c r="AE72" s="215"/>
    </row>
    <row r="73" spans="1:31" ht="15" hidden="1" x14ac:dyDescent="0.25">
      <c r="A73" s="652"/>
      <c r="B73" s="651"/>
      <c r="C73" s="187"/>
      <c r="D73" s="269"/>
      <c r="E73" s="269"/>
      <c r="F73" s="269"/>
      <c r="G73" s="269"/>
      <c r="H73" s="269"/>
      <c r="I73" s="269"/>
      <c r="J73" s="269"/>
      <c r="K73" s="269"/>
      <c r="L73" s="269"/>
      <c r="M73" s="269"/>
      <c r="N73" s="269"/>
      <c r="O73" s="269"/>
      <c r="P73" s="268"/>
      <c r="Q73" s="263"/>
      <c r="R73" s="263"/>
      <c r="S73" s="250"/>
      <c r="T73" s="250"/>
      <c r="U73" s="250"/>
      <c r="V73" s="250"/>
      <c r="W73" s="250"/>
      <c r="X73" s="250"/>
      <c r="Y73" s="250"/>
      <c r="Z73" s="250"/>
      <c r="AA73" s="250"/>
      <c r="AB73" s="250"/>
      <c r="AC73" s="250"/>
      <c r="AD73" s="250"/>
      <c r="AE73" s="215"/>
    </row>
    <row r="74" spans="1:31" ht="15" hidden="1" x14ac:dyDescent="0.25">
      <c r="A74" s="652"/>
      <c r="B74" s="651"/>
      <c r="C74" s="187"/>
      <c r="D74" s="261"/>
      <c r="E74" s="261"/>
      <c r="F74" s="261"/>
      <c r="G74" s="261"/>
      <c r="H74" s="261"/>
      <c r="I74" s="261"/>
      <c r="J74" s="261"/>
      <c r="K74" s="261"/>
      <c r="L74" s="261"/>
      <c r="M74" s="261"/>
      <c r="N74" s="261"/>
      <c r="O74" s="261"/>
      <c r="P74" s="268"/>
      <c r="Q74" s="250"/>
      <c r="R74" s="263"/>
      <c r="S74" s="250"/>
      <c r="T74" s="250"/>
      <c r="U74" s="250"/>
      <c r="V74" s="250"/>
      <c r="W74" s="250"/>
      <c r="X74" s="250"/>
      <c r="Y74" s="250"/>
      <c r="Z74" s="250"/>
      <c r="AA74" s="250"/>
      <c r="AB74" s="250"/>
      <c r="AC74" s="250"/>
      <c r="AD74" s="250"/>
      <c r="AE74" s="215"/>
    </row>
    <row r="75" spans="1:31" ht="15" hidden="1" x14ac:dyDescent="0.25">
      <c r="A75" s="652"/>
      <c r="B75" s="651"/>
      <c r="C75" s="187"/>
      <c r="D75" s="269"/>
      <c r="E75" s="269"/>
      <c r="F75" s="269"/>
      <c r="G75" s="269"/>
      <c r="H75" s="269"/>
      <c r="I75" s="269"/>
      <c r="J75" s="269"/>
      <c r="K75" s="269"/>
      <c r="L75" s="269"/>
      <c r="M75" s="269"/>
      <c r="N75" s="269"/>
      <c r="O75" s="269"/>
      <c r="P75" s="268"/>
      <c r="Q75" s="263"/>
      <c r="R75" s="263"/>
      <c r="S75" s="250"/>
      <c r="T75" s="250"/>
      <c r="U75" s="250"/>
      <c r="V75" s="250"/>
      <c r="W75" s="250"/>
      <c r="X75" s="250"/>
      <c r="Y75" s="250"/>
      <c r="Z75" s="250"/>
      <c r="AA75" s="250"/>
      <c r="AB75" s="250"/>
      <c r="AC75" s="250"/>
      <c r="AD75" s="250"/>
      <c r="AE75" s="215"/>
    </row>
    <row r="76" spans="1:31" ht="15" hidden="1" x14ac:dyDescent="0.25">
      <c r="A76" s="652"/>
      <c r="B76" s="651"/>
      <c r="C76" s="187"/>
      <c r="D76" s="261"/>
      <c r="E76" s="261"/>
      <c r="F76" s="261"/>
      <c r="G76" s="261"/>
      <c r="H76" s="261"/>
      <c r="I76" s="261"/>
      <c r="J76" s="261"/>
      <c r="K76" s="261"/>
      <c r="L76" s="261"/>
      <c r="M76" s="261"/>
      <c r="N76" s="261"/>
      <c r="O76" s="261"/>
      <c r="P76" s="268"/>
      <c r="Q76" s="250"/>
      <c r="R76" s="263"/>
      <c r="S76" s="250"/>
      <c r="T76" s="250"/>
      <c r="U76" s="250"/>
      <c r="V76" s="250"/>
      <c r="W76" s="250"/>
      <c r="X76" s="250"/>
      <c r="Y76" s="250"/>
      <c r="Z76" s="250"/>
      <c r="AA76" s="250"/>
      <c r="AB76" s="250"/>
      <c r="AC76" s="250"/>
      <c r="AD76" s="250"/>
      <c r="AE76" s="215"/>
    </row>
    <row r="77" spans="1:31" ht="15" hidden="1" x14ac:dyDescent="0.25">
      <c r="A77" s="652"/>
      <c r="B77" s="651"/>
      <c r="C77" s="187"/>
      <c r="D77" s="269"/>
      <c r="E77" s="269"/>
      <c r="F77" s="269"/>
      <c r="G77" s="269"/>
      <c r="H77" s="269"/>
      <c r="I77" s="269"/>
      <c r="J77" s="269"/>
      <c r="K77" s="269"/>
      <c r="L77" s="269"/>
      <c r="M77" s="269"/>
      <c r="N77" s="269"/>
      <c r="O77" s="269"/>
      <c r="P77" s="268"/>
      <c r="Q77" s="263"/>
      <c r="R77" s="263"/>
      <c r="S77" s="250"/>
      <c r="T77" s="250"/>
      <c r="U77" s="250"/>
      <c r="V77" s="250"/>
      <c r="W77" s="250"/>
      <c r="X77" s="250"/>
      <c r="Y77" s="250"/>
      <c r="Z77" s="250"/>
      <c r="AA77" s="250"/>
      <c r="AB77" s="250"/>
      <c r="AC77" s="250"/>
      <c r="AD77" s="250"/>
      <c r="AE77" s="215"/>
    </row>
    <row r="78" spans="1:31" ht="15" hidden="1" x14ac:dyDescent="0.25">
      <c r="A78" s="250"/>
      <c r="C78" s="270"/>
      <c r="D78" s="271">
        <f>+D61+D63+D65+D67+D69+D71</f>
        <v>0</v>
      </c>
      <c r="E78" s="271">
        <f t="shared" ref="E78:P78" si="23">+E61+E63+E65+E67+E69+E71</f>
        <v>0</v>
      </c>
      <c r="F78" s="271">
        <f t="shared" si="23"/>
        <v>0</v>
      </c>
      <c r="G78" s="271">
        <f t="shared" si="23"/>
        <v>0</v>
      </c>
      <c r="H78" s="271">
        <f t="shared" si="23"/>
        <v>0</v>
      </c>
      <c r="I78" s="271">
        <f t="shared" si="23"/>
        <v>0</v>
      </c>
      <c r="J78" s="271">
        <f t="shared" si="23"/>
        <v>0</v>
      </c>
      <c r="K78" s="271">
        <f t="shared" si="23"/>
        <v>2.8000000000000004E-2</v>
      </c>
      <c r="L78" s="271">
        <f t="shared" si="23"/>
        <v>0.12000000000000002</v>
      </c>
      <c r="M78" s="271">
        <f t="shared" si="23"/>
        <v>0</v>
      </c>
      <c r="N78" s="271">
        <f t="shared" si="23"/>
        <v>0</v>
      </c>
      <c r="O78" s="271">
        <f t="shared" si="23"/>
        <v>0</v>
      </c>
      <c r="P78" s="271">
        <f t="shared" si="23"/>
        <v>0.14800000000000002</v>
      </c>
      <c r="Q78" s="250"/>
      <c r="R78" s="263"/>
      <c r="S78" s="250"/>
      <c r="T78" s="250"/>
      <c r="U78" s="250"/>
      <c r="V78" s="250"/>
      <c r="W78" s="250"/>
      <c r="X78" s="250"/>
      <c r="Y78" s="250"/>
      <c r="Z78" s="250"/>
      <c r="AA78" s="250"/>
      <c r="AB78" s="250"/>
      <c r="AC78" s="250"/>
      <c r="AD78" s="250"/>
      <c r="AE78" s="215"/>
    </row>
    <row r="79" spans="1:31" ht="15" hidden="1" x14ac:dyDescent="0.25">
      <c r="A79" s="250"/>
      <c r="C79" s="272" t="s">
        <v>50</v>
      </c>
      <c r="D79" s="273">
        <f>D78*1/$B$35</f>
        <v>0</v>
      </c>
      <c r="E79" s="273">
        <f t="shared" ref="E79:O79" si="24">E78*1/$B$35</f>
        <v>0</v>
      </c>
      <c r="F79" s="273">
        <f t="shared" si="24"/>
        <v>0</v>
      </c>
      <c r="G79" s="273">
        <f t="shared" si="24"/>
        <v>0</v>
      </c>
      <c r="H79" s="273">
        <f t="shared" si="24"/>
        <v>0</v>
      </c>
      <c r="I79" s="273">
        <f t="shared" si="24"/>
        <v>0</v>
      </c>
      <c r="J79" s="273">
        <f t="shared" si="24"/>
        <v>0</v>
      </c>
      <c r="K79" s="273">
        <f t="shared" si="24"/>
        <v>4.0579710144927547E-2</v>
      </c>
      <c r="L79" s="273">
        <f t="shared" si="24"/>
        <v>0.17391304347826092</v>
      </c>
      <c r="M79" s="273">
        <f t="shared" si="24"/>
        <v>0</v>
      </c>
      <c r="N79" s="273">
        <f t="shared" si="24"/>
        <v>0</v>
      </c>
      <c r="O79" s="273">
        <f t="shared" si="24"/>
        <v>0</v>
      </c>
      <c r="P79" s="274">
        <f>SUM(D79:O79)</f>
        <v>0.21449275362318848</v>
      </c>
      <c r="Q79" s="250"/>
      <c r="R79" s="250"/>
      <c r="S79" s="250"/>
      <c r="T79" s="250"/>
      <c r="U79" s="250"/>
      <c r="V79" s="250"/>
      <c r="W79" s="250"/>
      <c r="X79" s="250"/>
      <c r="Y79" s="250"/>
      <c r="Z79" s="250"/>
      <c r="AA79" s="250"/>
      <c r="AB79" s="250"/>
      <c r="AC79" s="250"/>
      <c r="AD79" s="250"/>
      <c r="AE79" s="215"/>
    </row>
    <row r="80" spans="1:31" hidden="1" x14ac:dyDescent="0.25">
      <c r="A80" s="250"/>
      <c r="Q80" s="250"/>
      <c r="R80" s="250"/>
      <c r="S80" s="250"/>
      <c r="T80" s="250"/>
      <c r="U80" s="250"/>
      <c r="V80" s="250"/>
      <c r="W80" s="250"/>
      <c r="X80" s="250"/>
      <c r="Y80" s="250"/>
      <c r="Z80" s="250"/>
      <c r="AA80" s="250"/>
      <c r="AB80" s="250"/>
      <c r="AC80" s="250"/>
      <c r="AD80" s="250"/>
      <c r="AE80" s="215"/>
    </row>
    <row r="81" spans="1:31" ht="15" hidden="1" x14ac:dyDescent="0.25">
      <c r="A81" s="250"/>
      <c r="D81" s="271">
        <f>+D60+D62+D64+D66+D68+D70</f>
        <v>0</v>
      </c>
      <c r="E81" s="271">
        <f t="shared" ref="E81:P81" si="25">+E60+E62+E64+E66+E68+E70</f>
        <v>0</v>
      </c>
      <c r="F81" s="271">
        <f t="shared" si="25"/>
        <v>0</v>
      </c>
      <c r="G81" s="271">
        <f t="shared" si="25"/>
        <v>0</v>
      </c>
      <c r="H81" s="271">
        <f t="shared" si="25"/>
        <v>0</v>
      </c>
      <c r="I81" s="271">
        <f t="shared" si="25"/>
        <v>0</v>
      </c>
      <c r="J81" s="271">
        <f t="shared" si="25"/>
        <v>0</v>
      </c>
      <c r="K81" s="271">
        <f t="shared" si="25"/>
        <v>2.8000000000000004E-2</v>
      </c>
      <c r="L81" s="271">
        <f t="shared" si="25"/>
        <v>0.12400000000000003</v>
      </c>
      <c r="M81" s="271">
        <f t="shared" si="25"/>
        <v>0.17800000000000002</v>
      </c>
      <c r="N81" s="271">
        <f t="shared" si="25"/>
        <v>0.20300000000000001</v>
      </c>
      <c r="O81" s="271">
        <f t="shared" si="25"/>
        <v>0.157</v>
      </c>
      <c r="P81" s="271">
        <f t="shared" si="25"/>
        <v>0.69000000000000017</v>
      </c>
      <c r="Q81" s="250"/>
      <c r="R81" s="250"/>
      <c r="S81" s="250"/>
      <c r="T81" s="250"/>
      <c r="U81" s="250"/>
      <c r="V81" s="250"/>
      <c r="W81" s="250"/>
      <c r="X81" s="250"/>
      <c r="Y81" s="250"/>
      <c r="Z81" s="250"/>
      <c r="AA81" s="250"/>
      <c r="AB81" s="250"/>
      <c r="AC81" s="250"/>
      <c r="AD81" s="250"/>
      <c r="AE81" s="215"/>
    </row>
    <row r="82" spans="1:31" ht="15" hidden="1" x14ac:dyDescent="0.25">
      <c r="A82" s="250"/>
      <c r="C82" s="272" t="s">
        <v>48</v>
      </c>
      <c r="D82" s="273">
        <f>D81*1/$B$35</f>
        <v>0</v>
      </c>
      <c r="E82" s="273">
        <f t="shared" ref="E82:O82" si="26">E81*1/$B$35</f>
        <v>0</v>
      </c>
      <c r="F82" s="273">
        <f t="shared" si="26"/>
        <v>0</v>
      </c>
      <c r="G82" s="273">
        <f t="shared" si="26"/>
        <v>0</v>
      </c>
      <c r="H82" s="273">
        <f t="shared" si="26"/>
        <v>0</v>
      </c>
      <c r="I82" s="273">
        <f t="shared" si="26"/>
        <v>0</v>
      </c>
      <c r="J82" s="273">
        <f t="shared" si="26"/>
        <v>0</v>
      </c>
      <c r="K82" s="273">
        <f t="shared" si="26"/>
        <v>4.0579710144927547E-2</v>
      </c>
      <c r="L82" s="273">
        <f t="shared" si="26"/>
        <v>0.17971014492753629</v>
      </c>
      <c r="M82" s="273">
        <f t="shared" si="26"/>
        <v>0.25797101449275367</v>
      </c>
      <c r="N82" s="273">
        <f t="shared" si="26"/>
        <v>0.29420289855072468</v>
      </c>
      <c r="O82" s="273">
        <f t="shared" si="26"/>
        <v>0.227536231884058</v>
      </c>
      <c r="P82" s="274">
        <f>SUM(D82:O82)</f>
        <v>1.0000000000000002</v>
      </c>
      <c r="Q82" s="250"/>
      <c r="R82" s="250"/>
      <c r="S82" s="250"/>
      <c r="T82" s="250"/>
      <c r="U82" s="250"/>
      <c r="V82" s="250"/>
      <c r="W82" s="250"/>
      <c r="X82" s="250"/>
      <c r="Y82" s="250"/>
      <c r="Z82" s="250"/>
      <c r="AA82" s="250"/>
      <c r="AB82" s="250"/>
      <c r="AC82" s="250"/>
      <c r="AD82" s="250"/>
      <c r="AE82" s="215"/>
    </row>
    <row r="83" spans="1:31" x14ac:dyDescent="0.25">
      <c r="Q83" s="215"/>
      <c r="R83" s="215"/>
      <c r="S83" s="215"/>
      <c r="T83" s="215"/>
      <c r="U83" s="215"/>
      <c r="V83" s="215"/>
      <c r="W83" s="215"/>
      <c r="X83" s="215"/>
      <c r="Y83" s="215"/>
      <c r="Z83" s="215"/>
      <c r="AA83" s="215"/>
      <c r="AB83" s="215"/>
      <c r="AC83" s="215"/>
      <c r="AD83" s="215"/>
      <c r="AE83" s="215"/>
    </row>
    <row r="84" spans="1:31" x14ac:dyDescent="0.25">
      <c r="Q84" s="215"/>
      <c r="R84" s="215"/>
      <c r="S84" s="215"/>
      <c r="T84" s="215"/>
      <c r="U84" s="215"/>
      <c r="V84" s="215"/>
      <c r="W84" s="215"/>
      <c r="X84" s="215"/>
      <c r="Y84" s="215"/>
      <c r="Z84" s="215"/>
      <c r="AA84" s="215"/>
      <c r="AB84" s="215"/>
      <c r="AC84" s="215"/>
      <c r="AD84" s="215"/>
      <c r="AE84" s="215"/>
    </row>
  </sheetData>
  <mergeCells count="112">
    <mergeCell ref="Y51:AE52"/>
    <mergeCell ref="A51:A52"/>
    <mergeCell ref="B51:B52"/>
    <mergeCell ref="Q51:X52"/>
    <mergeCell ref="A49:A50"/>
    <mergeCell ref="B49:B50"/>
    <mergeCell ref="Q49:X50"/>
    <mergeCell ref="Y49:AE50"/>
    <mergeCell ref="C17:AE17"/>
    <mergeCell ref="Y28:AE29"/>
    <mergeCell ref="Y30:AE30"/>
    <mergeCell ref="B20:O20"/>
    <mergeCell ref="U34:X34"/>
    <mergeCell ref="Y34:AB34"/>
    <mergeCell ref="A32:AE32"/>
    <mergeCell ref="Q33:AE33"/>
    <mergeCell ref="Q34:T34"/>
    <mergeCell ref="A33:A34"/>
    <mergeCell ref="B33:B34"/>
    <mergeCell ref="C33:C34"/>
    <mergeCell ref="D33:P33"/>
    <mergeCell ref="AC34:AE34"/>
    <mergeCell ref="A35:A36"/>
    <mergeCell ref="B35:B36"/>
    <mergeCell ref="L15:Q15"/>
    <mergeCell ref="AA15:AE15"/>
    <mergeCell ref="R15:X15"/>
    <mergeCell ref="Q28:X29"/>
    <mergeCell ref="Q30:X30"/>
    <mergeCell ref="B30:C30"/>
    <mergeCell ref="A19:AE19"/>
    <mergeCell ref="P20:AE20"/>
    <mergeCell ref="C16:AB16"/>
    <mergeCell ref="B28:C29"/>
    <mergeCell ref="A28:A29"/>
    <mergeCell ref="A17:B17"/>
    <mergeCell ref="A15:B15"/>
    <mergeCell ref="C15:K15"/>
    <mergeCell ref="Y15:Z15"/>
    <mergeCell ref="D28:O28"/>
    <mergeCell ref="P28:P29"/>
    <mergeCell ref="A27:AE27"/>
    <mergeCell ref="A1:A4"/>
    <mergeCell ref="B1:AA1"/>
    <mergeCell ref="B2:AA2"/>
    <mergeCell ref="B3:AA4"/>
    <mergeCell ref="AB1:AE1"/>
    <mergeCell ref="AB2:AE2"/>
    <mergeCell ref="AB3:AE3"/>
    <mergeCell ref="AB4:AE4"/>
    <mergeCell ref="A11:B13"/>
    <mergeCell ref="D7:H9"/>
    <mergeCell ref="O7:P7"/>
    <mergeCell ref="C11:AE13"/>
    <mergeCell ref="M7:N7"/>
    <mergeCell ref="O8:P8"/>
    <mergeCell ref="M9:N9"/>
    <mergeCell ref="O9:P9"/>
    <mergeCell ref="I7:J9"/>
    <mergeCell ref="K7:L9"/>
    <mergeCell ref="A7:B9"/>
    <mergeCell ref="C7:C9"/>
    <mergeCell ref="M8:N8"/>
    <mergeCell ref="A38:AE38"/>
    <mergeCell ref="Q40:X40"/>
    <mergeCell ref="C39:C40"/>
    <mergeCell ref="D39:P39"/>
    <mergeCell ref="Q35:T36"/>
    <mergeCell ref="U35:X36"/>
    <mergeCell ref="Y35:AB36"/>
    <mergeCell ref="AC35:AE36"/>
    <mergeCell ref="Q39:AE39"/>
    <mergeCell ref="A43:A44"/>
    <mergeCell ref="B43:B44"/>
    <mergeCell ref="A45:A46"/>
    <mergeCell ref="B45:B46"/>
    <mergeCell ref="Q47:X48"/>
    <mergeCell ref="Y47:AE48"/>
    <mergeCell ref="Y40:AE40"/>
    <mergeCell ref="Y41:AE42"/>
    <mergeCell ref="Q43:X44"/>
    <mergeCell ref="Y43:AE44"/>
    <mergeCell ref="Q45:X46"/>
    <mergeCell ref="Y45:AE46"/>
    <mergeCell ref="Q41:X42"/>
    <mergeCell ref="A39:A40"/>
    <mergeCell ref="B39:B40"/>
    <mergeCell ref="A41:A42"/>
    <mergeCell ref="B41:B42"/>
    <mergeCell ref="B76:B77"/>
    <mergeCell ref="B74:B75"/>
    <mergeCell ref="A74:A75"/>
    <mergeCell ref="A76:A77"/>
    <mergeCell ref="A47:A48"/>
    <mergeCell ref="B47:B48"/>
    <mergeCell ref="A58:A59"/>
    <mergeCell ref="B58:B59"/>
    <mergeCell ref="A72:A73"/>
    <mergeCell ref="B72:B73"/>
    <mergeCell ref="A68:A69"/>
    <mergeCell ref="B68:B69"/>
    <mergeCell ref="A70:A71"/>
    <mergeCell ref="B70:B71"/>
    <mergeCell ref="C58:P58"/>
    <mergeCell ref="A60:A61"/>
    <mergeCell ref="B60:B61"/>
    <mergeCell ref="A62:A63"/>
    <mergeCell ref="B62:B63"/>
    <mergeCell ref="A64:A65"/>
    <mergeCell ref="B64:B65"/>
    <mergeCell ref="A66:A67"/>
    <mergeCell ref="B66:B67"/>
  </mergeCells>
  <dataValidations count="3">
    <dataValidation type="textLength" operator="lessThanOrEqual" allowBlank="1" showInputMessage="1" showErrorMessage="1" errorTitle="Máximo 2.000 caracteres" error="Máximo 2.000 caracteres" sqref="Q43 Q51 Q47 Q45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 xr:uid="{58CC7987-5B01-4346-A4B0-5B866694AC93}">
      <formula1>$B$21:$M$21</formula1>
    </dataValidation>
  </dataValidations>
  <hyperlinks>
    <hyperlink ref="Y41" r:id="rId1" display="Agosto _x000a_https://secretariadistritald.sharepoint.com/:w:/s/BogotCaminaSegura/EQigQQA7-5BArSTr3R6K9ZsBghwEozjCVdizdPgRIei2EA?e=6Ksayw_x000a__x000a_Septiembre_x000a_https://secretariadistritald.sharepoint.com/:b:/s/BogotCaminaSegura/ESD19aneqfNImRWUsXXZ1oIB1PoiBxpMhUcOwofMYwY" xr:uid="{B9E2F1DD-CB43-4DCF-BA57-252619789C0E}"/>
  </hyperlinks>
  <printOptions horizontalCentered="1"/>
  <pageMargins left="0.39370078740157483" right="0.39370078740157483" top="0.39370078740157483" bottom="0.39370078740157483" header="0" footer="0"/>
  <pageSetup scale="2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5DB8-8F99-4B28-8D6B-F58B016A1763}">
  <sheetPr>
    <tabColor rgb="FFE674EC"/>
    <pageSetUpPr fitToPage="1"/>
  </sheetPr>
  <dimension ref="A1:AO84"/>
  <sheetViews>
    <sheetView showGridLines="0" tabSelected="1" view="pageBreakPreview" topLeftCell="M1" zoomScale="60" zoomScaleNormal="60" workbookViewId="0">
      <selection activeCell="A27" sqref="A27:AE27"/>
    </sheetView>
  </sheetViews>
  <sheetFormatPr baseColWidth="10" defaultColWidth="10.85546875" defaultRowHeight="14.25" x14ac:dyDescent="0.25"/>
  <cols>
    <col min="1" max="1" width="38.42578125" style="125" customWidth="1"/>
    <col min="2" max="2" width="20.5703125" style="125" customWidth="1"/>
    <col min="3" max="14" width="20.7109375" style="125" customWidth="1"/>
    <col min="15" max="15" width="20.5703125" style="125" customWidth="1"/>
    <col min="16" max="16" width="32.42578125" style="125" customWidth="1"/>
    <col min="17" max="27" width="18.140625" style="125" customWidth="1"/>
    <col min="28" max="28" width="22.7109375" style="125" customWidth="1"/>
    <col min="29" max="29" width="19" style="125" customWidth="1"/>
    <col min="30" max="30" width="19.42578125" style="125" customWidth="1"/>
    <col min="31" max="31" width="20.5703125" style="125" customWidth="1"/>
    <col min="32" max="32" width="22.85546875" style="125" customWidth="1"/>
    <col min="33" max="33" width="28.7109375" style="125" customWidth="1"/>
    <col min="34" max="34" width="8.42578125" style="125" customWidth="1"/>
    <col min="35" max="35" width="18.42578125" style="125" bestFit="1" customWidth="1"/>
    <col min="36" max="36" width="5.7109375" style="125" customWidth="1"/>
    <col min="37" max="37" width="18.42578125" style="125" bestFit="1" customWidth="1"/>
    <col min="38" max="38" width="4.7109375" style="125" customWidth="1"/>
    <col min="39" max="39" width="23" style="125" bestFit="1" customWidth="1"/>
    <col min="40" max="40" width="10.85546875" style="125"/>
    <col min="41" max="41" width="18.42578125" style="125" bestFit="1" customWidth="1"/>
    <col min="42" max="42" width="16.140625" style="125" customWidth="1"/>
    <col min="43" max="16384" width="10.85546875" style="125"/>
  </cols>
  <sheetData>
    <row r="1" spans="1:31" ht="32.25" customHeight="1" thickBot="1" x14ac:dyDescent="0.3">
      <c r="A1" s="522"/>
      <c r="B1" s="525" t="s">
        <v>121</v>
      </c>
      <c r="C1" s="526"/>
      <c r="D1" s="526"/>
      <c r="E1" s="526"/>
      <c r="F1" s="526"/>
      <c r="G1" s="526"/>
      <c r="H1" s="526"/>
      <c r="I1" s="526"/>
      <c r="J1" s="526"/>
      <c r="K1" s="526"/>
      <c r="L1" s="526"/>
      <c r="M1" s="526"/>
      <c r="N1" s="526"/>
      <c r="O1" s="526"/>
      <c r="P1" s="526"/>
      <c r="Q1" s="526"/>
      <c r="R1" s="526"/>
      <c r="S1" s="526"/>
      <c r="T1" s="526"/>
      <c r="U1" s="526"/>
      <c r="V1" s="526"/>
      <c r="W1" s="526"/>
      <c r="X1" s="526"/>
      <c r="Y1" s="526"/>
      <c r="Z1" s="526"/>
      <c r="AA1" s="527"/>
      <c r="AB1" s="528" t="s">
        <v>122</v>
      </c>
      <c r="AC1" s="529"/>
      <c r="AD1" s="529"/>
      <c r="AE1" s="530"/>
    </row>
    <row r="2" spans="1:31" ht="30.75" customHeight="1" thickBot="1" x14ac:dyDescent="0.3">
      <c r="A2" s="523"/>
      <c r="B2" s="525" t="s">
        <v>123</v>
      </c>
      <c r="C2" s="526"/>
      <c r="D2" s="526"/>
      <c r="E2" s="526"/>
      <c r="F2" s="526"/>
      <c r="G2" s="526"/>
      <c r="H2" s="526"/>
      <c r="I2" s="526"/>
      <c r="J2" s="526"/>
      <c r="K2" s="526"/>
      <c r="L2" s="526"/>
      <c r="M2" s="526"/>
      <c r="N2" s="526"/>
      <c r="O2" s="526"/>
      <c r="P2" s="526"/>
      <c r="Q2" s="526"/>
      <c r="R2" s="526"/>
      <c r="S2" s="526"/>
      <c r="T2" s="526"/>
      <c r="U2" s="526"/>
      <c r="V2" s="526"/>
      <c r="W2" s="526"/>
      <c r="X2" s="526"/>
      <c r="Y2" s="526"/>
      <c r="Z2" s="526"/>
      <c r="AA2" s="527"/>
      <c r="AB2" s="528" t="s">
        <v>124</v>
      </c>
      <c r="AC2" s="529"/>
      <c r="AD2" s="529"/>
      <c r="AE2" s="530"/>
    </row>
    <row r="3" spans="1:31" ht="24" customHeight="1" thickBot="1" x14ac:dyDescent="0.3">
      <c r="A3" s="523"/>
      <c r="B3" s="531" t="s">
        <v>125</v>
      </c>
      <c r="C3" s="532"/>
      <c r="D3" s="532"/>
      <c r="E3" s="532"/>
      <c r="F3" s="532"/>
      <c r="G3" s="532"/>
      <c r="H3" s="532"/>
      <c r="I3" s="532"/>
      <c r="J3" s="532"/>
      <c r="K3" s="532"/>
      <c r="L3" s="532"/>
      <c r="M3" s="532"/>
      <c r="N3" s="532"/>
      <c r="O3" s="532"/>
      <c r="P3" s="532"/>
      <c r="Q3" s="532"/>
      <c r="R3" s="532"/>
      <c r="S3" s="532"/>
      <c r="T3" s="532"/>
      <c r="U3" s="532"/>
      <c r="V3" s="532"/>
      <c r="W3" s="532"/>
      <c r="X3" s="532"/>
      <c r="Y3" s="532"/>
      <c r="Z3" s="532"/>
      <c r="AA3" s="533"/>
      <c r="AB3" s="528" t="s">
        <v>126</v>
      </c>
      <c r="AC3" s="529"/>
      <c r="AD3" s="529"/>
      <c r="AE3" s="530"/>
    </row>
    <row r="4" spans="1:31" ht="21.75" customHeight="1" thickBot="1" x14ac:dyDescent="0.3">
      <c r="A4" s="524"/>
      <c r="B4" s="534"/>
      <c r="C4" s="535"/>
      <c r="D4" s="535"/>
      <c r="E4" s="535"/>
      <c r="F4" s="535"/>
      <c r="G4" s="535"/>
      <c r="H4" s="535"/>
      <c r="I4" s="535"/>
      <c r="J4" s="535"/>
      <c r="K4" s="535"/>
      <c r="L4" s="535"/>
      <c r="M4" s="535"/>
      <c r="N4" s="535"/>
      <c r="O4" s="535"/>
      <c r="P4" s="535"/>
      <c r="Q4" s="535"/>
      <c r="R4" s="535"/>
      <c r="S4" s="535"/>
      <c r="T4" s="535"/>
      <c r="U4" s="535"/>
      <c r="V4" s="535"/>
      <c r="W4" s="535"/>
      <c r="X4" s="535"/>
      <c r="Y4" s="535"/>
      <c r="Z4" s="535"/>
      <c r="AA4" s="536"/>
      <c r="AB4" s="528" t="s">
        <v>127</v>
      </c>
      <c r="AC4" s="529"/>
      <c r="AD4" s="529"/>
      <c r="AE4" s="530"/>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31" ht="9" customHeight="1" thickBot="1" x14ac:dyDescent="0.3">
      <c r="A6" s="23"/>
      <c r="B6" s="20"/>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31" ht="13.9" customHeight="1" x14ac:dyDescent="0.25">
      <c r="A7" s="537" t="s">
        <v>4</v>
      </c>
      <c r="B7" s="538"/>
      <c r="C7" s="549" t="s">
        <v>128</v>
      </c>
      <c r="D7" s="552" t="s">
        <v>6</v>
      </c>
      <c r="E7" s="553"/>
      <c r="F7" s="553"/>
      <c r="G7" s="553"/>
      <c r="H7" s="554"/>
      <c r="I7" s="561">
        <v>45568</v>
      </c>
      <c r="J7" s="562"/>
      <c r="K7" s="552" t="s">
        <v>8</v>
      </c>
      <c r="L7" s="554"/>
      <c r="M7" s="567" t="s">
        <v>129</v>
      </c>
      <c r="N7" s="568"/>
      <c r="O7" s="572"/>
      <c r="P7" s="573"/>
      <c r="Q7" s="20"/>
      <c r="R7" s="20"/>
      <c r="S7" s="20"/>
      <c r="T7" s="20"/>
      <c r="U7" s="20"/>
      <c r="V7" s="20"/>
      <c r="W7" s="20"/>
      <c r="X7" s="20"/>
      <c r="Y7" s="20"/>
      <c r="Z7" s="20"/>
      <c r="AA7" s="20"/>
      <c r="AB7" s="20"/>
      <c r="AD7" s="21"/>
      <c r="AE7" s="22"/>
    </row>
    <row r="8" spans="1:31" ht="13.9" customHeight="1" x14ac:dyDescent="0.25">
      <c r="A8" s="539"/>
      <c r="B8" s="540"/>
      <c r="C8" s="550"/>
      <c r="D8" s="555"/>
      <c r="E8" s="556"/>
      <c r="F8" s="556"/>
      <c r="G8" s="556"/>
      <c r="H8" s="557"/>
      <c r="I8" s="563"/>
      <c r="J8" s="564"/>
      <c r="K8" s="555"/>
      <c r="L8" s="557"/>
      <c r="M8" s="574" t="s">
        <v>130</v>
      </c>
      <c r="N8" s="575"/>
      <c r="O8" s="576"/>
      <c r="P8" s="577"/>
      <c r="Q8" s="20"/>
      <c r="R8" s="20"/>
      <c r="S8" s="20"/>
      <c r="T8" s="20"/>
      <c r="U8" s="20"/>
      <c r="V8" s="20"/>
      <c r="W8" s="20"/>
      <c r="X8" s="20"/>
      <c r="Y8" s="20"/>
      <c r="Z8" s="20"/>
      <c r="AA8" s="20"/>
      <c r="AB8" s="20"/>
      <c r="AD8" s="21"/>
      <c r="AE8" s="22"/>
    </row>
    <row r="9" spans="1:31" ht="14.45" customHeight="1" thickBot="1" x14ac:dyDescent="0.3">
      <c r="A9" s="541"/>
      <c r="B9" s="542"/>
      <c r="C9" s="551"/>
      <c r="D9" s="558"/>
      <c r="E9" s="559"/>
      <c r="F9" s="559"/>
      <c r="G9" s="559"/>
      <c r="H9" s="560"/>
      <c r="I9" s="565"/>
      <c r="J9" s="566"/>
      <c r="K9" s="558"/>
      <c r="L9" s="560"/>
      <c r="M9" s="578" t="s">
        <v>132</v>
      </c>
      <c r="N9" s="579"/>
      <c r="O9" s="580" t="s">
        <v>131</v>
      </c>
      <c r="P9" s="581"/>
      <c r="Q9" s="20"/>
      <c r="R9" s="20"/>
      <c r="S9" s="20"/>
      <c r="T9" s="20"/>
      <c r="U9" s="20"/>
      <c r="V9" s="20"/>
      <c r="W9" s="20"/>
      <c r="X9" s="20"/>
      <c r="Y9" s="20"/>
      <c r="Z9" s="20"/>
      <c r="AA9" s="20"/>
      <c r="AB9" s="20"/>
      <c r="AD9" s="21"/>
      <c r="AE9" s="22"/>
    </row>
    <row r="10" spans="1:31" ht="15" customHeight="1" thickBot="1" x14ac:dyDescent="0.3">
      <c r="A10" s="24"/>
      <c r="B10" s="25"/>
      <c r="C10" s="25"/>
      <c r="D10" s="26"/>
      <c r="E10" s="26"/>
      <c r="F10" s="26"/>
      <c r="G10" s="26"/>
      <c r="H10" s="26"/>
      <c r="I10" s="186"/>
      <c r="J10" s="186"/>
      <c r="K10" s="26"/>
      <c r="L10" s="26"/>
      <c r="M10" s="187"/>
      <c r="N10" s="187"/>
      <c r="O10" s="188"/>
      <c r="P10" s="188"/>
      <c r="Q10" s="25"/>
      <c r="R10" s="25"/>
      <c r="S10" s="25"/>
      <c r="T10" s="25"/>
      <c r="U10" s="25"/>
      <c r="V10" s="25"/>
      <c r="W10" s="25"/>
      <c r="X10" s="25"/>
      <c r="Y10" s="25"/>
      <c r="Z10" s="25"/>
      <c r="AA10" s="25"/>
      <c r="AB10" s="25"/>
      <c r="AD10" s="28"/>
      <c r="AE10" s="29"/>
    </row>
    <row r="11" spans="1:31" ht="15" customHeight="1" x14ac:dyDescent="0.25">
      <c r="A11" s="537" t="s">
        <v>10</v>
      </c>
      <c r="B11" s="538"/>
      <c r="C11" s="510" t="s">
        <v>133</v>
      </c>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2"/>
    </row>
    <row r="12" spans="1:31" ht="15" customHeight="1" x14ac:dyDescent="0.25">
      <c r="A12" s="539"/>
      <c r="B12" s="540"/>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5"/>
    </row>
    <row r="13" spans="1:31" ht="15" customHeight="1" thickBot="1" x14ac:dyDescent="0.3">
      <c r="A13" s="541"/>
      <c r="B13" s="542"/>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8"/>
    </row>
    <row r="14" spans="1:31"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31" ht="39" customHeight="1" thickBot="1" x14ac:dyDescent="0.3">
      <c r="A15" s="582" t="s">
        <v>12</v>
      </c>
      <c r="B15" s="583"/>
      <c r="C15" s="584" t="s">
        <v>134</v>
      </c>
      <c r="D15" s="585"/>
      <c r="E15" s="585"/>
      <c r="F15" s="585"/>
      <c r="G15" s="585"/>
      <c r="H15" s="585"/>
      <c r="I15" s="585"/>
      <c r="J15" s="585"/>
      <c r="K15" s="586"/>
      <c r="L15" s="587" t="s">
        <v>14</v>
      </c>
      <c r="M15" s="588"/>
      <c r="N15" s="588"/>
      <c r="O15" s="588"/>
      <c r="P15" s="588"/>
      <c r="Q15" s="589"/>
      <c r="R15" s="590" t="s">
        <v>135</v>
      </c>
      <c r="S15" s="591"/>
      <c r="T15" s="591"/>
      <c r="U15" s="591"/>
      <c r="V15" s="591"/>
      <c r="W15" s="591"/>
      <c r="X15" s="592"/>
      <c r="Y15" s="587" t="s">
        <v>15</v>
      </c>
      <c r="Z15" s="589"/>
      <c r="AA15" s="569" t="s">
        <v>136</v>
      </c>
      <c r="AB15" s="570"/>
      <c r="AC15" s="570"/>
      <c r="AD15" s="570"/>
      <c r="AE15" s="571"/>
    </row>
    <row r="16" spans="1:31" ht="9" customHeight="1" thickBot="1" x14ac:dyDescent="0.3">
      <c r="A16" s="23"/>
      <c r="B16" s="20"/>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D16" s="21"/>
      <c r="AE16" s="22"/>
    </row>
    <row r="17" spans="1:32" s="36" customFormat="1" ht="37.5" customHeight="1" thickBot="1" x14ac:dyDescent="0.3">
      <c r="A17" s="582" t="s">
        <v>17</v>
      </c>
      <c r="B17" s="583"/>
      <c r="C17" s="569" t="s">
        <v>222</v>
      </c>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1"/>
    </row>
    <row r="18" spans="1:32" ht="16.5" customHeight="1" thickBot="1" x14ac:dyDescent="0.3">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D18" s="190"/>
      <c r="AE18" s="191"/>
    </row>
    <row r="19" spans="1:32" ht="32.1" customHeight="1" thickBot="1" x14ac:dyDescent="0.3">
      <c r="A19" s="587" t="s">
        <v>138</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9"/>
      <c r="AF19" s="192"/>
    </row>
    <row r="20" spans="1:32" ht="32.1" customHeight="1" thickBot="1" x14ac:dyDescent="0.3">
      <c r="A20" s="37" t="s">
        <v>19</v>
      </c>
      <c r="B20" s="558" t="s">
        <v>139</v>
      </c>
      <c r="C20" s="559"/>
      <c r="D20" s="559"/>
      <c r="E20" s="559"/>
      <c r="F20" s="559"/>
      <c r="G20" s="559"/>
      <c r="H20" s="559"/>
      <c r="I20" s="559"/>
      <c r="J20" s="559"/>
      <c r="K20" s="559"/>
      <c r="L20" s="559"/>
      <c r="M20" s="559"/>
      <c r="N20" s="559"/>
      <c r="O20" s="560"/>
      <c r="P20" s="587" t="s">
        <v>140</v>
      </c>
      <c r="Q20" s="588"/>
      <c r="R20" s="588"/>
      <c r="S20" s="588"/>
      <c r="T20" s="588"/>
      <c r="U20" s="588"/>
      <c r="V20" s="588"/>
      <c r="W20" s="588"/>
      <c r="X20" s="588"/>
      <c r="Y20" s="588"/>
      <c r="Z20" s="588"/>
      <c r="AA20" s="588"/>
      <c r="AB20" s="588"/>
      <c r="AC20" s="588"/>
      <c r="AD20" s="588"/>
      <c r="AE20" s="589"/>
      <c r="AF20" s="192"/>
    </row>
    <row r="21" spans="1:32" ht="32.1" customHeight="1" thickBot="1" x14ac:dyDescent="0.3">
      <c r="A21" s="24"/>
      <c r="B21" s="38" t="s">
        <v>141</v>
      </c>
      <c r="C21" s="39" t="s">
        <v>142</v>
      </c>
      <c r="D21" s="39" t="s">
        <v>143</v>
      </c>
      <c r="E21" s="39" t="s">
        <v>144</v>
      </c>
      <c r="F21" s="39" t="s">
        <v>145</v>
      </c>
      <c r="G21" s="39" t="s">
        <v>146</v>
      </c>
      <c r="H21" s="39" t="s">
        <v>147</v>
      </c>
      <c r="I21" s="39" t="s">
        <v>148</v>
      </c>
      <c r="J21" s="39" t="s">
        <v>128</v>
      </c>
      <c r="K21" s="39" t="s">
        <v>149</v>
      </c>
      <c r="L21" s="39" t="s">
        <v>150</v>
      </c>
      <c r="M21" s="39" t="s">
        <v>151</v>
      </c>
      <c r="N21" s="39" t="s">
        <v>102</v>
      </c>
      <c r="O21" s="40" t="s">
        <v>100</v>
      </c>
      <c r="P21" s="41"/>
      <c r="Q21" s="37" t="s">
        <v>141</v>
      </c>
      <c r="R21" s="42" t="s">
        <v>142</v>
      </c>
      <c r="S21" s="42" t="s">
        <v>143</v>
      </c>
      <c r="T21" s="42" t="s">
        <v>144</v>
      </c>
      <c r="U21" s="42" t="s">
        <v>145</v>
      </c>
      <c r="V21" s="42" t="s">
        <v>146</v>
      </c>
      <c r="W21" s="42" t="s">
        <v>147</v>
      </c>
      <c r="X21" s="42" t="s">
        <v>148</v>
      </c>
      <c r="Y21" s="42" t="s">
        <v>128</v>
      </c>
      <c r="Z21" s="42" t="s">
        <v>149</v>
      </c>
      <c r="AA21" s="42" t="s">
        <v>150</v>
      </c>
      <c r="AB21" s="42" t="s">
        <v>151</v>
      </c>
      <c r="AC21" s="42" t="s">
        <v>102</v>
      </c>
      <c r="AD21" s="43" t="s">
        <v>152</v>
      </c>
      <c r="AE21" s="43" t="s">
        <v>153</v>
      </c>
      <c r="AF21" s="193"/>
    </row>
    <row r="22" spans="1:32" ht="32.1" customHeight="1" x14ac:dyDescent="0.25">
      <c r="A22" s="44" t="s">
        <v>31</v>
      </c>
      <c r="B22" s="194"/>
      <c r="C22" s="195"/>
      <c r="D22" s="195"/>
      <c r="E22" s="195"/>
      <c r="F22" s="195"/>
      <c r="G22" s="195"/>
      <c r="H22" s="195"/>
      <c r="I22" s="195"/>
      <c r="J22" s="195"/>
      <c r="K22" s="195"/>
      <c r="L22" s="195"/>
      <c r="M22" s="195"/>
      <c r="N22" s="195">
        <f>SUM(B22:M22)</f>
        <v>0</v>
      </c>
      <c r="O22" s="196"/>
      <c r="P22" s="44" t="s">
        <v>27</v>
      </c>
      <c r="Q22" s="197">
        <v>0</v>
      </c>
      <c r="R22" s="198">
        <v>0</v>
      </c>
      <c r="S22" s="198">
        <v>0</v>
      </c>
      <c r="T22" s="198">
        <v>0</v>
      </c>
      <c r="U22" s="198">
        <v>0</v>
      </c>
      <c r="V22" s="198">
        <v>0</v>
      </c>
      <c r="W22" s="198">
        <v>0</v>
      </c>
      <c r="X22" s="199">
        <v>72277053</v>
      </c>
      <c r="Y22" s="199">
        <v>0</v>
      </c>
      <c r="Z22" s="199">
        <v>0</v>
      </c>
      <c r="AA22" s="199">
        <v>0</v>
      </c>
      <c r="AB22" s="199">
        <v>245447</v>
      </c>
      <c r="AC22" s="199">
        <f>SUM(Q22:AB22)</f>
        <v>72522500</v>
      </c>
      <c r="AD22" s="280"/>
      <c r="AE22" s="200"/>
      <c r="AF22" s="193"/>
    </row>
    <row r="23" spans="1:32" ht="32.1" customHeight="1" x14ac:dyDescent="0.25">
      <c r="A23" s="45" t="s">
        <v>21</v>
      </c>
      <c r="B23" s="201"/>
      <c r="C23" s="202"/>
      <c r="D23" s="202"/>
      <c r="E23" s="202"/>
      <c r="F23" s="202"/>
      <c r="G23" s="202"/>
      <c r="H23" s="202"/>
      <c r="I23" s="202"/>
      <c r="J23" s="202"/>
      <c r="K23" s="202"/>
      <c r="L23" s="202"/>
      <c r="M23" s="202"/>
      <c r="N23" s="202">
        <f>SUM(B23:M23)</f>
        <v>0</v>
      </c>
      <c r="O23" s="203" t="str">
        <f>IFERROR(N23/(SUMIF(B23:M23,"&gt;0",B22:M22))," ")</f>
        <v xml:space="preserve"> </v>
      </c>
      <c r="P23" s="45" t="s">
        <v>29</v>
      </c>
      <c r="Q23" s="201">
        <v>0</v>
      </c>
      <c r="R23" s="202">
        <v>0</v>
      </c>
      <c r="S23" s="202">
        <v>0</v>
      </c>
      <c r="T23" s="202">
        <v>0</v>
      </c>
      <c r="U23" s="202">
        <v>0</v>
      </c>
      <c r="V23" s="202">
        <v>0</v>
      </c>
      <c r="W23" s="202">
        <v>0</v>
      </c>
      <c r="X23" s="204">
        <v>72277052</v>
      </c>
      <c r="Y23" s="204">
        <v>0</v>
      </c>
      <c r="Z23" s="204">
        <v>0</v>
      </c>
      <c r="AA23" s="204">
        <v>0</v>
      </c>
      <c r="AB23" s="204">
        <v>0</v>
      </c>
      <c r="AC23" s="204">
        <f>SUM(Q23:AB23)</f>
        <v>72277052</v>
      </c>
      <c r="AD23" s="281">
        <f>AC23/SUM(Q22:AB22)</f>
        <v>0.99661556068806234</v>
      </c>
      <c r="AE23" s="205">
        <f>AC23/AC22</f>
        <v>0.99661556068806234</v>
      </c>
      <c r="AF23" s="193"/>
    </row>
    <row r="24" spans="1:32" ht="32.1" customHeight="1" x14ac:dyDescent="0.25">
      <c r="A24" s="45" t="s">
        <v>23</v>
      </c>
      <c r="B24" s="201">
        <f>+B22-B23</f>
        <v>0</v>
      </c>
      <c r="C24" s="202">
        <f t="shared" ref="C24:M24" si="0">+C22-C23</f>
        <v>0</v>
      </c>
      <c r="D24" s="202">
        <f t="shared" si="0"/>
        <v>0</v>
      </c>
      <c r="E24" s="202">
        <f t="shared" si="0"/>
        <v>0</v>
      </c>
      <c r="F24" s="202">
        <f t="shared" si="0"/>
        <v>0</v>
      </c>
      <c r="G24" s="202">
        <f t="shared" si="0"/>
        <v>0</v>
      </c>
      <c r="H24" s="202">
        <f t="shared" si="0"/>
        <v>0</v>
      </c>
      <c r="I24" s="202">
        <f t="shared" si="0"/>
        <v>0</v>
      </c>
      <c r="J24" s="202">
        <f t="shared" si="0"/>
        <v>0</v>
      </c>
      <c r="K24" s="202">
        <f t="shared" si="0"/>
        <v>0</v>
      </c>
      <c r="L24" s="202">
        <f t="shared" si="0"/>
        <v>0</v>
      </c>
      <c r="M24" s="202">
        <f t="shared" si="0"/>
        <v>0</v>
      </c>
      <c r="N24" s="202">
        <f>SUM(B24:M24)</f>
        <v>0</v>
      </c>
      <c r="O24" s="206"/>
      <c r="P24" s="45" t="s">
        <v>31</v>
      </c>
      <c r="Q24" s="201">
        <v>0</v>
      </c>
      <c r="R24" s="202">
        <v>0</v>
      </c>
      <c r="S24" s="202">
        <v>0</v>
      </c>
      <c r="T24" s="202">
        <v>0</v>
      </c>
      <c r="U24" s="202">
        <v>0</v>
      </c>
      <c r="V24" s="202">
        <v>0</v>
      </c>
      <c r="W24" s="202">
        <v>0</v>
      </c>
      <c r="X24" s="202">
        <v>0</v>
      </c>
      <c r="Y24" s="202">
        <v>10144853</v>
      </c>
      <c r="Z24" s="202">
        <v>15533050</v>
      </c>
      <c r="AA24" s="202">
        <v>15533050</v>
      </c>
      <c r="AB24" s="202">
        <f>15533050+15778497</f>
        <v>31311547</v>
      </c>
      <c r="AC24" s="204">
        <f>SUM(Q24:AB24)</f>
        <v>72522500</v>
      </c>
      <c r="AD24" s="282"/>
      <c r="AE24" s="207"/>
      <c r="AF24" s="193"/>
    </row>
    <row r="25" spans="1:32" ht="32.1" customHeight="1" thickBot="1" x14ac:dyDescent="0.3">
      <c r="A25" s="46" t="s">
        <v>25</v>
      </c>
      <c r="B25" s="208"/>
      <c r="C25" s="209"/>
      <c r="D25" s="209"/>
      <c r="E25" s="209"/>
      <c r="F25" s="209"/>
      <c r="G25" s="209"/>
      <c r="H25" s="209"/>
      <c r="I25" s="209"/>
      <c r="J25" s="209"/>
      <c r="K25" s="209"/>
      <c r="L25" s="209"/>
      <c r="M25" s="209"/>
      <c r="N25" s="209">
        <f>SUM(B25:M25)</f>
        <v>0</v>
      </c>
      <c r="O25" s="210" t="str">
        <f>IFERROR(N25/(SUMIF(B25:M25,"&gt;0",B24:M24))," ")</f>
        <v xml:space="preserve"> </v>
      </c>
      <c r="P25" s="46" t="s">
        <v>25</v>
      </c>
      <c r="Q25" s="208">
        <v>0</v>
      </c>
      <c r="R25" s="209">
        <v>0</v>
      </c>
      <c r="S25" s="209">
        <v>0</v>
      </c>
      <c r="T25" s="209">
        <v>0</v>
      </c>
      <c r="U25" s="209">
        <v>0</v>
      </c>
      <c r="V25" s="209">
        <v>0</v>
      </c>
      <c r="W25" s="209">
        <v>0</v>
      </c>
      <c r="X25" s="209">
        <v>0</v>
      </c>
      <c r="Y25" s="209">
        <v>7203016</v>
      </c>
      <c r="Z25" s="209">
        <v>0</v>
      </c>
      <c r="AA25" s="209">
        <v>0</v>
      </c>
      <c r="AB25" s="209">
        <v>0</v>
      </c>
      <c r="AC25" s="476">
        <f>SUM(Q25:AB25)</f>
        <v>7203016</v>
      </c>
      <c r="AD25" s="283">
        <f>AC25/SUM(Q24:AB24)</f>
        <v>9.9321121031404044E-2</v>
      </c>
      <c r="AE25" s="211">
        <f>AC25/AC24</f>
        <v>9.9321121031404044E-2</v>
      </c>
      <c r="AF25" s="193"/>
    </row>
    <row r="26" spans="1:32" s="212" customFormat="1" ht="16.5" customHeight="1" thickBot="1" x14ac:dyDescent="0.25"/>
    <row r="27" spans="1:32" ht="33.950000000000003" customHeight="1" x14ac:dyDescent="0.25">
      <c r="A27" s="594" t="s">
        <v>154</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6"/>
    </row>
    <row r="28" spans="1:32" ht="15" customHeight="1" x14ac:dyDescent="0.25">
      <c r="A28" s="514" t="s">
        <v>34</v>
      </c>
      <c r="B28" s="516" t="s">
        <v>36</v>
      </c>
      <c r="C28" s="516"/>
      <c r="D28" s="516" t="s">
        <v>155</v>
      </c>
      <c r="E28" s="516"/>
      <c r="F28" s="516"/>
      <c r="G28" s="516"/>
      <c r="H28" s="516"/>
      <c r="I28" s="516"/>
      <c r="J28" s="516"/>
      <c r="K28" s="516"/>
      <c r="L28" s="516"/>
      <c r="M28" s="516"/>
      <c r="N28" s="516"/>
      <c r="O28" s="516"/>
      <c r="P28" s="516" t="s">
        <v>102</v>
      </c>
      <c r="Q28" s="516" t="s">
        <v>156</v>
      </c>
      <c r="R28" s="516"/>
      <c r="S28" s="516"/>
      <c r="T28" s="516"/>
      <c r="U28" s="516"/>
      <c r="V28" s="516"/>
      <c r="W28" s="516"/>
      <c r="X28" s="516"/>
      <c r="Y28" s="516" t="s">
        <v>157</v>
      </c>
      <c r="Z28" s="516"/>
      <c r="AA28" s="516"/>
      <c r="AB28" s="516"/>
      <c r="AC28" s="516"/>
      <c r="AD28" s="516"/>
      <c r="AE28" s="597"/>
    </row>
    <row r="29" spans="1:32" ht="27" customHeight="1" x14ac:dyDescent="0.25">
      <c r="A29" s="514"/>
      <c r="B29" s="516"/>
      <c r="C29" s="516"/>
      <c r="D29" s="48" t="s">
        <v>141</v>
      </c>
      <c r="E29" s="48" t="s">
        <v>142</v>
      </c>
      <c r="F29" s="48" t="s">
        <v>143</v>
      </c>
      <c r="G29" s="48" t="s">
        <v>144</v>
      </c>
      <c r="H29" s="48" t="s">
        <v>145</v>
      </c>
      <c r="I29" s="48" t="s">
        <v>146</v>
      </c>
      <c r="J29" s="48" t="s">
        <v>147</v>
      </c>
      <c r="K29" s="48" t="s">
        <v>148</v>
      </c>
      <c r="L29" s="48" t="s">
        <v>128</v>
      </c>
      <c r="M29" s="48" t="s">
        <v>149</v>
      </c>
      <c r="N29" s="48" t="s">
        <v>150</v>
      </c>
      <c r="O29" s="48" t="s">
        <v>151</v>
      </c>
      <c r="P29" s="516"/>
      <c r="Q29" s="516"/>
      <c r="R29" s="516"/>
      <c r="S29" s="516"/>
      <c r="T29" s="516"/>
      <c r="U29" s="516"/>
      <c r="V29" s="516"/>
      <c r="W29" s="516"/>
      <c r="X29" s="516"/>
      <c r="Y29" s="516"/>
      <c r="Z29" s="516"/>
      <c r="AA29" s="516"/>
      <c r="AB29" s="516"/>
      <c r="AC29" s="516"/>
      <c r="AD29" s="516"/>
      <c r="AE29" s="597"/>
    </row>
    <row r="30" spans="1:32" ht="42" customHeight="1" thickBot="1" x14ac:dyDescent="0.3">
      <c r="A30" s="49"/>
      <c r="B30" s="598"/>
      <c r="C30" s="598"/>
      <c r="D30" s="16"/>
      <c r="E30" s="16"/>
      <c r="F30" s="16"/>
      <c r="G30" s="16"/>
      <c r="H30" s="16"/>
      <c r="I30" s="16"/>
      <c r="J30" s="16"/>
      <c r="K30" s="16"/>
      <c r="L30" s="16"/>
      <c r="M30" s="16"/>
      <c r="N30" s="16"/>
      <c r="O30" s="16"/>
      <c r="P30" s="50">
        <f>SUM(D30:O30)</f>
        <v>0</v>
      </c>
      <c r="Q30" s="599" t="s">
        <v>158</v>
      </c>
      <c r="R30" s="599"/>
      <c r="S30" s="599"/>
      <c r="T30" s="599"/>
      <c r="U30" s="599"/>
      <c r="V30" s="599"/>
      <c r="W30" s="599"/>
      <c r="X30" s="599"/>
      <c r="Y30" s="599" t="s">
        <v>43</v>
      </c>
      <c r="Z30" s="599"/>
      <c r="AA30" s="599"/>
      <c r="AB30" s="599"/>
      <c r="AC30" s="599"/>
      <c r="AD30" s="599"/>
      <c r="AE30" s="600"/>
    </row>
    <row r="31" spans="1:32" ht="12" customHeight="1" thickBot="1" x14ac:dyDescent="0.3">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2" ht="45" customHeight="1" x14ac:dyDescent="0.25">
      <c r="A32" s="510" t="s">
        <v>159</v>
      </c>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2"/>
    </row>
    <row r="33" spans="1:41" ht="23.1" customHeight="1" x14ac:dyDescent="0.25">
      <c r="A33" s="514" t="s">
        <v>44</v>
      </c>
      <c r="B33" s="516" t="s">
        <v>46</v>
      </c>
      <c r="C33" s="516" t="s">
        <v>36</v>
      </c>
      <c r="D33" s="516" t="s">
        <v>160</v>
      </c>
      <c r="E33" s="516"/>
      <c r="F33" s="516"/>
      <c r="G33" s="516"/>
      <c r="H33" s="516"/>
      <c r="I33" s="516"/>
      <c r="J33" s="516"/>
      <c r="K33" s="516"/>
      <c r="L33" s="516"/>
      <c r="M33" s="516"/>
      <c r="N33" s="516"/>
      <c r="O33" s="516"/>
      <c r="P33" s="516"/>
      <c r="Q33" s="516" t="s">
        <v>161</v>
      </c>
      <c r="R33" s="516"/>
      <c r="S33" s="516"/>
      <c r="T33" s="516"/>
      <c r="U33" s="516"/>
      <c r="V33" s="516"/>
      <c r="W33" s="516"/>
      <c r="X33" s="516"/>
      <c r="Y33" s="516"/>
      <c r="Z33" s="516"/>
      <c r="AA33" s="516"/>
      <c r="AB33" s="516"/>
      <c r="AC33" s="516"/>
      <c r="AD33" s="516"/>
      <c r="AE33" s="597"/>
      <c r="AG33" s="128"/>
      <c r="AH33" s="128"/>
      <c r="AI33" s="128"/>
      <c r="AJ33" s="128"/>
      <c r="AK33" s="128"/>
      <c r="AL33" s="128"/>
      <c r="AM33" s="128"/>
      <c r="AN33" s="128"/>
      <c r="AO33" s="128"/>
    </row>
    <row r="34" spans="1:41" ht="27" customHeight="1" x14ac:dyDescent="0.25">
      <c r="A34" s="514"/>
      <c r="B34" s="516"/>
      <c r="C34" s="601"/>
      <c r="D34" s="48" t="s">
        <v>141</v>
      </c>
      <c r="E34" s="48" t="s">
        <v>142</v>
      </c>
      <c r="F34" s="48" t="s">
        <v>143</v>
      </c>
      <c r="G34" s="48" t="s">
        <v>144</v>
      </c>
      <c r="H34" s="48" t="s">
        <v>145</v>
      </c>
      <c r="I34" s="48" t="s">
        <v>146</v>
      </c>
      <c r="J34" s="48" t="s">
        <v>147</v>
      </c>
      <c r="K34" s="48" t="s">
        <v>148</v>
      </c>
      <c r="L34" s="48" t="s">
        <v>128</v>
      </c>
      <c r="M34" s="48" t="s">
        <v>149</v>
      </c>
      <c r="N34" s="48" t="s">
        <v>150</v>
      </c>
      <c r="O34" s="48" t="s">
        <v>151</v>
      </c>
      <c r="P34" s="48" t="s">
        <v>102</v>
      </c>
      <c r="Q34" s="602" t="s">
        <v>52</v>
      </c>
      <c r="R34" s="603"/>
      <c r="S34" s="603"/>
      <c r="T34" s="604"/>
      <c r="U34" s="516" t="s">
        <v>54</v>
      </c>
      <c r="V34" s="516"/>
      <c r="W34" s="516"/>
      <c r="X34" s="516"/>
      <c r="Y34" s="516" t="s">
        <v>56</v>
      </c>
      <c r="Z34" s="516"/>
      <c r="AA34" s="516"/>
      <c r="AB34" s="516"/>
      <c r="AC34" s="516" t="s">
        <v>58</v>
      </c>
      <c r="AD34" s="516"/>
      <c r="AE34" s="597"/>
      <c r="AG34" s="128"/>
      <c r="AH34" s="128"/>
      <c r="AI34" s="128"/>
      <c r="AJ34" s="128"/>
      <c r="AK34" s="128"/>
      <c r="AL34" s="128"/>
      <c r="AM34" s="128"/>
      <c r="AN34" s="128"/>
      <c r="AO34" s="128"/>
    </row>
    <row r="35" spans="1:41" ht="243" customHeight="1" x14ac:dyDescent="0.25">
      <c r="A35" s="607" t="str">
        <f>+C17</f>
        <v>Desarrollar 3 acciones de transformación cultural efectivas para prevenir las violencias contra las mujeres, incluyendo campañas educativas. (Producto MGA - Servicio de promoción de la garantía de derechos)</v>
      </c>
      <c r="B35" s="609">
        <v>0.12</v>
      </c>
      <c r="C35" s="170" t="s">
        <v>48</v>
      </c>
      <c r="D35" s="166">
        <f>+D73</f>
        <v>0</v>
      </c>
      <c r="E35" s="166">
        <f t="shared" ref="E35:O35" si="1">+E73</f>
        <v>0</v>
      </c>
      <c r="F35" s="166">
        <f t="shared" si="1"/>
        <v>0</v>
      </c>
      <c r="G35" s="166">
        <f t="shared" si="1"/>
        <v>0</v>
      </c>
      <c r="H35" s="166">
        <f t="shared" si="1"/>
        <v>0</v>
      </c>
      <c r="I35" s="166">
        <f t="shared" si="1"/>
        <v>0</v>
      </c>
      <c r="J35" s="166">
        <f t="shared" si="1"/>
        <v>0</v>
      </c>
      <c r="K35" s="166">
        <f t="shared" si="1"/>
        <v>0.20833333333333334</v>
      </c>
      <c r="L35" s="166">
        <f t="shared" si="1"/>
        <v>0.2416666666666667</v>
      </c>
      <c r="M35" s="166">
        <f t="shared" si="1"/>
        <v>0.35000000000000003</v>
      </c>
      <c r="N35" s="166">
        <f t="shared" si="1"/>
        <v>0.1</v>
      </c>
      <c r="O35" s="166">
        <f t="shared" si="1"/>
        <v>0.1</v>
      </c>
      <c r="P35" s="168">
        <f>SUM(D35:O35)</f>
        <v>1</v>
      </c>
      <c r="Q35" s="485" t="s">
        <v>223</v>
      </c>
      <c r="R35" s="486"/>
      <c r="S35" s="486"/>
      <c r="T35" s="487"/>
      <c r="U35" s="506" t="s">
        <v>224</v>
      </c>
      <c r="V35" s="506"/>
      <c r="W35" s="506"/>
      <c r="X35" s="506"/>
      <c r="Y35" s="506" t="s">
        <v>225</v>
      </c>
      <c r="Z35" s="506"/>
      <c r="AA35" s="506"/>
      <c r="AB35" s="506"/>
      <c r="AC35" s="506" t="s">
        <v>226</v>
      </c>
      <c r="AD35" s="506"/>
      <c r="AE35" s="507"/>
      <c r="AG35" s="413" t="s">
        <v>227</v>
      </c>
      <c r="AH35" s="128">
        <f>LEN(AG35)</f>
        <v>299</v>
      </c>
      <c r="AI35" s="128"/>
      <c r="AJ35" s="128"/>
      <c r="AK35" s="128"/>
      <c r="AL35" s="128"/>
      <c r="AM35" s="128"/>
      <c r="AN35" s="128"/>
      <c r="AO35" s="128"/>
    </row>
    <row r="36" spans="1:41" ht="243" customHeight="1" thickBot="1" x14ac:dyDescent="0.3">
      <c r="A36" s="608"/>
      <c r="B36" s="610"/>
      <c r="C36" s="171" t="s">
        <v>50</v>
      </c>
      <c r="D36" s="169">
        <f>+D70</f>
        <v>0</v>
      </c>
      <c r="E36" s="169">
        <f t="shared" ref="E36:O36" si="2">+E70</f>
        <v>0</v>
      </c>
      <c r="F36" s="169">
        <f t="shared" si="2"/>
        <v>0</v>
      </c>
      <c r="G36" s="169">
        <f t="shared" si="2"/>
        <v>0</v>
      </c>
      <c r="H36" s="169">
        <f t="shared" si="2"/>
        <v>0</v>
      </c>
      <c r="I36" s="169">
        <f t="shared" si="2"/>
        <v>0</v>
      </c>
      <c r="J36" s="169">
        <f t="shared" si="2"/>
        <v>0</v>
      </c>
      <c r="K36" s="169">
        <f t="shared" si="2"/>
        <v>0.20833333333333334</v>
      </c>
      <c r="L36" s="169">
        <f t="shared" si="2"/>
        <v>0.2416666666666667</v>
      </c>
      <c r="M36" s="169">
        <f t="shared" si="2"/>
        <v>0</v>
      </c>
      <c r="N36" s="169">
        <f t="shared" si="2"/>
        <v>0</v>
      </c>
      <c r="O36" s="169">
        <f t="shared" si="2"/>
        <v>0</v>
      </c>
      <c r="P36" s="167">
        <f>SUM(D36:O36)</f>
        <v>0.45000000000000007</v>
      </c>
      <c r="Q36" s="488"/>
      <c r="R36" s="489"/>
      <c r="S36" s="489"/>
      <c r="T36" s="490"/>
      <c r="U36" s="508"/>
      <c r="V36" s="508"/>
      <c r="W36" s="508"/>
      <c r="X36" s="508"/>
      <c r="Y36" s="508"/>
      <c r="Z36" s="508"/>
      <c r="AA36" s="508"/>
      <c r="AB36" s="508"/>
      <c r="AC36" s="508"/>
      <c r="AD36" s="508"/>
      <c r="AE36" s="509"/>
      <c r="AG36" s="128"/>
      <c r="AH36" s="128"/>
      <c r="AI36" s="128"/>
      <c r="AJ36" s="128"/>
      <c r="AK36" s="128"/>
      <c r="AL36" s="128"/>
      <c r="AM36" s="128"/>
      <c r="AN36" s="128"/>
      <c r="AO36" s="128"/>
    </row>
    <row r="37" spans="1:41" s="212" customFormat="1" ht="17.25" customHeight="1" thickBot="1" x14ac:dyDescent="0.25"/>
    <row r="38" spans="1:41" ht="45" customHeight="1" thickBot="1" x14ac:dyDescent="0.3">
      <c r="A38" s="510" t="s">
        <v>167</v>
      </c>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2"/>
      <c r="AG38" s="128"/>
      <c r="AH38" s="128"/>
      <c r="AI38" s="128"/>
      <c r="AJ38" s="128"/>
      <c r="AK38" s="128"/>
      <c r="AL38" s="128"/>
      <c r="AM38" s="128"/>
      <c r="AN38" s="128"/>
      <c r="AO38" s="128"/>
    </row>
    <row r="39" spans="1:41" ht="26.1" customHeight="1" x14ac:dyDescent="0.25">
      <c r="A39" s="513" t="s">
        <v>60</v>
      </c>
      <c r="B39" s="515" t="s">
        <v>168</v>
      </c>
      <c r="C39" s="517" t="s">
        <v>169</v>
      </c>
      <c r="D39" s="519" t="s">
        <v>170</v>
      </c>
      <c r="E39" s="520"/>
      <c r="F39" s="520"/>
      <c r="G39" s="520"/>
      <c r="H39" s="520"/>
      <c r="I39" s="520"/>
      <c r="J39" s="520"/>
      <c r="K39" s="520"/>
      <c r="L39" s="520"/>
      <c r="M39" s="520"/>
      <c r="N39" s="520"/>
      <c r="O39" s="520"/>
      <c r="P39" s="521"/>
      <c r="Q39" s="515" t="s">
        <v>171</v>
      </c>
      <c r="R39" s="515"/>
      <c r="S39" s="515"/>
      <c r="T39" s="515"/>
      <c r="U39" s="515"/>
      <c r="V39" s="515"/>
      <c r="W39" s="515"/>
      <c r="X39" s="515"/>
      <c r="Y39" s="515"/>
      <c r="Z39" s="515"/>
      <c r="AA39" s="515"/>
      <c r="AB39" s="515"/>
      <c r="AC39" s="515"/>
      <c r="AD39" s="515"/>
      <c r="AE39" s="605"/>
      <c r="AG39" s="128"/>
      <c r="AH39" s="128"/>
      <c r="AI39" s="128"/>
      <c r="AJ39" s="128"/>
      <c r="AK39" s="128"/>
      <c r="AL39" s="128"/>
      <c r="AM39" s="128"/>
      <c r="AN39" s="128"/>
      <c r="AO39" s="128"/>
    </row>
    <row r="40" spans="1:41" ht="26.1" customHeight="1" x14ac:dyDescent="0.25">
      <c r="A40" s="514"/>
      <c r="B40" s="516"/>
      <c r="C40" s="518"/>
      <c r="D40" s="48" t="s">
        <v>172</v>
      </c>
      <c r="E40" s="48" t="s">
        <v>173</v>
      </c>
      <c r="F40" s="48" t="s">
        <v>174</v>
      </c>
      <c r="G40" s="48" t="s">
        <v>175</v>
      </c>
      <c r="H40" s="48" t="s">
        <v>176</v>
      </c>
      <c r="I40" s="48" t="s">
        <v>177</v>
      </c>
      <c r="J40" s="48" t="s">
        <v>178</v>
      </c>
      <c r="K40" s="48" t="s">
        <v>179</v>
      </c>
      <c r="L40" s="48" t="s">
        <v>180</v>
      </c>
      <c r="M40" s="48" t="s">
        <v>181</v>
      </c>
      <c r="N40" s="48" t="s">
        <v>182</v>
      </c>
      <c r="O40" s="48" t="s">
        <v>183</v>
      </c>
      <c r="P40" s="48" t="s">
        <v>184</v>
      </c>
      <c r="Q40" s="602" t="s">
        <v>185</v>
      </c>
      <c r="R40" s="603"/>
      <c r="S40" s="603"/>
      <c r="T40" s="603"/>
      <c r="U40" s="603"/>
      <c r="V40" s="603"/>
      <c r="W40" s="603"/>
      <c r="X40" s="604"/>
      <c r="Y40" s="602" t="s">
        <v>68</v>
      </c>
      <c r="Z40" s="603"/>
      <c r="AA40" s="603"/>
      <c r="AB40" s="603"/>
      <c r="AC40" s="603"/>
      <c r="AD40" s="603"/>
      <c r="AE40" s="606"/>
      <c r="AG40" s="213"/>
      <c r="AH40" s="213"/>
      <c r="AI40" s="213"/>
      <c r="AJ40" s="213"/>
      <c r="AK40" s="213"/>
      <c r="AL40" s="213"/>
      <c r="AM40" s="213"/>
      <c r="AN40" s="213"/>
      <c r="AO40" s="213"/>
    </row>
    <row r="41" spans="1:41" ht="90.6" customHeight="1" x14ac:dyDescent="0.25">
      <c r="A41" s="617" t="s">
        <v>228</v>
      </c>
      <c r="B41" s="618">
        <v>7.0000000000000007E-2</v>
      </c>
      <c r="C41" s="56" t="s">
        <v>48</v>
      </c>
      <c r="D41" s="57">
        <v>0</v>
      </c>
      <c r="E41" s="57">
        <v>0</v>
      </c>
      <c r="F41" s="57">
        <v>0</v>
      </c>
      <c r="G41" s="57">
        <v>0</v>
      </c>
      <c r="H41" s="57">
        <v>0</v>
      </c>
      <c r="I41" s="57">
        <v>0</v>
      </c>
      <c r="J41" s="57">
        <v>0</v>
      </c>
      <c r="K41" s="57">
        <v>0.3</v>
      </c>
      <c r="L41" s="57">
        <v>0.3</v>
      </c>
      <c r="M41" s="57">
        <v>0.4</v>
      </c>
      <c r="N41" s="57">
        <v>0</v>
      </c>
      <c r="O41" s="57">
        <v>0</v>
      </c>
      <c r="P41" s="58">
        <f t="shared" ref="P41:P46" si="3">SUM(D41:O41)</f>
        <v>1</v>
      </c>
      <c r="Q41" s="639" t="s">
        <v>229</v>
      </c>
      <c r="R41" s="628"/>
      <c r="S41" s="628"/>
      <c r="T41" s="628"/>
      <c r="U41" s="628"/>
      <c r="V41" s="628"/>
      <c r="W41" s="628"/>
      <c r="X41" s="629"/>
      <c r="Y41" s="698" t="s">
        <v>230</v>
      </c>
      <c r="Z41" s="699"/>
      <c r="AA41" s="699"/>
      <c r="AB41" s="699"/>
      <c r="AC41" s="699"/>
      <c r="AD41" s="699"/>
      <c r="AE41" s="699"/>
      <c r="AG41" s="214"/>
      <c r="AH41" s="214"/>
      <c r="AI41" s="214"/>
      <c r="AJ41" s="214"/>
      <c r="AK41" s="214"/>
      <c r="AL41" s="214"/>
      <c r="AM41" s="214"/>
      <c r="AN41" s="214"/>
      <c r="AO41" s="214"/>
    </row>
    <row r="42" spans="1:41" ht="90.6" customHeight="1" x14ac:dyDescent="0.25">
      <c r="A42" s="617"/>
      <c r="B42" s="618"/>
      <c r="C42" s="59" t="s">
        <v>50</v>
      </c>
      <c r="D42" s="60">
        <v>0</v>
      </c>
      <c r="E42" s="60">
        <v>0</v>
      </c>
      <c r="F42" s="60">
        <v>0</v>
      </c>
      <c r="G42" s="60">
        <v>0</v>
      </c>
      <c r="H42" s="60">
        <v>0</v>
      </c>
      <c r="I42" s="60">
        <v>0</v>
      </c>
      <c r="J42" s="60">
        <v>0</v>
      </c>
      <c r="K42" s="60">
        <v>0.3</v>
      </c>
      <c r="L42" s="60">
        <v>0.3</v>
      </c>
      <c r="M42" s="60"/>
      <c r="N42" s="60"/>
      <c r="O42" s="60"/>
      <c r="P42" s="58">
        <f t="shared" si="3"/>
        <v>0.6</v>
      </c>
      <c r="Q42" s="630"/>
      <c r="R42" s="631"/>
      <c r="S42" s="631"/>
      <c r="T42" s="631"/>
      <c r="U42" s="631"/>
      <c r="V42" s="631"/>
      <c r="W42" s="631"/>
      <c r="X42" s="632"/>
      <c r="Y42" s="699"/>
      <c r="Z42" s="699"/>
      <c r="AA42" s="699"/>
      <c r="AB42" s="699"/>
      <c r="AC42" s="699"/>
      <c r="AD42" s="699"/>
      <c r="AE42" s="699"/>
    </row>
    <row r="43" spans="1:41" ht="54" customHeight="1" x14ac:dyDescent="0.25">
      <c r="A43" s="617" t="s">
        <v>231</v>
      </c>
      <c r="B43" s="618">
        <v>0.03</v>
      </c>
      <c r="C43" s="56" t="s">
        <v>48</v>
      </c>
      <c r="D43" s="57">
        <v>0</v>
      </c>
      <c r="E43" s="57">
        <v>0</v>
      </c>
      <c r="F43" s="57">
        <v>0</v>
      </c>
      <c r="G43" s="57">
        <v>0</v>
      </c>
      <c r="H43" s="57">
        <v>0</v>
      </c>
      <c r="I43" s="57">
        <v>0</v>
      </c>
      <c r="J43" s="57">
        <v>0</v>
      </c>
      <c r="K43" s="57">
        <v>0</v>
      </c>
      <c r="L43" s="57">
        <v>0</v>
      </c>
      <c r="M43" s="57">
        <v>0.2</v>
      </c>
      <c r="N43" s="57">
        <v>0.4</v>
      </c>
      <c r="O43" s="57">
        <v>0.4</v>
      </c>
      <c r="P43" s="58">
        <f t="shared" si="3"/>
        <v>1</v>
      </c>
      <c r="Q43" s="619" t="s">
        <v>232</v>
      </c>
      <c r="R43" s="620"/>
      <c r="S43" s="620"/>
      <c r="T43" s="620"/>
      <c r="U43" s="620"/>
      <c r="V43" s="620"/>
      <c r="W43" s="620"/>
      <c r="X43" s="621"/>
      <c r="Y43" s="619" t="s">
        <v>233</v>
      </c>
      <c r="Z43" s="700"/>
      <c r="AA43" s="700"/>
      <c r="AB43" s="700"/>
      <c r="AC43" s="700"/>
      <c r="AD43" s="700"/>
      <c r="AE43" s="700"/>
    </row>
    <row r="44" spans="1:41" ht="54" customHeight="1" x14ac:dyDescent="0.25">
      <c r="A44" s="617"/>
      <c r="B44" s="618"/>
      <c r="C44" s="59" t="s">
        <v>50</v>
      </c>
      <c r="D44" s="60">
        <v>0</v>
      </c>
      <c r="E44" s="60">
        <v>0</v>
      </c>
      <c r="F44" s="60">
        <v>0</v>
      </c>
      <c r="G44" s="60">
        <v>0</v>
      </c>
      <c r="H44" s="60">
        <v>0</v>
      </c>
      <c r="I44" s="60">
        <v>0</v>
      </c>
      <c r="J44" s="60">
        <v>0</v>
      </c>
      <c r="K44" s="60">
        <v>0</v>
      </c>
      <c r="L44" s="60"/>
      <c r="M44" s="60"/>
      <c r="N44" s="60"/>
      <c r="O44" s="60"/>
      <c r="P44" s="58">
        <f t="shared" si="3"/>
        <v>0</v>
      </c>
      <c r="Q44" s="622"/>
      <c r="R44" s="623"/>
      <c r="S44" s="623"/>
      <c r="T44" s="623"/>
      <c r="U44" s="623"/>
      <c r="V44" s="623"/>
      <c r="W44" s="623"/>
      <c r="X44" s="624"/>
      <c r="Y44" s="622"/>
      <c r="Z44" s="623"/>
      <c r="AA44" s="623"/>
      <c r="AB44" s="623"/>
      <c r="AC44" s="623"/>
      <c r="AD44" s="623"/>
      <c r="AE44" s="623"/>
    </row>
    <row r="45" spans="1:41" ht="113.45" customHeight="1" x14ac:dyDescent="0.25">
      <c r="A45" s="617" t="s">
        <v>234</v>
      </c>
      <c r="B45" s="618">
        <v>0.02</v>
      </c>
      <c r="C45" s="56" t="s">
        <v>48</v>
      </c>
      <c r="D45" s="57">
        <v>0</v>
      </c>
      <c r="E45" s="57">
        <v>0</v>
      </c>
      <c r="F45" s="57">
        <v>0</v>
      </c>
      <c r="G45" s="57">
        <v>0</v>
      </c>
      <c r="H45" s="57">
        <v>0</v>
      </c>
      <c r="I45" s="57">
        <v>0</v>
      </c>
      <c r="J45" s="57">
        <v>0</v>
      </c>
      <c r="K45" s="57">
        <v>0.2</v>
      </c>
      <c r="L45" s="57">
        <v>0.4</v>
      </c>
      <c r="M45" s="57">
        <v>0.4</v>
      </c>
      <c r="N45" s="57">
        <v>0</v>
      </c>
      <c r="O45" s="57">
        <v>0</v>
      </c>
      <c r="P45" s="58">
        <f t="shared" si="3"/>
        <v>1</v>
      </c>
      <c r="Q45" s="639" t="s">
        <v>235</v>
      </c>
      <c r="R45" s="628"/>
      <c r="S45" s="628"/>
      <c r="T45" s="628"/>
      <c r="U45" s="628"/>
      <c r="V45" s="628"/>
      <c r="W45" s="628"/>
      <c r="X45" s="629"/>
      <c r="Y45" s="694" t="s">
        <v>236</v>
      </c>
      <c r="Z45" s="695"/>
      <c r="AA45" s="695"/>
      <c r="AB45" s="695"/>
      <c r="AC45" s="695"/>
      <c r="AD45" s="695"/>
      <c r="AE45" s="696"/>
    </row>
    <row r="46" spans="1:41" ht="113.45" customHeight="1" x14ac:dyDescent="0.25">
      <c r="A46" s="617"/>
      <c r="B46" s="618"/>
      <c r="C46" s="59" t="s">
        <v>50</v>
      </c>
      <c r="D46" s="60">
        <v>0</v>
      </c>
      <c r="E46" s="60">
        <v>0</v>
      </c>
      <c r="F46" s="60">
        <v>0</v>
      </c>
      <c r="G46" s="60">
        <v>0</v>
      </c>
      <c r="H46" s="60">
        <v>0</v>
      </c>
      <c r="I46" s="60">
        <v>0</v>
      </c>
      <c r="J46" s="60">
        <v>0</v>
      </c>
      <c r="K46" s="60">
        <v>0.2</v>
      </c>
      <c r="L46" s="60">
        <v>0.4</v>
      </c>
      <c r="M46" s="60"/>
      <c r="N46" s="60"/>
      <c r="O46" s="60"/>
      <c r="P46" s="58">
        <f t="shared" si="3"/>
        <v>0.60000000000000009</v>
      </c>
      <c r="Q46" s="630"/>
      <c r="R46" s="631"/>
      <c r="S46" s="631"/>
      <c r="T46" s="631"/>
      <c r="U46" s="631"/>
      <c r="V46" s="631"/>
      <c r="W46" s="631"/>
      <c r="X46" s="632"/>
      <c r="Y46" s="636"/>
      <c r="Z46" s="637"/>
      <c r="AA46" s="637"/>
      <c r="AB46" s="637"/>
      <c r="AC46" s="637"/>
      <c r="AD46" s="637"/>
      <c r="AE46" s="697"/>
    </row>
    <row r="47" spans="1:41" ht="15" customHeight="1" x14ac:dyDescent="0.25">
      <c r="A47" s="125" t="s">
        <v>198</v>
      </c>
      <c r="B47" s="249">
        <f>SUM(B41:B46)</f>
        <v>0.12000000000000001</v>
      </c>
      <c r="Q47" s="215"/>
      <c r="R47" s="215"/>
      <c r="S47" s="215"/>
      <c r="T47" s="215"/>
      <c r="U47" s="215"/>
      <c r="V47" s="215"/>
      <c r="W47" s="215"/>
      <c r="X47" s="215"/>
      <c r="Y47" s="250"/>
      <c r="Z47" s="215"/>
      <c r="AA47" s="215"/>
      <c r="AB47" s="215"/>
      <c r="AC47" s="215"/>
      <c r="AD47" s="215"/>
      <c r="AE47" s="215"/>
    </row>
    <row r="48" spans="1:41" x14ac:dyDescent="0.25">
      <c r="Q48" s="215"/>
      <c r="R48" s="215"/>
      <c r="S48" s="215"/>
      <c r="T48" s="215"/>
      <c r="U48" s="215"/>
      <c r="V48" s="215"/>
      <c r="W48" s="215"/>
      <c r="X48" s="215"/>
      <c r="Y48" s="215"/>
      <c r="Z48" s="215"/>
      <c r="AA48" s="215"/>
      <c r="AB48" s="215"/>
      <c r="AC48" s="215"/>
      <c r="AD48" s="215"/>
      <c r="AE48" s="215"/>
    </row>
    <row r="49" spans="1:31" x14ac:dyDescent="0.25">
      <c r="Q49" s="215"/>
      <c r="R49" s="215"/>
      <c r="S49" s="215"/>
      <c r="T49" s="215"/>
      <c r="U49" s="215"/>
      <c r="V49" s="215"/>
      <c r="W49" s="215"/>
      <c r="X49" s="215"/>
      <c r="Y49" s="215"/>
      <c r="Z49" s="215"/>
      <c r="AA49" s="215"/>
      <c r="AB49" s="215"/>
      <c r="AC49" s="215"/>
      <c r="AD49" s="215"/>
      <c r="AE49" s="215"/>
    </row>
    <row r="50" spans="1:31" x14ac:dyDescent="0.25">
      <c r="Q50" s="215"/>
      <c r="R50" s="215"/>
      <c r="S50" s="215"/>
      <c r="T50" s="215"/>
      <c r="U50" s="215"/>
      <c r="V50" s="215"/>
      <c r="W50" s="215"/>
      <c r="X50" s="215"/>
      <c r="Y50" s="215"/>
      <c r="Z50" s="215"/>
      <c r="AA50" s="215"/>
      <c r="AB50" s="215"/>
      <c r="AC50" s="215"/>
      <c r="AD50" s="215"/>
      <c r="AE50" s="215"/>
    </row>
    <row r="51" spans="1:31" x14ac:dyDescent="0.25">
      <c r="Q51" s="215"/>
      <c r="R51" s="215"/>
      <c r="S51" s="215"/>
      <c r="T51" s="215"/>
      <c r="U51" s="215"/>
      <c r="V51" s="215"/>
      <c r="W51" s="215"/>
      <c r="X51" s="215"/>
      <c r="Y51" s="215"/>
      <c r="Z51" s="215"/>
      <c r="AA51" s="215"/>
      <c r="AB51" s="215"/>
      <c r="AC51" s="215"/>
      <c r="AD51" s="215"/>
      <c r="AE51" s="215"/>
    </row>
    <row r="52" spans="1:31" x14ac:dyDescent="0.25">
      <c r="Q52" s="215"/>
      <c r="R52" s="215"/>
      <c r="S52" s="215"/>
      <c r="T52" s="215"/>
      <c r="U52" s="215"/>
      <c r="V52" s="215"/>
      <c r="W52" s="215"/>
      <c r="X52" s="215"/>
      <c r="Y52" s="215"/>
      <c r="Z52" s="215"/>
      <c r="AA52" s="215"/>
      <c r="AB52" s="215"/>
      <c r="AC52" s="215"/>
      <c r="AD52" s="215"/>
      <c r="AE52" s="215"/>
    </row>
    <row r="53" spans="1:31" hidden="1" x14ac:dyDescent="0.25">
      <c r="Q53" s="215"/>
      <c r="R53" s="215"/>
      <c r="S53" s="215"/>
      <c r="T53" s="215"/>
      <c r="U53" s="215"/>
      <c r="V53" s="215"/>
      <c r="W53" s="215"/>
      <c r="X53" s="215"/>
      <c r="Y53" s="215"/>
      <c r="Z53" s="215"/>
      <c r="AA53" s="215"/>
      <c r="AB53" s="215"/>
      <c r="AC53" s="215"/>
      <c r="AD53" s="215"/>
      <c r="AE53" s="215"/>
    </row>
    <row r="54" spans="1:31" ht="15" hidden="1" thickBot="1" x14ac:dyDescent="0.3">
      <c r="Q54" s="215"/>
      <c r="R54" s="215"/>
      <c r="S54" s="215"/>
      <c r="T54" s="215"/>
      <c r="U54" s="215"/>
      <c r="V54" s="215"/>
      <c r="W54" s="215"/>
      <c r="X54" s="215"/>
      <c r="Y54" s="215"/>
      <c r="Z54" s="215"/>
      <c r="AA54" s="215"/>
      <c r="AB54" s="215"/>
      <c r="AC54" s="215"/>
      <c r="AD54" s="215"/>
      <c r="AE54" s="215"/>
    </row>
    <row r="55" spans="1:31" s="219" customFormat="1" ht="15" hidden="1" x14ac:dyDescent="0.25">
      <c r="A55" s="499" t="s">
        <v>44</v>
      </c>
      <c r="B55" s="501" t="s">
        <v>168</v>
      </c>
      <c r="C55" s="503" t="s">
        <v>170</v>
      </c>
      <c r="D55" s="504"/>
      <c r="E55" s="504"/>
      <c r="F55" s="504"/>
      <c r="G55" s="504"/>
      <c r="H55" s="504"/>
      <c r="I55" s="504"/>
      <c r="J55" s="504"/>
      <c r="K55" s="504"/>
      <c r="L55" s="504"/>
      <c r="M55" s="504"/>
      <c r="N55" s="504"/>
      <c r="O55" s="504"/>
      <c r="P55" s="505"/>
      <c r="Q55" s="216"/>
      <c r="R55" s="216"/>
      <c r="S55" s="217"/>
      <c r="T55" s="217"/>
      <c r="U55" s="217"/>
      <c r="V55" s="217"/>
      <c r="W55" s="217"/>
      <c r="X55" s="217"/>
      <c r="Y55" s="217"/>
      <c r="Z55" s="217"/>
      <c r="AA55" s="217"/>
      <c r="AB55" s="217"/>
      <c r="AC55" s="217"/>
      <c r="AD55" s="217"/>
      <c r="AE55" s="218"/>
    </row>
    <row r="56" spans="1:31" s="219" customFormat="1" ht="21" hidden="1" x14ac:dyDescent="0.25">
      <c r="A56" s="500"/>
      <c r="B56" s="502"/>
      <c r="C56" s="220" t="s">
        <v>169</v>
      </c>
      <c r="D56" s="220" t="s">
        <v>172</v>
      </c>
      <c r="E56" s="220" t="s">
        <v>173</v>
      </c>
      <c r="F56" s="220" t="s">
        <v>174</v>
      </c>
      <c r="G56" s="220" t="s">
        <v>175</v>
      </c>
      <c r="H56" s="220" t="s">
        <v>176</v>
      </c>
      <c r="I56" s="220" t="s">
        <v>177</v>
      </c>
      <c r="J56" s="220" t="s">
        <v>178</v>
      </c>
      <c r="K56" s="220" t="s">
        <v>179</v>
      </c>
      <c r="L56" s="220" t="s">
        <v>180</v>
      </c>
      <c r="M56" s="220" t="s">
        <v>181</v>
      </c>
      <c r="N56" s="220" t="s">
        <v>182</v>
      </c>
      <c r="O56" s="220" t="s">
        <v>183</v>
      </c>
      <c r="P56" s="221" t="s">
        <v>184</v>
      </c>
      <c r="Q56" s="216"/>
      <c r="R56" s="216"/>
      <c r="S56" s="217"/>
      <c r="T56" s="217"/>
      <c r="U56" s="217"/>
      <c r="V56" s="217"/>
      <c r="W56" s="217"/>
      <c r="X56" s="217"/>
      <c r="Y56" s="217"/>
      <c r="Z56" s="217"/>
      <c r="AA56" s="217"/>
      <c r="AB56" s="217"/>
      <c r="AC56" s="217"/>
      <c r="AD56" s="217"/>
      <c r="AE56" s="218"/>
    </row>
    <row r="57" spans="1:31" s="219" customFormat="1" ht="18" hidden="1" customHeight="1" x14ac:dyDescent="0.25">
      <c r="A57" s="495" t="str">
        <f>A41</f>
        <v>11. Diseñar una estrategia de transformación cultural para prevenir las violencias contra las mujeres, incluyendo matrices de consistencia y teorías del cambio (a partir de la línea base de investigación)</v>
      </c>
      <c r="B57" s="497">
        <f>B41</f>
        <v>7.0000000000000007E-2</v>
      </c>
      <c r="C57" s="222" t="s">
        <v>48</v>
      </c>
      <c r="D57" s="223">
        <f>D41*$B$41/$P$41</f>
        <v>0</v>
      </c>
      <c r="E57" s="223">
        <f t="shared" ref="E57:O58" si="4">E41*$B$41/$P$41</f>
        <v>0</v>
      </c>
      <c r="F57" s="223">
        <f t="shared" si="4"/>
        <v>0</v>
      </c>
      <c r="G57" s="223">
        <f t="shared" si="4"/>
        <v>0</v>
      </c>
      <c r="H57" s="223">
        <f t="shared" si="4"/>
        <v>0</v>
      </c>
      <c r="I57" s="223">
        <f t="shared" si="4"/>
        <v>0</v>
      </c>
      <c r="J57" s="223">
        <f t="shared" si="4"/>
        <v>0</v>
      </c>
      <c r="K57" s="223">
        <f t="shared" si="4"/>
        <v>2.1000000000000001E-2</v>
      </c>
      <c r="L57" s="223">
        <f t="shared" si="4"/>
        <v>2.1000000000000001E-2</v>
      </c>
      <c r="M57" s="223">
        <f t="shared" si="4"/>
        <v>2.8000000000000004E-2</v>
      </c>
      <c r="N57" s="223">
        <f t="shared" si="4"/>
        <v>0</v>
      </c>
      <c r="O57" s="223">
        <f t="shared" si="4"/>
        <v>0</v>
      </c>
      <c r="P57" s="224">
        <f>SUM(D57:O57)</f>
        <v>7.0000000000000007E-2</v>
      </c>
      <c r="Q57" s="225"/>
      <c r="R57" s="226"/>
      <c r="S57" s="217"/>
      <c r="T57" s="217"/>
      <c r="U57" s="217"/>
      <c r="V57" s="217"/>
      <c r="W57" s="217"/>
      <c r="X57" s="217"/>
      <c r="Y57" s="217"/>
      <c r="Z57" s="217"/>
      <c r="AA57" s="217"/>
      <c r="AB57" s="217"/>
      <c r="AC57" s="217"/>
      <c r="AD57" s="217"/>
      <c r="AE57" s="218"/>
    </row>
    <row r="58" spans="1:31" s="219" customFormat="1" ht="18" hidden="1" customHeight="1" x14ac:dyDescent="0.25">
      <c r="A58" s="496"/>
      <c r="B58" s="498"/>
      <c r="C58" s="227" t="s">
        <v>50</v>
      </c>
      <c r="D58" s="228">
        <f>D42*$B$41/$P$41</f>
        <v>0</v>
      </c>
      <c r="E58" s="228">
        <f t="shared" si="4"/>
        <v>0</v>
      </c>
      <c r="F58" s="228">
        <f t="shared" si="4"/>
        <v>0</v>
      </c>
      <c r="G58" s="228">
        <f t="shared" si="4"/>
        <v>0</v>
      </c>
      <c r="H58" s="228">
        <f t="shared" si="4"/>
        <v>0</v>
      </c>
      <c r="I58" s="228">
        <f t="shared" si="4"/>
        <v>0</v>
      </c>
      <c r="J58" s="228">
        <f t="shared" si="4"/>
        <v>0</v>
      </c>
      <c r="K58" s="228">
        <f t="shared" si="4"/>
        <v>2.1000000000000001E-2</v>
      </c>
      <c r="L58" s="228">
        <f t="shared" si="4"/>
        <v>2.1000000000000001E-2</v>
      </c>
      <c r="M58" s="228">
        <f t="shared" si="4"/>
        <v>0</v>
      </c>
      <c r="N58" s="228">
        <f t="shared" si="4"/>
        <v>0</v>
      </c>
      <c r="O58" s="228">
        <f t="shared" si="4"/>
        <v>0</v>
      </c>
      <c r="P58" s="229">
        <f>SUM(D58:O58)</f>
        <v>4.2000000000000003E-2</v>
      </c>
      <c r="Q58" s="230"/>
      <c r="R58" s="226"/>
      <c r="S58" s="217"/>
      <c r="T58" s="217"/>
      <c r="U58" s="217"/>
      <c r="V58" s="217"/>
      <c r="W58" s="217"/>
      <c r="X58" s="217"/>
      <c r="Y58" s="217"/>
      <c r="Z58" s="217"/>
      <c r="AA58" s="217"/>
      <c r="AB58" s="217"/>
      <c r="AC58" s="217"/>
      <c r="AD58" s="217"/>
      <c r="AE58" s="218"/>
    </row>
    <row r="59" spans="1:31" s="219" customFormat="1" ht="18" hidden="1" customHeight="1" x14ac:dyDescent="0.25">
      <c r="A59" s="495" t="str">
        <f t="shared" ref="A59:B59" si="5">A43</f>
        <v xml:space="preserve">12. Desarrollar el pilotaje de la estrategia en comunidades seleccionadas, realizar el seguimiento de su implementación y ajustar las estrategias basándose en los resultados obtenidos. </v>
      </c>
      <c r="B59" s="497">
        <f t="shared" si="5"/>
        <v>0.03</v>
      </c>
      <c r="C59" s="222" t="s">
        <v>48</v>
      </c>
      <c r="D59" s="223">
        <f>D43*$B$43/$P$43</f>
        <v>0</v>
      </c>
      <c r="E59" s="223">
        <f t="shared" ref="E59:O60" si="6">E43*$B$43/$P$43</f>
        <v>0</v>
      </c>
      <c r="F59" s="223">
        <f t="shared" si="6"/>
        <v>0</v>
      </c>
      <c r="G59" s="223">
        <f t="shared" si="6"/>
        <v>0</v>
      </c>
      <c r="H59" s="223">
        <f t="shared" si="6"/>
        <v>0</v>
      </c>
      <c r="I59" s="223">
        <f t="shared" si="6"/>
        <v>0</v>
      </c>
      <c r="J59" s="223">
        <f t="shared" si="6"/>
        <v>0</v>
      </c>
      <c r="K59" s="223">
        <f t="shared" si="6"/>
        <v>0</v>
      </c>
      <c r="L59" s="223">
        <f t="shared" si="6"/>
        <v>0</v>
      </c>
      <c r="M59" s="223">
        <f t="shared" si="6"/>
        <v>6.0000000000000001E-3</v>
      </c>
      <c r="N59" s="223">
        <f t="shared" si="6"/>
        <v>1.2E-2</v>
      </c>
      <c r="O59" s="223">
        <f t="shared" si="6"/>
        <v>1.2E-2</v>
      </c>
      <c r="P59" s="224">
        <f>SUM(D59:O59)</f>
        <v>3.0000000000000002E-2</v>
      </c>
      <c r="Q59" s="225"/>
      <c r="R59" s="226"/>
      <c r="S59" s="217"/>
      <c r="T59" s="217"/>
      <c r="U59" s="217"/>
      <c r="V59" s="217"/>
      <c r="W59" s="217"/>
      <c r="X59" s="217"/>
      <c r="Y59" s="217"/>
      <c r="Z59" s="217"/>
      <c r="AA59" s="217"/>
      <c r="AB59" s="217"/>
      <c r="AC59" s="217"/>
      <c r="AD59" s="217"/>
      <c r="AE59" s="218"/>
    </row>
    <row r="60" spans="1:31" s="219" customFormat="1" ht="18" hidden="1" customHeight="1" x14ac:dyDescent="0.25">
      <c r="A60" s="496"/>
      <c r="B60" s="498"/>
      <c r="C60" s="227" t="s">
        <v>50</v>
      </c>
      <c r="D60" s="228">
        <f>D44*$B$43/$P$43</f>
        <v>0</v>
      </c>
      <c r="E60" s="228">
        <f t="shared" si="6"/>
        <v>0</v>
      </c>
      <c r="F60" s="228">
        <f t="shared" si="6"/>
        <v>0</v>
      </c>
      <c r="G60" s="228">
        <f t="shared" si="6"/>
        <v>0</v>
      </c>
      <c r="H60" s="228">
        <f t="shared" si="6"/>
        <v>0</v>
      </c>
      <c r="I60" s="228">
        <f t="shared" si="6"/>
        <v>0</v>
      </c>
      <c r="J60" s="228">
        <f t="shared" si="6"/>
        <v>0</v>
      </c>
      <c r="K60" s="228">
        <f t="shared" si="6"/>
        <v>0</v>
      </c>
      <c r="L60" s="228">
        <f t="shared" si="6"/>
        <v>0</v>
      </c>
      <c r="M60" s="228">
        <f t="shared" si="6"/>
        <v>0</v>
      </c>
      <c r="N60" s="228">
        <f t="shared" si="6"/>
        <v>0</v>
      </c>
      <c r="O60" s="228">
        <f t="shared" si="6"/>
        <v>0</v>
      </c>
      <c r="P60" s="229">
        <f t="shared" ref="P60:P62" si="7">SUM(D60:O60)</f>
        <v>0</v>
      </c>
      <c r="Q60" s="230"/>
      <c r="R60" s="226"/>
      <c r="S60" s="217"/>
      <c r="T60" s="217"/>
      <c r="U60" s="217"/>
      <c r="V60" s="217"/>
      <c r="W60" s="217"/>
      <c r="X60" s="217"/>
      <c r="Y60" s="217"/>
      <c r="Z60" s="217"/>
      <c r="AA60" s="217"/>
      <c r="AB60" s="217"/>
      <c r="AC60" s="217"/>
      <c r="AD60" s="217"/>
      <c r="AE60" s="218"/>
    </row>
    <row r="61" spans="1:31" s="219" customFormat="1" ht="18" hidden="1" customHeight="1" x14ac:dyDescent="0.25">
      <c r="A61" s="495" t="str">
        <f t="shared" ref="A61:B61" si="8">A45</f>
        <v>13. Idear  las acciones narrativas y comunicativas de cada estrategia.</v>
      </c>
      <c r="B61" s="497">
        <f t="shared" si="8"/>
        <v>0.02</v>
      </c>
      <c r="C61" s="222" t="s">
        <v>48</v>
      </c>
      <c r="D61" s="223">
        <f>D45*$B$45/$P$45</f>
        <v>0</v>
      </c>
      <c r="E61" s="223">
        <f t="shared" ref="E61:O62" si="9">E45*$B$45/$P$45</f>
        <v>0</v>
      </c>
      <c r="F61" s="223">
        <f t="shared" si="9"/>
        <v>0</v>
      </c>
      <c r="G61" s="223">
        <f t="shared" si="9"/>
        <v>0</v>
      </c>
      <c r="H61" s="223">
        <f t="shared" si="9"/>
        <v>0</v>
      </c>
      <c r="I61" s="223">
        <f t="shared" si="9"/>
        <v>0</v>
      </c>
      <c r="J61" s="223">
        <f t="shared" si="9"/>
        <v>0</v>
      </c>
      <c r="K61" s="223">
        <f t="shared" si="9"/>
        <v>4.0000000000000001E-3</v>
      </c>
      <c r="L61" s="223">
        <f t="shared" si="9"/>
        <v>8.0000000000000002E-3</v>
      </c>
      <c r="M61" s="223">
        <f t="shared" si="9"/>
        <v>8.0000000000000002E-3</v>
      </c>
      <c r="N61" s="223">
        <f t="shared" si="9"/>
        <v>0</v>
      </c>
      <c r="O61" s="223">
        <f t="shared" si="9"/>
        <v>0</v>
      </c>
      <c r="P61" s="224">
        <f>SUM(D61:O61)</f>
        <v>0.02</v>
      </c>
      <c r="Q61" s="225"/>
      <c r="R61" s="226"/>
      <c r="S61" s="217"/>
      <c r="T61" s="217"/>
      <c r="U61" s="217"/>
      <c r="V61" s="217"/>
      <c r="W61" s="217"/>
      <c r="X61" s="217"/>
      <c r="Y61" s="217"/>
      <c r="Z61" s="217"/>
      <c r="AA61" s="217"/>
      <c r="AB61" s="217"/>
      <c r="AC61" s="217"/>
      <c r="AD61" s="217"/>
      <c r="AE61" s="218"/>
    </row>
    <row r="62" spans="1:31" s="219" customFormat="1" ht="18" hidden="1" customHeight="1" x14ac:dyDescent="0.25">
      <c r="A62" s="496"/>
      <c r="B62" s="498"/>
      <c r="C62" s="227" t="s">
        <v>50</v>
      </c>
      <c r="D62" s="231">
        <f>D46*$B$45/$P$45</f>
        <v>0</v>
      </c>
      <c r="E62" s="231">
        <f t="shared" si="9"/>
        <v>0</v>
      </c>
      <c r="F62" s="231">
        <f t="shared" si="9"/>
        <v>0</v>
      </c>
      <c r="G62" s="231">
        <f t="shared" si="9"/>
        <v>0</v>
      </c>
      <c r="H62" s="231">
        <f t="shared" si="9"/>
        <v>0</v>
      </c>
      <c r="I62" s="231">
        <f t="shared" si="9"/>
        <v>0</v>
      </c>
      <c r="J62" s="231">
        <f t="shared" si="9"/>
        <v>0</v>
      </c>
      <c r="K62" s="231">
        <f t="shared" si="9"/>
        <v>4.0000000000000001E-3</v>
      </c>
      <c r="L62" s="231">
        <f t="shared" si="9"/>
        <v>8.0000000000000002E-3</v>
      </c>
      <c r="M62" s="231">
        <f t="shared" si="9"/>
        <v>0</v>
      </c>
      <c r="N62" s="231">
        <f t="shared" si="9"/>
        <v>0</v>
      </c>
      <c r="O62" s="231">
        <f t="shared" si="9"/>
        <v>0</v>
      </c>
      <c r="P62" s="229">
        <f t="shared" si="7"/>
        <v>1.2E-2</v>
      </c>
      <c r="Q62" s="230"/>
      <c r="R62" s="226"/>
      <c r="S62" s="217"/>
      <c r="T62" s="217"/>
      <c r="U62" s="217"/>
      <c r="V62" s="217"/>
      <c r="W62" s="217"/>
      <c r="X62" s="217"/>
      <c r="Y62" s="217"/>
      <c r="Z62" s="217"/>
      <c r="AA62" s="217"/>
      <c r="AB62" s="217"/>
      <c r="AC62" s="217"/>
      <c r="AD62" s="217"/>
      <c r="AE62" s="218"/>
    </row>
    <row r="63" spans="1:31" s="219" customFormat="1" ht="15" hidden="1" x14ac:dyDescent="0.25">
      <c r="A63" s="491"/>
      <c r="B63" s="493"/>
      <c r="C63" s="233"/>
      <c r="D63" s="223"/>
      <c r="E63" s="223"/>
      <c r="F63" s="223"/>
      <c r="G63" s="223"/>
      <c r="H63" s="223"/>
      <c r="I63" s="223"/>
      <c r="J63" s="223"/>
      <c r="K63" s="223"/>
      <c r="L63" s="223"/>
      <c r="M63" s="223"/>
      <c r="N63" s="223"/>
      <c r="O63" s="223"/>
      <c r="P63" s="234"/>
      <c r="Q63" s="225"/>
      <c r="R63" s="226"/>
      <c r="S63" s="217"/>
      <c r="T63" s="217"/>
      <c r="U63" s="217"/>
      <c r="V63" s="217"/>
      <c r="W63" s="217"/>
      <c r="X63" s="217"/>
      <c r="Y63" s="217"/>
      <c r="Z63" s="217"/>
      <c r="AA63" s="217"/>
      <c r="AB63" s="217"/>
      <c r="AC63" s="217"/>
      <c r="AD63" s="217"/>
      <c r="AE63" s="218"/>
    </row>
    <row r="64" spans="1:31" s="219" customFormat="1" ht="15" hidden="1" x14ac:dyDescent="0.25">
      <c r="A64" s="492"/>
      <c r="B64" s="494"/>
      <c r="C64" s="233"/>
      <c r="D64" s="237"/>
      <c r="E64" s="237"/>
      <c r="F64" s="237"/>
      <c r="G64" s="237"/>
      <c r="H64" s="237"/>
      <c r="I64" s="237"/>
      <c r="J64" s="237"/>
      <c r="K64" s="237"/>
      <c r="L64" s="237"/>
      <c r="M64" s="237"/>
      <c r="N64" s="237"/>
      <c r="O64" s="237"/>
      <c r="P64" s="234"/>
      <c r="Q64" s="230"/>
      <c r="R64" s="226"/>
      <c r="S64" s="217"/>
      <c r="T64" s="217"/>
      <c r="U64" s="217"/>
      <c r="V64" s="217"/>
      <c r="W64" s="217"/>
      <c r="X64" s="217"/>
      <c r="Y64" s="217"/>
      <c r="Z64" s="217"/>
      <c r="AA64" s="217"/>
      <c r="AB64" s="217"/>
      <c r="AC64" s="217"/>
      <c r="AD64" s="217"/>
      <c r="AE64" s="218"/>
    </row>
    <row r="65" spans="1:31" s="219" customFormat="1" ht="15" hidden="1" x14ac:dyDescent="0.25">
      <c r="A65" s="491"/>
      <c r="B65" s="493"/>
      <c r="C65" s="233"/>
      <c r="D65" s="223"/>
      <c r="E65" s="223"/>
      <c r="F65" s="223"/>
      <c r="G65" s="223"/>
      <c r="H65" s="223"/>
      <c r="I65" s="223"/>
      <c r="J65" s="223"/>
      <c r="K65" s="223"/>
      <c r="L65" s="223"/>
      <c r="M65" s="223"/>
      <c r="N65" s="223"/>
      <c r="O65" s="223"/>
      <c r="P65" s="234"/>
      <c r="Q65" s="225"/>
      <c r="R65" s="226"/>
      <c r="S65" s="217"/>
      <c r="T65" s="217"/>
      <c r="U65" s="217"/>
      <c r="V65" s="217"/>
      <c r="W65" s="217"/>
      <c r="X65" s="217"/>
      <c r="Y65" s="217"/>
      <c r="Z65" s="217"/>
      <c r="AA65" s="217"/>
      <c r="AB65" s="217"/>
      <c r="AC65" s="217"/>
      <c r="AD65" s="217"/>
      <c r="AE65" s="218"/>
    </row>
    <row r="66" spans="1:31" s="219" customFormat="1" ht="15" hidden="1" x14ac:dyDescent="0.25">
      <c r="A66" s="492"/>
      <c r="B66" s="494"/>
      <c r="C66" s="233"/>
      <c r="D66" s="237"/>
      <c r="E66" s="237"/>
      <c r="F66" s="237"/>
      <c r="G66" s="237"/>
      <c r="H66" s="237"/>
      <c r="I66" s="237"/>
      <c r="J66" s="237"/>
      <c r="K66" s="237"/>
      <c r="L66" s="237"/>
      <c r="M66" s="237"/>
      <c r="N66" s="237"/>
      <c r="O66" s="237"/>
      <c r="P66" s="234"/>
      <c r="Q66" s="230"/>
      <c r="R66" s="226"/>
      <c r="S66" s="217"/>
      <c r="T66" s="217"/>
      <c r="U66" s="217"/>
      <c r="V66" s="217"/>
      <c r="W66" s="217"/>
      <c r="X66" s="217"/>
      <c r="Y66" s="217"/>
      <c r="Z66" s="217"/>
      <c r="AA66" s="217"/>
      <c r="AB66" s="217"/>
      <c r="AC66" s="217"/>
      <c r="AD66" s="217"/>
      <c r="AE66" s="218"/>
    </row>
    <row r="67" spans="1:31" s="219" customFormat="1" ht="15" hidden="1" x14ac:dyDescent="0.25">
      <c r="A67" s="491"/>
      <c r="B67" s="493"/>
      <c r="C67" s="233"/>
      <c r="D67" s="223"/>
      <c r="E67" s="223"/>
      <c r="F67" s="223"/>
      <c r="G67" s="223"/>
      <c r="H67" s="223"/>
      <c r="I67" s="223"/>
      <c r="J67" s="223"/>
      <c r="K67" s="223"/>
      <c r="L67" s="223"/>
      <c r="M67" s="223"/>
      <c r="N67" s="223"/>
      <c r="O67" s="223"/>
      <c r="P67" s="234"/>
      <c r="Q67" s="225"/>
      <c r="R67" s="226"/>
      <c r="S67" s="217"/>
      <c r="T67" s="217"/>
      <c r="U67" s="217"/>
      <c r="V67" s="217"/>
      <c r="W67" s="217"/>
      <c r="X67" s="217"/>
      <c r="Y67" s="217"/>
      <c r="Z67" s="217"/>
      <c r="AA67" s="217"/>
      <c r="AB67" s="217"/>
      <c r="AC67" s="217"/>
      <c r="AD67" s="217"/>
      <c r="AE67" s="218"/>
    </row>
    <row r="68" spans="1:31" s="219" customFormat="1" ht="15" hidden="1" x14ac:dyDescent="0.25">
      <c r="A68" s="492"/>
      <c r="B68" s="494"/>
      <c r="C68" s="233"/>
      <c r="D68" s="237"/>
      <c r="E68" s="237"/>
      <c r="F68" s="237"/>
      <c r="G68" s="237"/>
      <c r="H68" s="237"/>
      <c r="I68" s="237"/>
      <c r="J68" s="237"/>
      <c r="K68" s="237"/>
      <c r="L68" s="237"/>
      <c r="M68" s="237"/>
      <c r="N68" s="237"/>
      <c r="O68" s="237"/>
      <c r="P68" s="234"/>
      <c r="Q68" s="230"/>
      <c r="R68" s="226"/>
      <c r="S68" s="217"/>
      <c r="T68" s="217"/>
      <c r="U68" s="217"/>
      <c r="V68" s="217"/>
      <c r="W68" s="217"/>
      <c r="X68" s="217"/>
      <c r="Y68" s="217"/>
      <c r="Z68" s="217"/>
      <c r="AA68" s="217"/>
      <c r="AB68" s="217"/>
      <c r="AC68" s="217"/>
      <c r="AD68" s="217"/>
      <c r="AE68" s="218"/>
    </row>
    <row r="69" spans="1:31" s="219" customFormat="1" ht="15" hidden="1" x14ac:dyDescent="0.25">
      <c r="A69" s="216"/>
      <c r="B69" s="238"/>
      <c r="C69" s="239"/>
      <c r="D69" s="240">
        <f t="shared" ref="D69:P69" si="10">D58+D60+D62</f>
        <v>0</v>
      </c>
      <c r="E69" s="240">
        <f t="shared" si="10"/>
        <v>0</v>
      </c>
      <c r="F69" s="240">
        <f t="shared" si="10"/>
        <v>0</v>
      </c>
      <c r="G69" s="240">
        <f t="shared" si="10"/>
        <v>0</v>
      </c>
      <c r="H69" s="240">
        <f t="shared" si="10"/>
        <v>0</v>
      </c>
      <c r="I69" s="240">
        <f t="shared" si="10"/>
        <v>0</v>
      </c>
      <c r="J69" s="240">
        <f t="shared" si="10"/>
        <v>0</v>
      </c>
      <c r="K69" s="240">
        <f t="shared" si="10"/>
        <v>2.5000000000000001E-2</v>
      </c>
      <c r="L69" s="240">
        <f t="shared" si="10"/>
        <v>2.9000000000000001E-2</v>
      </c>
      <c r="M69" s="240">
        <f t="shared" si="10"/>
        <v>0</v>
      </c>
      <c r="N69" s="240">
        <f t="shared" si="10"/>
        <v>0</v>
      </c>
      <c r="O69" s="240">
        <f t="shared" si="10"/>
        <v>0</v>
      </c>
      <c r="P69" s="240">
        <f t="shared" si="10"/>
        <v>5.4000000000000006E-2</v>
      </c>
      <c r="Q69" s="216"/>
      <c r="R69" s="226"/>
      <c r="S69" s="217"/>
      <c r="T69" s="217"/>
      <c r="U69" s="217"/>
      <c r="V69" s="217"/>
      <c r="W69" s="217"/>
      <c r="X69" s="217"/>
      <c r="Y69" s="217"/>
      <c r="Z69" s="217"/>
      <c r="AA69" s="217"/>
      <c r="AB69" s="217"/>
      <c r="AC69" s="217"/>
      <c r="AD69" s="217"/>
      <c r="AE69" s="218"/>
    </row>
    <row r="70" spans="1:31" s="219" customFormat="1" ht="15" hidden="1" x14ac:dyDescent="0.25">
      <c r="A70" s="216"/>
      <c r="B70" s="241"/>
      <c r="C70" s="242" t="s">
        <v>50</v>
      </c>
      <c r="D70" s="243">
        <f>D69*1/$B$35</f>
        <v>0</v>
      </c>
      <c r="E70" s="243">
        <f t="shared" ref="E70:O70" si="11">E69*1/$B$35</f>
        <v>0</v>
      </c>
      <c r="F70" s="243">
        <f t="shared" si="11"/>
        <v>0</v>
      </c>
      <c r="G70" s="243">
        <f t="shared" si="11"/>
        <v>0</v>
      </c>
      <c r="H70" s="243">
        <f t="shared" si="11"/>
        <v>0</v>
      </c>
      <c r="I70" s="243">
        <f t="shared" si="11"/>
        <v>0</v>
      </c>
      <c r="J70" s="243">
        <f t="shared" si="11"/>
        <v>0</v>
      </c>
      <c r="K70" s="243">
        <f t="shared" si="11"/>
        <v>0.20833333333333334</v>
      </c>
      <c r="L70" s="243">
        <f t="shared" si="11"/>
        <v>0.2416666666666667</v>
      </c>
      <c r="M70" s="243">
        <f t="shared" si="11"/>
        <v>0</v>
      </c>
      <c r="N70" s="243">
        <f t="shared" si="11"/>
        <v>0</v>
      </c>
      <c r="O70" s="243">
        <f t="shared" si="11"/>
        <v>0</v>
      </c>
      <c r="P70" s="244">
        <f>SUM(D70:O70)</f>
        <v>0.45000000000000007</v>
      </c>
      <c r="Q70" s="245"/>
      <c r="R70" s="216"/>
      <c r="S70" s="217"/>
      <c r="T70" s="217"/>
      <c r="U70" s="217"/>
      <c r="V70" s="217"/>
      <c r="W70" s="217"/>
      <c r="X70" s="217"/>
      <c r="Y70" s="217"/>
      <c r="Z70" s="217"/>
      <c r="AA70" s="217"/>
      <c r="AB70" s="217"/>
      <c r="AC70" s="217"/>
      <c r="AD70" s="217"/>
      <c r="AE70" s="218"/>
    </row>
    <row r="71" spans="1:31" s="219" customFormat="1" ht="15" hidden="1" x14ac:dyDescent="0.25">
      <c r="A71" s="245"/>
      <c r="B71" s="246"/>
      <c r="C71" s="246"/>
      <c r="D71" s="246"/>
      <c r="E71" s="246"/>
      <c r="F71" s="246"/>
      <c r="G71" s="246"/>
      <c r="H71" s="246"/>
      <c r="I71" s="246"/>
      <c r="J71" s="246"/>
      <c r="K71" s="246"/>
      <c r="L71" s="246"/>
      <c r="M71" s="246"/>
      <c r="N71" s="246"/>
      <c r="O71" s="246"/>
      <c r="P71" s="246"/>
      <c r="Q71" s="245"/>
      <c r="R71" s="245"/>
      <c r="S71" s="217"/>
      <c r="T71" s="217"/>
      <c r="U71" s="217"/>
      <c r="V71" s="217"/>
      <c r="W71" s="217"/>
      <c r="X71" s="217"/>
      <c r="Y71" s="217"/>
      <c r="Z71" s="217"/>
      <c r="AA71" s="217"/>
      <c r="AB71" s="217"/>
      <c r="AC71" s="217"/>
      <c r="AD71" s="217"/>
      <c r="AE71" s="218"/>
    </row>
    <row r="72" spans="1:31" s="219" customFormat="1" ht="15" hidden="1" x14ac:dyDescent="0.25">
      <c r="A72" s="225"/>
      <c r="B72" s="247"/>
      <c r="C72" s="247"/>
      <c r="D72" s="240">
        <f t="shared" ref="D72:P72" si="12">+D57+D59+D61</f>
        <v>0</v>
      </c>
      <c r="E72" s="240">
        <f t="shared" si="12"/>
        <v>0</v>
      </c>
      <c r="F72" s="240">
        <f t="shared" si="12"/>
        <v>0</v>
      </c>
      <c r="G72" s="240">
        <f t="shared" si="12"/>
        <v>0</v>
      </c>
      <c r="H72" s="240">
        <f t="shared" si="12"/>
        <v>0</v>
      </c>
      <c r="I72" s="240">
        <f t="shared" si="12"/>
        <v>0</v>
      </c>
      <c r="J72" s="240">
        <f t="shared" si="12"/>
        <v>0</v>
      </c>
      <c r="K72" s="240">
        <f t="shared" si="12"/>
        <v>2.5000000000000001E-2</v>
      </c>
      <c r="L72" s="240">
        <f t="shared" si="12"/>
        <v>2.9000000000000001E-2</v>
      </c>
      <c r="M72" s="240">
        <f t="shared" si="12"/>
        <v>4.2000000000000003E-2</v>
      </c>
      <c r="N72" s="240">
        <f t="shared" si="12"/>
        <v>1.2E-2</v>
      </c>
      <c r="O72" s="240">
        <f t="shared" si="12"/>
        <v>1.2E-2</v>
      </c>
      <c r="P72" s="240">
        <f t="shared" si="12"/>
        <v>0.12000000000000001</v>
      </c>
      <c r="Q72" s="225"/>
      <c r="R72" s="225"/>
      <c r="S72" s="217"/>
      <c r="T72" s="217"/>
      <c r="U72" s="217"/>
      <c r="V72" s="217"/>
      <c r="W72" s="217"/>
      <c r="X72" s="217"/>
      <c r="Y72" s="217"/>
      <c r="Z72" s="217"/>
      <c r="AA72" s="217"/>
      <c r="AB72" s="217"/>
      <c r="AC72" s="217"/>
      <c r="AD72" s="217"/>
      <c r="AE72" s="218"/>
    </row>
    <row r="73" spans="1:31" s="219" customFormat="1" ht="15" hidden="1" x14ac:dyDescent="0.25">
      <c r="A73" s="225"/>
      <c r="B73" s="247"/>
      <c r="C73" s="242" t="s">
        <v>48</v>
      </c>
      <c r="D73" s="243">
        <f>D72*1/$B$35</f>
        <v>0</v>
      </c>
      <c r="E73" s="243">
        <f t="shared" ref="E73:O73" si="13">E72*1/$B$35</f>
        <v>0</v>
      </c>
      <c r="F73" s="243">
        <f t="shared" si="13"/>
        <v>0</v>
      </c>
      <c r="G73" s="243">
        <f t="shared" si="13"/>
        <v>0</v>
      </c>
      <c r="H73" s="243">
        <f t="shared" si="13"/>
        <v>0</v>
      </c>
      <c r="I73" s="243">
        <f t="shared" si="13"/>
        <v>0</v>
      </c>
      <c r="J73" s="243">
        <f t="shared" si="13"/>
        <v>0</v>
      </c>
      <c r="K73" s="243">
        <f t="shared" si="13"/>
        <v>0.20833333333333334</v>
      </c>
      <c r="L73" s="243">
        <f t="shared" si="13"/>
        <v>0.2416666666666667</v>
      </c>
      <c r="M73" s="243">
        <f t="shared" si="13"/>
        <v>0.35000000000000003</v>
      </c>
      <c r="N73" s="243">
        <f t="shared" si="13"/>
        <v>0.1</v>
      </c>
      <c r="O73" s="243">
        <f t="shared" si="13"/>
        <v>0.1</v>
      </c>
      <c r="P73" s="244">
        <f>SUM(D73:O73)</f>
        <v>1</v>
      </c>
      <c r="Q73" s="225"/>
      <c r="R73" s="225"/>
      <c r="S73" s="217"/>
      <c r="T73" s="217"/>
      <c r="U73" s="217"/>
      <c r="V73" s="217"/>
      <c r="W73" s="217"/>
      <c r="X73" s="217"/>
      <c r="Y73" s="217"/>
      <c r="Z73" s="217"/>
      <c r="AA73" s="217"/>
      <c r="AB73" s="217"/>
      <c r="AC73" s="217"/>
      <c r="AD73" s="217"/>
      <c r="AE73" s="218"/>
    </row>
    <row r="74" spans="1:31" s="219" customFormat="1" ht="15" hidden="1" x14ac:dyDescent="0.25">
      <c r="A74" s="217"/>
      <c r="Q74" s="217"/>
      <c r="R74" s="217"/>
      <c r="S74" s="217"/>
      <c r="T74" s="217"/>
      <c r="U74" s="217"/>
      <c r="V74" s="217"/>
      <c r="W74" s="217"/>
      <c r="X74" s="217"/>
      <c r="Y74" s="217"/>
      <c r="Z74" s="217"/>
      <c r="AA74" s="217"/>
      <c r="AB74" s="217"/>
      <c r="AC74" s="217"/>
      <c r="AD74" s="217"/>
      <c r="AE74" s="218"/>
    </row>
    <row r="75" spans="1:31" s="219" customFormat="1" ht="15" hidden="1" x14ac:dyDescent="0.25">
      <c r="A75" s="217"/>
      <c r="Q75" s="217"/>
      <c r="R75" s="217"/>
      <c r="S75" s="217"/>
      <c r="T75" s="217"/>
      <c r="U75" s="217"/>
      <c r="V75" s="217"/>
      <c r="W75" s="217"/>
      <c r="X75" s="217"/>
      <c r="Y75" s="217"/>
      <c r="Z75" s="217"/>
      <c r="AA75" s="217"/>
      <c r="AB75" s="217"/>
      <c r="AC75" s="217"/>
      <c r="AD75" s="217"/>
      <c r="AE75" s="218"/>
    </row>
    <row r="76" spans="1:31" s="219" customFormat="1" ht="15" hidden="1" x14ac:dyDescent="0.25">
      <c r="A76" s="217"/>
      <c r="Q76" s="217"/>
      <c r="R76" s="217"/>
      <c r="S76" s="217"/>
      <c r="T76" s="217"/>
      <c r="U76" s="217"/>
      <c r="V76" s="217"/>
      <c r="W76" s="217"/>
      <c r="X76" s="217"/>
      <c r="Y76" s="217"/>
      <c r="Z76" s="217"/>
      <c r="AA76" s="217"/>
      <c r="AB76" s="217"/>
      <c r="AC76" s="217"/>
      <c r="AD76" s="217"/>
      <c r="AE76" s="218"/>
    </row>
    <row r="77" spans="1:31" hidden="1" x14ac:dyDescent="0.25">
      <c r="Q77" s="215"/>
      <c r="R77" s="215"/>
      <c r="S77" s="215"/>
      <c r="T77" s="215"/>
      <c r="U77" s="215"/>
      <c r="V77" s="215"/>
      <c r="W77" s="215"/>
      <c r="X77" s="215"/>
      <c r="Y77" s="215"/>
      <c r="Z77" s="215"/>
      <c r="AA77" s="215"/>
      <c r="AB77" s="215"/>
      <c r="AC77" s="215"/>
      <c r="AD77" s="215"/>
      <c r="AE77" s="215"/>
    </row>
    <row r="78" spans="1:31" hidden="1" x14ac:dyDescent="0.25">
      <c r="Q78" s="215"/>
      <c r="R78" s="215"/>
      <c r="S78" s="215"/>
      <c r="T78" s="215"/>
      <c r="U78" s="215"/>
      <c r="V78" s="215"/>
      <c r="W78" s="215"/>
      <c r="X78" s="215"/>
      <c r="Y78" s="215"/>
      <c r="Z78" s="215"/>
      <c r="AA78" s="215"/>
      <c r="AB78" s="215"/>
      <c r="AC78" s="215"/>
      <c r="AD78" s="215"/>
      <c r="AE78" s="215"/>
    </row>
    <row r="79" spans="1:31" hidden="1" x14ac:dyDescent="0.25">
      <c r="Q79" s="215"/>
      <c r="R79" s="215"/>
      <c r="S79" s="215"/>
      <c r="T79" s="215"/>
      <c r="U79" s="215"/>
      <c r="V79" s="215"/>
      <c r="W79" s="215"/>
      <c r="X79" s="215"/>
      <c r="Y79" s="215"/>
      <c r="Z79" s="215"/>
      <c r="AA79" s="215"/>
      <c r="AB79" s="215"/>
      <c r="AC79" s="215"/>
      <c r="AD79" s="215"/>
      <c r="AE79" s="215"/>
    </row>
    <row r="80" spans="1:31" hidden="1" x14ac:dyDescent="0.25">
      <c r="Q80" s="215"/>
      <c r="R80" s="215"/>
      <c r="S80" s="215"/>
      <c r="T80" s="215"/>
      <c r="U80" s="215"/>
      <c r="V80" s="215"/>
      <c r="W80" s="215"/>
      <c r="X80" s="215"/>
      <c r="Y80" s="215"/>
      <c r="Z80" s="215"/>
      <c r="AA80" s="215"/>
      <c r="AB80" s="215"/>
      <c r="AC80" s="215"/>
      <c r="AD80" s="215"/>
      <c r="AE80" s="215"/>
    </row>
    <row r="81" spans="17:31" hidden="1" x14ac:dyDescent="0.25">
      <c r="Q81" s="215"/>
      <c r="R81" s="215"/>
      <c r="S81" s="215"/>
      <c r="T81" s="215"/>
      <c r="U81" s="215"/>
      <c r="V81" s="215"/>
      <c r="W81" s="215"/>
      <c r="X81" s="215"/>
      <c r="Y81" s="215"/>
      <c r="Z81" s="215"/>
      <c r="AA81" s="215"/>
      <c r="AB81" s="215"/>
      <c r="AC81" s="215"/>
      <c r="AD81" s="215"/>
      <c r="AE81" s="215"/>
    </row>
    <row r="82" spans="17:31" hidden="1" x14ac:dyDescent="0.25">
      <c r="Q82" s="215"/>
      <c r="R82" s="215"/>
      <c r="S82" s="215"/>
      <c r="T82" s="215"/>
      <c r="U82" s="215"/>
      <c r="V82" s="215"/>
      <c r="W82" s="215"/>
      <c r="X82" s="215"/>
      <c r="Y82" s="215"/>
      <c r="Z82" s="215"/>
      <c r="AA82" s="215"/>
      <c r="AB82" s="215"/>
      <c r="AC82" s="215"/>
      <c r="AD82" s="215"/>
      <c r="AE82" s="215"/>
    </row>
    <row r="83" spans="17:31" hidden="1" x14ac:dyDescent="0.25">
      <c r="Q83" s="215"/>
      <c r="R83" s="215"/>
      <c r="S83" s="215"/>
      <c r="T83" s="215"/>
      <c r="U83" s="215"/>
      <c r="V83" s="215"/>
      <c r="W83" s="215"/>
      <c r="X83" s="215"/>
      <c r="Y83" s="215"/>
      <c r="Z83" s="215"/>
      <c r="AA83" s="215"/>
      <c r="AB83" s="215"/>
      <c r="AC83" s="215"/>
      <c r="AD83" s="215"/>
      <c r="AE83" s="215"/>
    </row>
    <row r="84" spans="17:31" x14ac:dyDescent="0.25">
      <c r="Q84" s="215"/>
      <c r="R84" s="215"/>
      <c r="S84" s="215"/>
      <c r="T84" s="215"/>
      <c r="U84" s="215"/>
      <c r="V84" s="215"/>
      <c r="W84" s="215"/>
      <c r="X84" s="215"/>
      <c r="Y84" s="215"/>
      <c r="Z84" s="215"/>
      <c r="AA84" s="215"/>
      <c r="AB84" s="215"/>
      <c r="AC84" s="215"/>
      <c r="AD84" s="215"/>
      <c r="AE84" s="215"/>
    </row>
  </sheetData>
  <mergeCells count="94">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19:AE19"/>
    <mergeCell ref="B20:O20"/>
    <mergeCell ref="P20:AE20"/>
    <mergeCell ref="A27:AE27"/>
    <mergeCell ref="A28:A29"/>
    <mergeCell ref="B28:C29"/>
    <mergeCell ref="D28:O28"/>
    <mergeCell ref="P28:P29"/>
    <mergeCell ref="Q28:X29"/>
    <mergeCell ref="Y28:AE29"/>
    <mergeCell ref="R15:X15"/>
    <mergeCell ref="Y15:Z15"/>
    <mergeCell ref="C16:AB16"/>
    <mergeCell ref="A17:B17"/>
    <mergeCell ref="C17:AE17"/>
    <mergeCell ref="O8:P8"/>
    <mergeCell ref="M9:N9"/>
    <mergeCell ref="O9:P9"/>
    <mergeCell ref="A15:B15"/>
    <mergeCell ref="C15:K15"/>
    <mergeCell ref="L15:Q15"/>
    <mergeCell ref="AB1:AE1"/>
    <mergeCell ref="B2:AA2"/>
    <mergeCell ref="AB2:AE2"/>
    <mergeCell ref="B3:AA4"/>
    <mergeCell ref="AB3:AE3"/>
    <mergeCell ref="AB4:AE4"/>
    <mergeCell ref="C55:P55"/>
    <mergeCell ref="A57:A58"/>
    <mergeCell ref="B57:B58"/>
    <mergeCell ref="A1:A4"/>
    <mergeCell ref="B1:AA1"/>
    <mergeCell ref="A11:B13"/>
    <mergeCell ref="C11:AE13"/>
    <mergeCell ref="A7:B9"/>
    <mergeCell ref="C7:C9"/>
    <mergeCell ref="D7:H9"/>
    <mergeCell ref="I7:J9"/>
    <mergeCell ref="K7:L9"/>
    <mergeCell ref="M7:N7"/>
    <mergeCell ref="AA15:AE15"/>
    <mergeCell ref="O7:P7"/>
    <mergeCell ref="M8:N8"/>
    <mergeCell ref="A59:A60"/>
    <mergeCell ref="B59:B60"/>
    <mergeCell ref="A61:A62"/>
    <mergeCell ref="B61:B62"/>
    <mergeCell ref="A55:A56"/>
    <mergeCell ref="B55:B56"/>
    <mergeCell ref="A63:A64"/>
    <mergeCell ref="B63:B64"/>
    <mergeCell ref="A65:A66"/>
    <mergeCell ref="B65:B66"/>
    <mergeCell ref="A67:A68"/>
    <mergeCell ref="B67:B68"/>
  </mergeCells>
  <dataValidations count="3">
    <dataValidation type="list" allowBlank="1" showInputMessage="1" showErrorMessage="1" sqref="C7" xr:uid="{3F390914-902A-4351-8576-43251B41905A}">
      <formula1>$B$21:$M$21</formula1>
    </dataValidation>
    <dataValidation type="textLength" operator="lessThanOrEqual" allowBlank="1" showInputMessage="1" showErrorMessage="1" errorTitle="Máximo 2.000 caracteres" error="Máximo 2.000 caracteres" promptTitle="2.000 caracteres" sqref="Q30:Q31" xr:uid="{B7B048EB-86F8-45F9-80A4-1FC7D4E410B0}">
      <formula1>2000</formula1>
    </dataValidation>
    <dataValidation type="textLength" operator="lessThanOrEqual" allowBlank="1" showInputMessage="1" showErrorMessage="1" errorTitle="Máximo 2.000 caracteres" error="Máximo 2.000 caracteres" sqref="AC35 Q35 Y35 Q45 Q41 Q43" xr:uid="{B14F39E2-2E6F-4D81-8BAD-0A0C9C36196A}">
      <formula1>2000</formula1>
    </dataValidation>
  </dataValidations>
  <hyperlinks>
    <hyperlink ref="Y41" r:id="rId1" display="https://secretariadistritald.sharepoint.com/:x:/s/BogotCaminaSegura/EdG5GPoIaEZMpqqVMbcf5RsBX4-6ozbBhCtvihlnsun1-g?e=fTxwOC_x000a__x000a_Septiembre _x000a_https://secretariadistritald.sharepoint.com/:b:/s/BogotCaminaSegura/Ed-IHs-ioYRCrkJsSTtuO1wBcJpk7xW-_UqNL_U_KOG7_g?e=0" xr:uid="{126F4EF5-F5AB-458C-9EEE-0397A6C1A731}"/>
    <hyperlink ref="Y45:AE46" r:id="rId2" display="https://secretariadistritald.sharepoint.com/:w:/s/BogotCaminaSegura/EcFVCbU2lzBFoxGrIvBFfJ8BjE6wtqYX7lrZciB5HzjAWw?e=dGLLhb" xr:uid="{660C7757-C82D-4A9F-B7F0-7B61B8475D05}"/>
    <hyperlink ref="Y41:AE42" r:id="rId3" display="https://secretariadistritald.sharepoint.com/:x:/s/BogotCaminaSegura/EdG5GPoIaEZMpqqVMbcf5RsBX4-6ozbBhCtvihlnsun1-g?e=fTxwOC" xr:uid="{75BED524-9CBF-448F-B109-9E5AA4DECB5E}"/>
  </hyperlinks>
  <printOptions horizontalCentered="1"/>
  <pageMargins left="0.39370078740157483" right="0.39370078740157483" top="0.39370078740157483" bottom="0.39370078740157483" header="0" footer="0"/>
  <pageSetup paperSize="9" scale="21"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4007B8F8-8DB2-4830-9495-E1B7D913CEF5}">
          <x14:formula1>
            <xm:f>listas!$C$2:$C$20</xm:f>
          </x14:formula1>
          <xm:sqref>AA15:AE15</xm:sqref>
        </x14:dataValidation>
        <x14:dataValidation type="list" allowBlank="1" showInputMessage="1" showErrorMessage="1" xr:uid="{3882BEAF-586D-4115-96E4-CC2F91C4C666}">
          <x14:formula1>
            <xm:f>listas!$B$2:$B$8</xm:f>
          </x14:formula1>
          <xm:sqref>R15:X15</xm:sqref>
        </x14:dataValidation>
        <x14:dataValidation type="list" allowBlank="1" showInputMessage="1" showErrorMessage="1" xr:uid="{BC47CFDB-2DB9-4CA2-B1F1-63A62C8F6373}">
          <x14:formula1>
            <xm:f>listas!$A$2:$A$6</xm:f>
          </x14:formula1>
          <xm:sqref>C15:K15</xm:sqref>
        </x14:dataValidation>
        <x14:dataValidation type="list" allowBlank="1" showInputMessage="1" showErrorMessage="1" xr:uid="{4C0DF311-F1EF-4F11-A3C7-97F5DD398026}">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2FE3-AE02-41A2-A993-244B17401916}">
  <sheetPr>
    <tabColor rgb="FFE674EC"/>
    <pageSetUpPr fitToPage="1"/>
  </sheetPr>
  <dimension ref="A1:AO205"/>
  <sheetViews>
    <sheetView showGridLines="0" tabSelected="1" view="pageBreakPreview" topLeftCell="A25" zoomScale="60" zoomScaleNormal="60" workbookViewId="0">
      <selection activeCell="A27" sqref="A27:AE27"/>
    </sheetView>
  </sheetViews>
  <sheetFormatPr baseColWidth="10" defaultColWidth="10.85546875" defaultRowHeight="14.25" x14ac:dyDescent="0.25"/>
  <cols>
    <col min="1" max="1" width="49.28515625" style="125" customWidth="1"/>
    <col min="2" max="2" width="20.5703125" style="125" customWidth="1"/>
    <col min="3" max="14" width="20.7109375" style="125" customWidth="1"/>
    <col min="15" max="15" width="20.5703125" style="125" customWidth="1"/>
    <col min="16" max="16" width="32.42578125" style="125" customWidth="1"/>
    <col min="17" max="27" width="18.140625" style="125" customWidth="1"/>
    <col min="28" max="28" width="22.7109375" style="125" customWidth="1"/>
    <col min="29" max="29" width="19" style="125" customWidth="1"/>
    <col min="30" max="30" width="19.42578125" style="125" customWidth="1"/>
    <col min="31" max="31" width="20.5703125" style="125" customWidth="1"/>
    <col min="32" max="32" width="22.85546875" style="125" customWidth="1"/>
    <col min="33" max="33" width="18.42578125" style="125" bestFit="1" customWidth="1"/>
    <col min="34" max="34" width="8.42578125" style="125" customWidth="1"/>
    <col min="35" max="35" width="18.42578125" style="125" bestFit="1" customWidth="1"/>
    <col min="36" max="36" width="5.7109375" style="125" customWidth="1"/>
    <col min="37" max="37" width="18.42578125" style="125" bestFit="1" customWidth="1"/>
    <col min="38" max="38" width="4.7109375" style="125" customWidth="1"/>
    <col min="39" max="39" width="23" style="125" bestFit="1" customWidth="1"/>
    <col min="40" max="40" width="10.85546875" style="125"/>
    <col min="41" max="41" width="18.42578125" style="125" bestFit="1" customWidth="1"/>
    <col min="42" max="42" width="16.140625" style="125" customWidth="1"/>
    <col min="43" max="16384" width="10.85546875" style="125"/>
  </cols>
  <sheetData>
    <row r="1" spans="1:31" ht="32.25" customHeight="1" thickBot="1" x14ac:dyDescent="0.3">
      <c r="A1" s="522"/>
      <c r="B1" s="525" t="s">
        <v>121</v>
      </c>
      <c r="C1" s="526"/>
      <c r="D1" s="526"/>
      <c r="E1" s="526"/>
      <c r="F1" s="526"/>
      <c r="G1" s="526"/>
      <c r="H1" s="526"/>
      <c r="I1" s="526"/>
      <c r="J1" s="526"/>
      <c r="K1" s="526"/>
      <c r="L1" s="526"/>
      <c r="M1" s="526"/>
      <c r="N1" s="526"/>
      <c r="O1" s="526"/>
      <c r="P1" s="526"/>
      <c r="Q1" s="526"/>
      <c r="R1" s="526"/>
      <c r="S1" s="526"/>
      <c r="T1" s="526"/>
      <c r="U1" s="526"/>
      <c r="V1" s="526"/>
      <c r="W1" s="526"/>
      <c r="X1" s="526"/>
      <c r="Y1" s="526"/>
      <c r="Z1" s="526"/>
      <c r="AA1" s="527"/>
      <c r="AB1" s="528" t="s">
        <v>122</v>
      </c>
      <c r="AC1" s="529"/>
      <c r="AD1" s="529"/>
      <c r="AE1" s="530"/>
    </row>
    <row r="2" spans="1:31" ht="30.75" customHeight="1" thickBot="1" x14ac:dyDescent="0.3">
      <c r="A2" s="523"/>
      <c r="B2" s="525" t="s">
        <v>123</v>
      </c>
      <c r="C2" s="526"/>
      <c r="D2" s="526"/>
      <c r="E2" s="526"/>
      <c r="F2" s="526"/>
      <c r="G2" s="526"/>
      <c r="H2" s="526"/>
      <c r="I2" s="526"/>
      <c r="J2" s="526"/>
      <c r="K2" s="526"/>
      <c r="L2" s="526"/>
      <c r="M2" s="526"/>
      <c r="N2" s="526"/>
      <c r="O2" s="526"/>
      <c r="P2" s="526"/>
      <c r="Q2" s="526"/>
      <c r="R2" s="526"/>
      <c r="S2" s="526"/>
      <c r="T2" s="526"/>
      <c r="U2" s="526"/>
      <c r="V2" s="526"/>
      <c r="W2" s="526"/>
      <c r="X2" s="526"/>
      <c r="Y2" s="526"/>
      <c r="Z2" s="526"/>
      <c r="AA2" s="527"/>
      <c r="AB2" s="528" t="s">
        <v>124</v>
      </c>
      <c r="AC2" s="529"/>
      <c r="AD2" s="529"/>
      <c r="AE2" s="530"/>
    </row>
    <row r="3" spans="1:31" ht="24" customHeight="1" thickBot="1" x14ac:dyDescent="0.3">
      <c r="A3" s="523"/>
      <c r="B3" s="531" t="s">
        <v>125</v>
      </c>
      <c r="C3" s="532"/>
      <c r="D3" s="532"/>
      <c r="E3" s="532"/>
      <c r="F3" s="532"/>
      <c r="G3" s="532"/>
      <c r="H3" s="532"/>
      <c r="I3" s="532"/>
      <c r="J3" s="532"/>
      <c r="K3" s="532"/>
      <c r="L3" s="532"/>
      <c r="M3" s="532"/>
      <c r="N3" s="532"/>
      <c r="O3" s="532"/>
      <c r="P3" s="532"/>
      <c r="Q3" s="532"/>
      <c r="R3" s="532"/>
      <c r="S3" s="532"/>
      <c r="T3" s="532"/>
      <c r="U3" s="532"/>
      <c r="V3" s="532"/>
      <c r="W3" s="532"/>
      <c r="X3" s="532"/>
      <c r="Y3" s="532"/>
      <c r="Z3" s="532"/>
      <c r="AA3" s="533"/>
      <c r="AB3" s="528" t="s">
        <v>126</v>
      </c>
      <c r="AC3" s="529"/>
      <c r="AD3" s="529"/>
      <c r="AE3" s="530"/>
    </row>
    <row r="4" spans="1:31" ht="21.75" customHeight="1" thickBot="1" x14ac:dyDescent="0.3">
      <c r="A4" s="524"/>
      <c r="B4" s="534"/>
      <c r="C4" s="535"/>
      <c r="D4" s="535"/>
      <c r="E4" s="535"/>
      <c r="F4" s="535"/>
      <c r="G4" s="535"/>
      <c r="H4" s="535"/>
      <c r="I4" s="535"/>
      <c r="J4" s="535"/>
      <c r="K4" s="535"/>
      <c r="L4" s="535"/>
      <c r="M4" s="535"/>
      <c r="N4" s="535"/>
      <c r="O4" s="535"/>
      <c r="P4" s="535"/>
      <c r="Q4" s="535"/>
      <c r="R4" s="535"/>
      <c r="S4" s="535"/>
      <c r="T4" s="535"/>
      <c r="U4" s="535"/>
      <c r="V4" s="535"/>
      <c r="W4" s="535"/>
      <c r="X4" s="535"/>
      <c r="Y4" s="535"/>
      <c r="Z4" s="535"/>
      <c r="AA4" s="536"/>
      <c r="AB4" s="528" t="s">
        <v>127</v>
      </c>
      <c r="AC4" s="529"/>
      <c r="AD4" s="529"/>
      <c r="AE4" s="530"/>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31" ht="9" customHeight="1" thickBot="1" x14ac:dyDescent="0.3">
      <c r="A6" s="23"/>
      <c r="B6" s="20"/>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31" ht="13.9" customHeight="1" x14ac:dyDescent="0.25">
      <c r="A7" s="537" t="s">
        <v>4</v>
      </c>
      <c r="B7" s="538"/>
      <c r="C7" s="549" t="s">
        <v>128</v>
      </c>
      <c r="D7" s="552" t="s">
        <v>6</v>
      </c>
      <c r="E7" s="553"/>
      <c r="F7" s="553"/>
      <c r="G7" s="553"/>
      <c r="H7" s="554"/>
      <c r="I7" s="561">
        <v>45568</v>
      </c>
      <c r="J7" s="562"/>
      <c r="K7" s="552" t="s">
        <v>8</v>
      </c>
      <c r="L7" s="554"/>
      <c r="M7" s="567" t="s">
        <v>129</v>
      </c>
      <c r="N7" s="568"/>
      <c r="O7" s="572"/>
      <c r="P7" s="573"/>
      <c r="Q7" s="20"/>
      <c r="R7" s="20"/>
      <c r="S7" s="20"/>
      <c r="T7" s="20"/>
      <c r="U7" s="20"/>
      <c r="V7" s="20"/>
      <c r="W7" s="20"/>
      <c r="X7" s="20"/>
      <c r="Y7" s="20"/>
      <c r="Z7" s="20"/>
      <c r="AA7" s="20"/>
      <c r="AB7" s="20"/>
      <c r="AD7" s="21"/>
      <c r="AE7" s="22"/>
    </row>
    <row r="8" spans="1:31" ht="13.9" customHeight="1" x14ac:dyDescent="0.25">
      <c r="A8" s="539"/>
      <c r="B8" s="540"/>
      <c r="C8" s="550"/>
      <c r="D8" s="555"/>
      <c r="E8" s="556"/>
      <c r="F8" s="556"/>
      <c r="G8" s="556"/>
      <c r="H8" s="557"/>
      <c r="I8" s="563"/>
      <c r="J8" s="564"/>
      <c r="K8" s="555"/>
      <c r="L8" s="557"/>
      <c r="M8" s="574" t="s">
        <v>130</v>
      </c>
      <c r="N8" s="575"/>
      <c r="O8" s="576"/>
      <c r="P8" s="577"/>
      <c r="Q8" s="20"/>
      <c r="R8" s="20"/>
      <c r="S8" s="20"/>
      <c r="T8" s="20"/>
      <c r="U8" s="20"/>
      <c r="V8" s="20"/>
      <c r="W8" s="20"/>
      <c r="X8" s="20"/>
      <c r="Y8" s="20"/>
      <c r="Z8" s="20"/>
      <c r="AA8" s="20"/>
      <c r="AB8" s="20"/>
      <c r="AD8" s="21"/>
      <c r="AE8" s="22"/>
    </row>
    <row r="9" spans="1:31" ht="14.45" customHeight="1" thickBot="1" x14ac:dyDescent="0.3">
      <c r="A9" s="541"/>
      <c r="B9" s="542"/>
      <c r="C9" s="551"/>
      <c r="D9" s="558"/>
      <c r="E9" s="559"/>
      <c r="F9" s="559"/>
      <c r="G9" s="559"/>
      <c r="H9" s="560"/>
      <c r="I9" s="565"/>
      <c r="J9" s="566"/>
      <c r="K9" s="558"/>
      <c r="L9" s="560"/>
      <c r="M9" s="578" t="s">
        <v>132</v>
      </c>
      <c r="N9" s="579"/>
      <c r="O9" s="580" t="s">
        <v>131</v>
      </c>
      <c r="P9" s="581"/>
      <c r="Q9" s="20"/>
      <c r="R9" s="20"/>
      <c r="S9" s="20"/>
      <c r="T9" s="20"/>
      <c r="U9" s="20"/>
      <c r="V9" s="20"/>
      <c r="W9" s="20"/>
      <c r="X9" s="20"/>
      <c r="Y9" s="20"/>
      <c r="Z9" s="20"/>
      <c r="AA9" s="20"/>
      <c r="AB9" s="20"/>
      <c r="AD9" s="21"/>
      <c r="AE9" s="22"/>
    </row>
    <row r="10" spans="1:31" ht="15" customHeight="1" thickBot="1" x14ac:dyDescent="0.3">
      <c r="A10" s="24"/>
      <c r="B10" s="25"/>
      <c r="C10" s="25"/>
      <c r="D10" s="26"/>
      <c r="E10" s="26"/>
      <c r="F10" s="26"/>
      <c r="G10" s="26"/>
      <c r="H10" s="26"/>
      <c r="I10" s="186"/>
      <c r="J10" s="186"/>
      <c r="K10" s="26"/>
      <c r="L10" s="26"/>
      <c r="M10" s="187"/>
      <c r="N10" s="187"/>
      <c r="O10" s="188"/>
      <c r="P10" s="188"/>
      <c r="Q10" s="25"/>
      <c r="R10" s="25"/>
      <c r="S10" s="25"/>
      <c r="T10" s="25"/>
      <c r="U10" s="25"/>
      <c r="V10" s="25"/>
      <c r="W10" s="25"/>
      <c r="X10" s="25"/>
      <c r="Y10" s="25"/>
      <c r="Z10" s="25"/>
      <c r="AA10" s="25"/>
      <c r="AB10" s="25"/>
      <c r="AD10" s="28"/>
      <c r="AE10" s="29"/>
    </row>
    <row r="11" spans="1:31" ht="15" customHeight="1" x14ac:dyDescent="0.25">
      <c r="A11" s="537" t="s">
        <v>10</v>
      </c>
      <c r="B11" s="538"/>
      <c r="C11" s="510" t="s">
        <v>133</v>
      </c>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2"/>
    </row>
    <row r="12" spans="1:31" ht="15" customHeight="1" x14ac:dyDescent="0.25">
      <c r="A12" s="539"/>
      <c r="B12" s="540"/>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5"/>
    </row>
    <row r="13" spans="1:31" ht="15" customHeight="1" thickBot="1" x14ac:dyDescent="0.3">
      <c r="A13" s="541"/>
      <c r="B13" s="542"/>
      <c r="C13" s="546"/>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8"/>
    </row>
    <row r="14" spans="1:31"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31" ht="39" customHeight="1" thickBot="1" x14ac:dyDescent="0.3">
      <c r="A15" s="582" t="s">
        <v>12</v>
      </c>
      <c r="B15" s="583"/>
      <c r="C15" s="584" t="s">
        <v>134</v>
      </c>
      <c r="D15" s="585"/>
      <c r="E15" s="585"/>
      <c r="F15" s="585"/>
      <c r="G15" s="585"/>
      <c r="H15" s="585"/>
      <c r="I15" s="585"/>
      <c r="J15" s="585"/>
      <c r="K15" s="586"/>
      <c r="L15" s="587" t="s">
        <v>14</v>
      </c>
      <c r="M15" s="588"/>
      <c r="N15" s="588"/>
      <c r="O15" s="588"/>
      <c r="P15" s="588"/>
      <c r="Q15" s="589"/>
      <c r="R15" s="590" t="s">
        <v>135</v>
      </c>
      <c r="S15" s="591"/>
      <c r="T15" s="591"/>
      <c r="U15" s="591"/>
      <c r="V15" s="591"/>
      <c r="W15" s="591"/>
      <c r="X15" s="592"/>
      <c r="Y15" s="587" t="s">
        <v>15</v>
      </c>
      <c r="Z15" s="589"/>
      <c r="AA15" s="569" t="s">
        <v>136</v>
      </c>
      <c r="AB15" s="570"/>
      <c r="AC15" s="570"/>
      <c r="AD15" s="570"/>
      <c r="AE15" s="571"/>
    </row>
    <row r="16" spans="1:31" ht="9" customHeight="1" thickBot="1" x14ac:dyDescent="0.3">
      <c r="A16" s="23"/>
      <c r="B16" s="20"/>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D16" s="21"/>
      <c r="AE16" s="22"/>
    </row>
    <row r="17" spans="1:32" s="36" customFormat="1" ht="37.5" customHeight="1" thickBot="1" x14ac:dyDescent="0.3">
      <c r="A17" s="582" t="s">
        <v>17</v>
      </c>
      <c r="B17" s="583"/>
      <c r="C17" s="569" t="s">
        <v>237</v>
      </c>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1"/>
    </row>
    <row r="18" spans="1:32" ht="16.5" customHeight="1" thickBot="1" x14ac:dyDescent="0.3">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D18" s="190"/>
      <c r="AE18" s="191"/>
    </row>
    <row r="19" spans="1:32" ht="32.1" customHeight="1" thickBot="1" x14ac:dyDescent="0.3">
      <c r="A19" s="587" t="s">
        <v>138</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9"/>
      <c r="AF19" s="192"/>
    </row>
    <row r="20" spans="1:32" ht="32.1" customHeight="1" thickBot="1" x14ac:dyDescent="0.3">
      <c r="A20" s="37" t="s">
        <v>19</v>
      </c>
      <c r="B20" s="558" t="s">
        <v>139</v>
      </c>
      <c r="C20" s="559"/>
      <c r="D20" s="559"/>
      <c r="E20" s="559"/>
      <c r="F20" s="559"/>
      <c r="G20" s="559"/>
      <c r="H20" s="559"/>
      <c r="I20" s="559"/>
      <c r="J20" s="559"/>
      <c r="K20" s="559"/>
      <c r="L20" s="559"/>
      <c r="M20" s="559"/>
      <c r="N20" s="559"/>
      <c r="O20" s="560"/>
      <c r="P20" s="587" t="s">
        <v>140</v>
      </c>
      <c r="Q20" s="588"/>
      <c r="R20" s="588"/>
      <c r="S20" s="588"/>
      <c r="T20" s="588"/>
      <c r="U20" s="588"/>
      <c r="V20" s="588"/>
      <c r="W20" s="588"/>
      <c r="X20" s="588"/>
      <c r="Y20" s="588"/>
      <c r="Z20" s="588"/>
      <c r="AA20" s="588"/>
      <c r="AB20" s="588"/>
      <c r="AC20" s="588"/>
      <c r="AD20" s="588"/>
      <c r="AE20" s="589"/>
      <c r="AF20" s="192"/>
    </row>
    <row r="21" spans="1:32" ht="32.1" customHeight="1" thickBot="1" x14ac:dyDescent="0.3">
      <c r="A21" s="24"/>
      <c r="B21" s="38" t="s">
        <v>141</v>
      </c>
      <c r="C21" s="39" t="s">
        <v>142</v>
      </c>
      <c r="D21" s="39" t="s">
        <v>143</v>
      </c>
      <c r="E21" s="39" t="s">
        <v>144</v>
      </c>
      <c r="F21" s="39" t="s">
        <v>145</v>
      </c>
      <c r="G21" s="39" t="s">
        <v>146</v>
      </c>
      <c r="H21" s="39" t="s">
        <v>147</v>
      </c>
      <c r="I21" s="39" t="s">
        <v>148</v>
      </c>
      <c r="J21" s="39" t="s">
        <v>128</v>
      </c>
      <c r="K21" s="39" t="s">
        <v>149</v>
      </c>
      <c r="L21" s="39" t="s">
        <v>150</v>
      </c>
      <c r="M21" s="39" t="s">
        <v>151</v>
      </c>
      <c r="N21" s="39" t="s">
        <v>102</v>
      </c>
      <c r="O21" s="40" t="s">
        <v>100</v>
      </c>
      <c r="P21" s="41"/>
      <c r="Q21" s="37" t="s">
        <v>141</v>
      </c>
      <c r="R21" s="42" t="s">
        <v>142</v>
      </c>
      <c r="S21" s="42" t="s">
        <v>143</v>
      </c>
      <c r="T21" s="42" t="s">
        <v>144</v>
      </c>
      <c r="U21" s="42" t="s">
        <v>145</v>
      </c>
      <c r="V21" s="42" t="s">
        <v>146</v>
      </c>
      <c r="W21" s="42" t="s">
        <v>147</v>
      </c>
      <c r="X21" s="42" t="s">
        <v>148</v>
      </c>
      <c r="Y21" s="42" t="s">
        <v>128</v>
      </c>
      <c r="Z21" s="42" t="s">
        <v>149</v>
      </c>
      <c r="AA21" s="42" t="s">
        <v>150</v>
      </c>
      <c r="AB21" s="42" t="s">
        <v>151</v>
      </c>
      <c r="AC21" s="42" t="s">
        <v>102</v>
      </c>
      <c r="AD21" s="43" t="s">
        <v>152</v>
      </c>
      <c r="AE21" s="43" t="s">
        <v>153</v>
      </c>
      <c r="AF21" s="193"/>
    </row>
    <row r="22" spans="1:32" ht="32.1" customHeight="1" x14ac:dyDescent="0.25">
      <c r="A22" s="44" t="s">
        <v>31</v>
      </c>
      <c r="B22" s="194"/>
      <c r="C22" s="195"/>
      <c r="D22" s="195"/>
      <c r="E22" s="195"/>
      <c r="F22" s="195"/>
      <c r="G22" s="195"/>
      <c r="H22" s="195"/>
      <c r="I22" s="195"/>
      <c r="J22" s="195"/>
      <c r="K22" s="195"/>
      <c r="L22" s="195"/>
      <c r="M22" s="195"/>
      <c r="N22" s="195">
        <f>SUM(B22:M22)</f>
        <v>0</v>
      </c>
      <c r="O22" s="196"/>
      <c r="P22" s="44" t="s">
        <v>27</v>
      </c>
      <c r="Q22" s="197">
        <v>0</v>
      </c>
      <c r="R22" s="198">
        <v>0</v>
      </c>
      <c r="S22" s="198">
        <v>0</v>
      </c>
      <c r="T22" s="198">
        <v>0</v>
      </c>
      <c r="U22" s="198">
        <v>0</v>
      </c>
      <c r="V22" s="198">
        <v>0</v>
      </c>
      <c r="W22" s="198">
        <v>0</v>
      </c>
      <c r="X22" s="198">
        <v>44919333</v>
      </c>
      <c r="Y22" s="202">
        <v>0</v>
      </c>
      <c r="Z22" s="202">
        <v>0</v>
      </c>
      <c r="AA22" s="202">
        <v>0</v>
      </c>
      <c r="AB22" s="198">
        <v>6405667</v>
      </c>
      <c r="AC22" s="199">
        <f>SUM(Q22:AB22)</f>
        <v>51325000</v>
      </c>
      <c r="AD22" s="280"/>
      <c r="AE22" s="200"/>
      <c r="AF22" s="193"/>
    </row>
    <row r="23" spans="1:32" ht="32.1" customHeight="1" x14ac:dyDescent="0.25">
      <c r="A23" s="45" t="s">
        <v>21</v>
      </c>
      <c r="B23" s="201"/>
      <c r="C23" s="202"/>
      <c r="D23" s="202"/>
      <c r="E23" s="202"/>
      <c r="F23" s="202"/>
      <c r="G23" s="202"/>
      <c r="H23" s="202"/>
      <c r="I23" s="202"/>
      <c r="J23" s="202"/>
      <c r="K23" s="202"/>
      <c r="L23" s="202"/>
      <c r="M23" s="202"/>
      <c r="N23" s="202">
        <f>SUM(B23:M23)</f>
        <v>0</v>
      </c>
      <c r="O23" s="203" t="str">
        <f>IFERROR(N23/(SUMIF(B23:M23,"&gt;0",B22:M22))," ")</f>
        <v xml:space="preserve"> </v>
      </c>
      <c r="P23" s="45" t="s">
        <v>29</v>
      </c>
      <c r="Q23" s="201">
        <v>0</v>
      </c>
      <c r="R23" s="202">
        <v>0</v>
      </c>
      <c r="S23" s="202">
        <v>0</v>
      </c>
      <c r="T23" s="202">
        <v>0</v>
      </c>
      <c r="U23" s="202">
        <v>0</v>
      </c>
      <c r="V23" s="202">
        <v>0</v>
      </c>
      <c r="W23" s="202">
        <v>0</v>
      </c>
      <c r="X23" s="204">
        <v>51325000</v>
      </c>
      <c r="Y23" s="202">
        <v>0</v>
      </c>
      <c r="Z23" s="202">
        <v>0</v>
      </c>
      <c r="AA23" s="202">
        <v>0</v>
      </c>
      <c r="AB23" s="202">
        <v>0</v>
      </c>
      <c r="AC23" s="204">
        <f>SUM(Q23:AB23)</f>
        <v>51325000</v>
      </c>
      <c r="AD23" s="281">
        <f>AC23/SUM(Q22:AB22)</f>
        <v>1</v>
      </c>
      <c r="AE23" s="205">
        <f>AC23/AC22</f>
        <v>1</v>
      </c>
      <c r="AF23" s="193"/>
    </row>
    <row r="24" spans="1:32" ht="32.1" customHeight="1" x14ac:dyDescent="0.25">
      <c r="A24" s="45" t="s">
        <v>23</v>
      </c>
      <c r="B24" s="201">
        <f>+B22-B23</f>
        <v>0</v>
      </c>
      <c r="C24" s="202">
        <f t="shared" ref="C24:M24" si="0">+C22-C23</f>
        <v>0</v>
      </c>
      <c r="D24" s="202">
        <f t="shared" si="0"/>
        <v>0</v>
      </c>
      <c r="E24" s="202">
        <f t="shared" si="0"/>
        <v>0</v>
      </c>
      <c r="F24" s="202">
        <f t="shared" si="0"/>
        <v>0</v>
      </c>
      <c r="G24" s="202">
        <f t="shared" si="0"/>
        <v>0</v>
      </c>
      <c r="H24" s="202">
        <f t="shared" si="0"/>
        <v>0</v>
      </c>
      <c r="I24" s="202">
        <f t="shared" si="0"/>
        <v>0</v>
      </c>
      <c r="J24" s="202">
        <f t="shared" si="0"/>
        <v>0</v>
      </c>
      <c r="K24" s="202">
        <f t="shared" si="0"/>
        <v>0</v>
      </c>
      <c r="L24" s="202">
        <f t="shared" si="0"/>
        <v>0</v>
      </c>
      <c r="M24" s="202">
        <f t="shared" si="0"/>
        <v>0</v>
      </c>
      <c r="N24" s="202">
        <f>SUM(B24:M24)</f>
        <v>0</v>
      </c>
      <c r="O24" s="206"/>
      <c r="P24" s="45" t="s">
        <v>31</v>
      </c>
      <c r="Q24" s="201">
        <v>0</v>
      </c>
      <c r="R24" s="202">
        <v>0</v>
      </c>
      <c r="S24" s="202">
        <v>0</v>
      </c>
      <c r="T24" s="202">
        <v>0</v>
      </c>
      <c r="U24" s="202">
        <v>0</v>
      </c>
      <c r="V24" s="202">
        <v>0</v>
      </c>
      <c r="W24" s="202">
        <v>0</v>
      </c>
      <c r="X24" s="202">
        <v>0</v>
      </c>
      <c r="Y24" s="202">
        <v>3455333</v>
      </c>
      <c r="Z24" s="202">
        <v>10366000</v>
      </c>
      <c r="AA24" s="202">
        <v>10366000</v>
      </c>
      <c r="AB24" s="202">
        <f>10366000+16771667</f>
        <v>27137667</v>
      </c>
      <c r="AC24" s="204">
        <f>SUM(Q24:AB24)</f>
        <v>51325000</v>
      </c>
      <c r="AD24" s="282"/>
      <c r="AE24" s="207"/>
      <c r="AF24" s="193"/>
    </row>
    <row r="25" spans="1:32" ht="32.1" customHeight="1" thickBot="1" x14ac:dyDescent="0.3">
      <c r="A25" s="46" t="s">
        <v>25</v>
      </c>
      <c r="B25" s="208"/>
      <c r="C25" s="209"/>
      <c r="D25" s="209"/>
      <c r="E25" s="209"/>
      <c r="F25" s="209"/>
      <c r="G25" s="209"/>
      <c r="H25" s="209"/>
      <c r="I25" s="209"/>
      <c r="J25" s="209"/>
      <c r="K25" s="209"/>
      <c r="L25" s="209"/>
      <c r="M25" s="209"/>
      <c r="N25" s="209">
        <f>SUM(B25:M25)</f>
        <v>0</v>
      </c>
      <c r="O25" s="210" t="str">
        <f>IFERROR(N25/(SUMIF(B25:M25,"&gt;0",B24:M24))," ")</f>
        <v xml:space="preserve"> </v>
      </c>
      <c r="P25" s="46" t="s">
        <v>25</v>
      </c>
      <c r="Q25" s="208">
        <v>0</v>
      </c>
      <c r="R25" s="209">
        <v>0</v>
      </c>
      <c r="S25" s="209">
        <v>0</v>
      </c>
      <c r="T25" s="209">
        <v>0</v>
      </c>
      <c r="U25" s="209">
        <v>0</v>
      </c>
      <c r="V25" s="209">
        <v>0</v>
      </c>
      <c r="W25" s="209">
        <v>0</v>
      </c>
      <c r="X25" s="209">
        <v>0</v>
      </c>
      <c r="Y25" s="209">
        <v>7098467</v>
      </c>
      <c r="Z25" s="209">
        <v>0</v>
      </c>
      <c r="AA25" s="209">
        <v>0</v>
      </c>
      <c r="AB25" s="209">
        <v>0</v>
      </c>
      <c r="AC25" s="476">
        <f>SUM(Q25:AB25)</f>
        <v>7098467</v>
      </c>
      <c r="AD25" s="283">
        <f>AC25/SUM(Q24:AB24)</f>
        <v>0.13830427666829032</v>
      </c>
      <c r="AE25" s="211">
        <f>AC25/AC24</f>
        <v>0.13830427666829032</v>
      </c>
      <c r="AF25" s="193"/>
    </row>
    <row r="26" spans="1:32" s="212" customFormat="1" ht="16.5" customHeight="1" thickBot="1" x14ac:dyDescent="0.25"/>
    <row r="27" spans="1:32" ht="33.950000000000003" customHeight="1" x14ac:dyDescent="0.25">
      <c r="A27" s="594" t="s">
        <v>154</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6"/>
    </row>
    <row r="28" spans="1:32" ht="15" customHeight="1" x14ac:dyDescent="0.25">
      <c r="A28" s="514" t="s">
        <v>34</v>
      </c>
      <c r="B28" s="516" t="s">
        <v>36</v>
      </c>
      <c r="C28" s="516"/>
      <c r="D28" s="516" t="s">
        <v>155</v>
      </c>
      <c r="E28" s="516"/>
      <c r="F28" s="516"/>
      <c r="G28" s="516"/>
      <c r="H28" s="516"/>
      <c r="I28" s="516"/>
      <c r="J28" s="516"/>
      <c r="K28" s="516"/>
      <c r="L28" s="516"/>
      <c r="M28" s="516"/>
      <c r="N28" s="516"/>
      <c r="O28" s="516"/>
      <c r="P28" s="516" t="s">
        <v>102</v>
      </c>
      <c r="Q28" s="516" t="s">
        <v>156</v>
      </c>
      <c r="R28" s="516"/>
      <c r="S28" s="516"/>
      <c r="T28" s="516"/>
      <c r="U28" s="516"/>
      <c r="V28" s="516"/>
      <c r="W28" s="516"/>
      <c r="X28" s="516"/>
      <c r="Y28" s="516" t="s">
        <v>157</v>
      </c>
      <c r="Z28" s="516"/>
      <c r="AA28" s="516"/>
      <c r="AB28" s="516"/>
      <c r="AC28" s="516"/>
      <c r="AD28" s="516"/>
      <c r="AE28" s="597"/>
    </row>
    <row r="29" spans="1:32" ht="27" customHeight="1" x14ac:dyDescent="0.25">
      <c r="A29" s="514"/>
      <c r="B29" s="516"/>
      <c r="C29" s="516"/>
      <c r="D29" s="48" t="s">
        <v>141</v>
      </c>
      <c r="E29" s="48" t="s">
        <v>142</v>
      </c>
      <c r="F29" s="48" t="s">
        <v>143</v>
      </c>
      <c r="G29" s="48" t="s">
        <v>144</v>
      </c>
      <c r="H29" s="48" t="s">
        <v>145</v>
      </c>
      <c r="I29" s="48" t="s">
        <v>146</v>
      </c>
      <c r="J29" s="48" t="s">
        <v>147</v>
      </c>
      <c r="K29" s="48" t="s">
        <v>148</v>
      </c>
      <c r="L29" s="48" t="s">
        <v>128</v>
      </c>
      <c r="M29" s="48" t="s">
        <v>149</v>
      </c>
      <c r="N29" s="48" t="s">
        <v>150</v>
      </c>
      <c r="O29" s="48" t="s">
        <v>151</v>
      </c>
      <c r="P29" s="516"/>
      <c r="Q29" s="516"/>
      <c r="R29" s="516"/>
      <c r="S29" s="516"/>
      <c r="T29" s="516"/>
      <c r="U29" s="516"/>
      <c r="V29" s="516"/>
      <c r="W29" s="516"/>
      <c r="X29" s="516"/>
      <c r="Y29" s="516"/>
      <c r="Z29" s="516"/>
      <c r="AA29" s="516"/>
      <c r="AB29" s="516"/>
      <c r="AC29" s="516"/>
      <c r="AD29" s="516"/>
      <c r="AE29" s="597"/>
    </row>
    <row r="30" spans="1:32" ht="42" customHeight="1" thickBot="1" x14ac:dyDescent="0.3">
      <c r="A30" s="49"/>
      <c r="B30" s="598"/>
      <c r="C30" s="598"/>
      <c r="D30" s="16"/>
      <c r="E30" s="16"/>
      <c r="F30" s="16"/>
      <c r="G30" s="16"/>
      <c r="H30" s="16"/>
      <c r="I30" s="16"/>
      <c r="J30" s="16"/>
      <c r="K30" s="16"/>
      <c r="L30" s="16"/>
      <c r="M30" s="16"/>
      <c r="N30" s="16"/>
      <c r="O30" s="16"/>
      <c r="P30" s="50">
        <f>SUM(D30:O30)</f>
        <v>0</v>
      </c>
      <c r="Q30" s="599" t="s">
        <v>158</v>
      </c>
      <c r="R30" s="599"/>
      <c r="S30" s="599"/>
      <c r="T30" s="599"/>
      <c r="U30" s="599"/>
      <c r="V30" s="599"/>
      <c r="W30" s="599"/>
      <c r="X30" s="599"/>
      <c r="Y30" s="599" t="s">
        <v>43</v>
      </c>
      <c r="Z30" s="599"/>
      <c r="AA30" s="599"/>
      <c r="AB30" s="599"/>
      <c r="AC30" s="599"/>
      <c r="AD30" s="599"/>
      <c r="AE30" s="600"/>
    </row>
    <row r="31" spans="1:32" ht="12" customHeight="1" thickBot="1" x14ac:dyDescent="0.3">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2" ht="45" customHeight="1" x14ac:dyDescent="0.25">
      <c r="A32" s="510" t="s">
        <v>159</v>
      </c>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2"/>
    </row>
    <row r="33" spans="1:41" ht="23.1" customHeight="1" x14ac:dyDescent="0.25">
      <c r="A33" s="514" t="s">
        <v>44</v>
      </c>
      <c r="B33" s="516" t="s">
        <v>46</v>
      </c>
      <c r="C33" s="516" t="s">
        <v>36</v>
      </c>
      <c r="D33" s="516" t="s">
        <v>160</v>
      </c>
      <c r="E33" s="516"/>
      <c r="F33" s="516"/>
      <c r="G33" s="516"/>
      <c r="H33" s="516"/>
      <c r="I33" s="516"/>
      <c r="J33" s="516"/>
      <c r="K33" s="516"/>
      <c r="L33" s="516"/>
      <c r="M33" s="516"/>
      <c r="N33" s="516"/>
      <c r="O33" s="516"/>
      <c r="P33" s="516"/>
      <c r="Q33" s="516" t="s">
        <v>161</v>
      </c>
      <c r="R33" s="516"/>
      <c r="S33" s="516"/>
      <c r="T33" s="516"/>
      <c r="U33" s="516"/>
      <c r="V33" s="516"/>
      <c r="W33" s="516"/>
      <c r="X33" s="516"/>
      <c r="Y33" s="516"/>
      <c r="Z33" s="516"/>
      <c r="AA33" s="516"/>
      <c r="AB33" s="516"/>
      <c r="AC33" s="516"/>
      <c r="AD33" s="516"/>
      <c r="AE33" s="597"/>
      <c r="AG33" s="128"/>
      <c r="AH33" s="128"/>
      <c r="AI33" s="128"/>
      <c r="AJ33" s="128"/>
      <c r="AK33" s="128"/>
      <c r="AL33" s="128"/>
      <c r="AM33" s="128"/>
      <c r="AN33" s="128"/>
      <c r="AO33" s="128"/>
    </row>
    <row r="34" spans="1:41" ht="27" customHeight="1" x14ac:dyDescent="0.25">
      <c r="A34" s="514"/>
      <c r="B34" s="516"/>
      <c r="C34" s="601"/>
      <c r="D34" s="48" t="s">
        <v>141</v>
      </c>
      <c r="E34" s="48" t="s">
        <v>142</v>
      </c>
      <c r="F34" s="48" t="s">
        <v>143</v>
      </c>
      <c r="G34" s="48" t="s">
        <v>144</v>
      </c>
      <c r="H34" s="48" t="s">
        <v>145</v>
      </c>
      <c r="I34" s="48" t="s">
        <v>146</v>
      </c>
      <c r="J34" s="48" t="s">
        <v>147</v>
      </c>
      <c r="K34" s="48" t="s">
        <v>148</v>
      </c>
      <c r="L34" s="48" t="s">
        <v>128</v>
      </c>
      <c r="M34" s="48" t="s">
        <v>149</v>
      </c>
      <c r="N34" s="48" t="s">
        <v>150</v>
      </c>
      <c r="O34" s="48" t="s">
        <v>151</v>
      </c>
      <c r="P34" s="48" t="s">
        <v>102</v>
      </c>
      <c r="Q34" s="602" t="s">
        <v>52</v>
      </c>
      <c r="R34" s="603"/>
      <c r="S34" s="603"/>
      <c r="T34" s="604"/>
      <c r="U34" s="516" t="s">
        <v>54</v>
      </c>
      <c r="V34" s="516"/>
      <c r="W34" s="516"/>
      <c r="X34" s="516"/>
      <c r="Y34" s="516" t="s">
        <v>56</v>
      </c>
      <c r="Z34" s="516"/>
      <c r="AA34" s="516"/>
      <c r="AB34" s="516"/>
      <c r="AC34" s="516" t="s">
        <v>58</v>
      </c>
      <c r="AD34" s="516"/>
      <c r="AE34" s="597"/>
      <c r="AG34" s="128"/>
      <c r="AH34" s="128"/>
      <c r="AI34" s="128"/>
      <c r="AJ34" s="128"/>
      <c r="AK34" s="128"/>
      <c r="AL34" s="128"/>
      <c r="AM34" s="128"/>
      <c r="AN34" s="128"/>
      <c r="AO34" s="128"/>
    </row>
    <row r="35" spans="1:41" ht="198" customHeight="1" x14ac:dyDescent="0.25">
      <c r="A35" s="607" t="str">
        <f>+C17</f>
        <v>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v>
      </c>
      <c r="B35" s="609">
        <v>0.09</v>
      </c>
      <c r="C35" s="54" t="s">
        <v>48</v>
      </c>
      <c r="D35" s="166">
        <f>+D78</f>
        <v>0</v>
      </c>
      <c r="E35" s="166">
        <f t="shared" ref="E35:O35" si="1">+E78</f>
        <v>0</v>
      </c>
      <c r="F35" s="166">
        <f t="shared" si="1"/>
        <v>0</v>
      </c>
      <c r="G35" s="166">
        <f t="shared" si="1"/>
        <v>0</v>
      </c>
      <c r="H35" s="166">
        <f t="shared" si="1"/>
        <v>0</v>
      </c>
      <c r="I35" s="166">
        <f t="shared" si="1"/>
        <v>0</v>
      </c>
      <c r="J35" s="166">
        <f t="shared" si="1"/>
        <v>0</v>
      </c>
      <c r="K35" s="166">
        <f t="shared" si="1"/>
        <v>0.15555555555555556</v>
      </c>
      <c r="L35" s="166">
        <f t="shared" si="1"/>
        <v>0.26666666666666666</v>
      </c>
      <c r="M35" s="166">
        <f t="shared" si="1"/>
        <v>0.25555555555555554</v>
      </c>
      <c r="N35" s="166">
        <f t="shared" si="1"/>
        <v>0.18888888888888891</v>
      </c>
      <c r="O35" s="166">
        <f t="shared" si="1"/>
        <v>0.13333333333333333</v>
      </c>
      <c r="P35" s="168">
        <f>SUM(D35:O35)</f>
        <v>1</v>
      </c>
      <c r="Q35" s="701" t="s">
        <v>747</v>
      </c>
      <c r="R35" s="702"/>
      <c r="S35" s="702"/>
      <c r="T35" s="703"/>
      <c r="U35" s="701" t="s">
        <v>238</v>
      </c>
      <c r="V35" s="702"/>
      <c r="W35" s="702"/>
      <c r="X35" s="707"/>
      <c r="Y35" s="669" t="s">
        <v>225</v>
      </c>
      <c r="Z35" s="670"/>
      <c r="AA35" s="670"/>
      <c r="AB35" s="675"/>
      <c r="AC35" s="669" t="s">
        <v>239</v>
      </c>
      <c r="AD35" s="670"/>
      <c r="AE35" s="683"/>
      <c r="AG35" s="413" t="s">
        <v>240</v>
      </c>
      <c r="AH35" s="128">
        <f>LEN(AG35)</f>
        <v>300</v>
      </c>
      <c r="AI35" s="128"/>
      <c r="AJ35" s="128"/>
      <c r="AK35" s="128"/>
      <c r="AL35" s="128"/>
      <c r="AM35" s="128"/>
      <c r="AN35" s="128"/>
      <c r="AO35" s="128"/>
    </row>
    <row r="36" spans="1:41" ht="198" customHeight="1" thickBot="1" x14ac:dyDescent="0.3">
      <c r="A36" s="608"/>
      <c r="B36" s="610"/>
      <c r="C36" s="55" t="s">
        <v>50</v>
      </c>
      <c r="D36" s="169">
        <f>D75</f>
        <v>0</v>
      </c>
      <c r="E36" s="169">
        <f t="shared" ref="E36:L36" si="2">E75</f>
        <v>0</v>
      </c>
      <c r="F36" s="169">
        <f t="shared" si="2"/>
        <v>0</v>
      </c>
      <c r="G36" s="169">
        <f t="shared" si="2"/>
        <v>0</v>
      </c>
      <c r="H36" s="169">
        <f t="shared" si="2"/>
        <v>0</v>
      </c>
      <c r="I36" s="169">
        <f t="shared" si="2"/>
        <v>0</v>
      </c>
      <c r="J36" s="169">
        <f t="shared" si="2"/>
        <v>0</v>
      </c>
      <c r="K36" s="169">
        <f t="shared" si="2"/>
        <v>0.15555555555555556</v>
      </c>
      <c r="L36" s="169">
        <f t="shared" si="2"/>
        <v>0.26666666666666666</v>
      </c>
      <c r="M36" s="169">
        <f>M75</f>
        <v>0</v>
      </c>
      <c r="N36" s="169">
        <f>N75</f>
        <v>0</v>
      </c>
      <c r="O36" s="169">
        <f>O75</f>
        <v>0</v>
      </c>
      <c r="P36" s="167">
        <f>SUM(D36:O36)</f>
        <v>0.42222222222222222</v>
      </c>
      <c r="Q36" s="704"/>
      <c r="R36" s="705"/>
      <c r="S36" s="705"/>
      <c r="T36" s="706"/>
      <c r="U36" s="704"/>
      <c r="V36" s="705"/>
      <c r="W36" s="705"/>
      <c r="X36" s="708"/>
      <c r="Y36" s="672"/>
      <c r="Z36" s="673"/>
      <c r="AA36" s="673"/>
      <c r="AB36" s="676"/>
      <c r="AC36" s="672"/>
      <c r="AD36" s="673"/>
      <c r="AE36" s="684"/>
      <c r="AG36" s="128"/>
      <c r="AH36" s="128"/>
      <c r="AI36" s="128"/>
      <c r="AJ36" s="128"/>
      <c r="AK36" s="128"/>
      <c r="AL36" s="128"/>
      <c r="AM36" s="128"/>
      <c r="AN36" s="128"/>
      <c r="AO36" s="128"/>
    </row>
    <row r="37" spans="1:41" s="212" customFormat="1" ht="17.25" customHeight="1" thickBot="1" x14ac:dyDescent="0.25"/>
    <row r="38" spans="1:41" ht="45" customHeight="1" thickBot="1" x14ac:dyDescent="0.3">
      <c r="A38" s="510" t="s">
        <v>167</v>
      </c>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2"/>
      <c r="AG38" s="128"/>
      <c r="AH38" s="128"/>
      <c r="AI38" s="128"/>
      <c r="AJ38" s="128"/>
      <c r="AK38" s="128"/>
      <c r="AL38" s="128"/>
      <c r="AM38" s="128"/>
      <c r="AN38" s="128"/>
      <c r="AO38" s="128"/>
    </row>
    <row r="39" spans="1:41" ht="26.1" customHeight="1" x14ac:dyDescent="0.25">
      <c r="A39" s="513" t="s">
        <v>60</v>
      </c>
      <c r="B39" s="515" t="s">
        <v>168</v>
      </c>
      <c r="C39" s="517" t="s">
        <v>169</v>
      </c>
      <c r="D39" s="519" t="s">
        <v>170</v>
      </c>
      <c r="E39" s="520"/>
      <c r="F39" s="520"/>
      <c r="G39" s="520"/>
      <c r="H39" s="520"/>
      <c r="I39" s="520"/>
      <c r="J39" s="520"/>
      <c r="K39" s="520"/>
      <c r="L39" s="520"/>
      <c r="M39" s="520"/>
      <c r="N39" s="520"/>
      <c r="O39" s="520"/>
      <c r="P39" s="521"/>
      <c r="Q39" s="515" t="s">
        <v>171</v>
      </c>
      <c r="R39" s="515"/>
      <c r="S39" s="515"/>
      <c r="T39" s="515"/>
      <c r="U39" s="515"/>
      <c r="V39" s="515"/>
      <c r="W39" s="515"/>
      <c r="X39" s="515"/>
      <c r="Y39" s="515"/>
      <c r="Z39" s="515"/>
      <c r="AA39" s="515"/>
      <c r="AB39" s="515"/>
      <c r="AC39" s="515"/>
      <c r="AD39" s="515"/>
      <c r="AE39" s="605"/>
      <c r="AG39" s="128"/>
      <c r="AH39" s="128"/>
      <c r="AI39" s="128"/>
      <c r="AJ39" s="128"/>
      <c r="AK39" s="128"/>
      <c r="AL39" s="128"/>
      <c r="AM39" s="128"/>
      <c r="AN39" s="128"/>
      <c r="AO39" s="128"/>
    </row>
    <row r="40" spans="1:41" ht="26.1" customHeight="1" x14ac:dyDescent="0.25">
      <c r="A40" s="514"/>
      <c r="B40" s="516"/>
      <c r="C40" s="518"/>
      <c r="D40" s="48" t="s">
        <v>172</v>
      </c>
      <c r="E40" s="48" t="s">
        <v>173</v>
      </c>
      <c r="F40" s="48" t="s">
        <v>174</v>
      </c>
      <c r="G40" s="48" t="s">
        <v>175</v>
      </c>
      <c r="H40" s="48" t="s">
        <v>176</v>
      </c>
      <c r="I40" s="48" t="s">
        <v>177</v>
      </c>
      <c r="J40" s="48" t="s">
        <v>178</v>
      </c>
      <c r="K40" s="48" t="s">
        <v>179</v>
      </c>
      <c r="L40" s="48" t="s">
        <v>180</v>
      </c>
      <c r="M40" s="48" t="s">
        <v>181</v>
      </c>
      <c r="N40" s="48" t="s">
        <v>182</v>
      </c>
      <c r="O40" s="48" t="s">
        <v>183</v>
      </c>
      <c r="P40" s="48" t="s">
        <v>184</v>
      </c>
      <c r="Q40" s="602" t="s">
        <v>185</v>
      </c>
      <c r="R40" s="603"/>
      <c r="S40" s="603"/>
      <c r="T40" s="603"/>
      <c r="U40" s="603"/>
      <c r="V40" s="603"/>
      <c r="W40" s="603"/>
      <c r="X40" s="604"/>
      <c r="Y40" s="602" t="s">
        <v>68</v>
      </c>
      <c r="Z40" s="603"/>
      <c r="AA40" s="603"/>
      <c r="AB40" s="603"/>
      <c r="AC40" s="603"/>
      <c r="AD40" s="603"/>
      <c r="AE40" s="606"/>
      <c r="AG40" s="213"/>
      <c r="AH40" s="213"/>
      <c r="AI40" s="213"/>
      <c r="AJ40" s="213"/>
      <c r="AK40" s="213"/>
      <c r="AL40" s="213"/>
      <c r="AM40" s="213"/>
      <c r="AN40" s="213"/>
      <c r="AO40" s="213"/>
    </row>
    <row r="41" spans="1:41" ht="109.15" customHeight="1" x14ac:dyDescent="0.25">
      <c r="A41" s="617" t="s">
        <v>241</v>
      </c>
      <c r="B41" s="618">
        <v>0.05</v>
      </c>
      <c r="C41" s="56" t="s">
        <v>48</v>
      </c>
      <c r="D41" s="57">
        <v>0</v>
      </c>
      <c r="E41" s="57">
        <v>0</v>
      </c>
      <c r="F41" s="57">
        <v>0</v>
      </c>
      <c r="G41" s="57">
        <v>0</v>
      </c>
      <c r="H41" s="57">
        <v>0</v>
      </c>
      <c r="I41" s="57">
        <v>0</v>
      </c>
      <c r="J41" s="57">
        <v>0</v>
      </c>
      <c r="K41" s="57">
        <v>0.2</v>
      </c>
      <c r="L41" s="57">
        <v>0.4</v>
      </c>
      <c r="M41" s="57">
        <v>0.3</v>
      </c>
      <c r="N41" s="57">
        <v>0.1</v>
      </c>
      <c r="O41" s="57">
        <v>0</v>
      </c>
      <c r="P41" s="58">
        <f t="shared" ref="P41:P44" si="3">SUM(D41:O41)</f>
        <v>1.0000000000000002</v>
      </c>
      <c r="Q41" s="639" t="s">
        <v>242</v>
      </c>
      <c r="R41" s="628"/>
      <c r="S41" s="628"/>
      <c r="T41" s="628"/>
      <c r="U41" s="628"/>
      <c r="V41" s="628"/>
      <c r="W41" s="628"/>
      <c r="X41" s="629"/>
      <c r="Y41" s="709" t="s">
        <v>243</v>
      </c>
      <c r="Z41" s="709"/>
      <c r="AA41" s="709"/>
      <c r="AB41" s="709"/>
      <c r="AC41" s="709"/>
      <c r="AD41" s="709"/>
      <c r="AE41" s="709"/>
      <c r="AG41" s="214"/>
      <c r="AH41" s="214"/>
      <c r="AI41" s="214"/>
      <c r="AJ41" s="214"/>
      <c r="AK41" s="214"/>
      <c r="AL41" s="214"/>
      <c r="AM41" s="214"/>
      <c r="AN41" s="214"/>
      <c r="AO41" s="214"/>
    </row>
    <row r="42" spans="1:41" ht="109.15" customHeight="1" x14ac:dyDescent="0.25">
      <c r="A42" s="617"/>
      <c r="B42" s="618"/>
      <c r="C42" s="59" t="s">
        <v>50</v>
      </c>
      <c r="D42" s="60">
        <v>0</v>
      </c>
      <c r="E42" s="60">
        <v>0</v>
      </c>
      <c r="F42" s="60">
        <v>0</v>
      </c>
      <c r="G42" s="60">
        <v>0</v>
      </c>
      <c r="H42" s="60">
        <v>0</v>
      </c>
      <c r="I42" s="60">
        <v>0</v>
      </c>
      <c r="J42" s="60">
        <v>0</v>
      </c>
      <c r="K42" s="60">
        <v>0.2</v>
      </c>
      <c r="L42" s="60">
        <v>0.4</v>
      </c>
      <c r="M42" s="60"/>
      <c r="N42" s="60"/>
      <c r="O42" s="60"/>
      <c r="P42" s="176">
        <f t="shared" si="3"/>
        <v>0.60000000000000009</v>
      </c>
      <c r="Q42" s="630"/>
      <c r="R42" s="631"/>
      <c r="S42" s="631"/>
      <c r="T42" s="631"/>
      <c r="U42" s="631"/>
      <c r="V42" s="631"/>
      <c r="W42" s="631"/>
      <c r="X42" s="632"/>
      <c r="Y42" s="709"/>
      <c r="Z42" s="709"/>
      <c r="AA42" s="709"/>
      <c r="AB42" s="709"/>
      <c r="AC42" s="709"/>
      <c r="AD42" s="709"/>
      <c r="AE42" s="709"/>
    </row>
    <row r="43" spans="1:41" ht="66.599999999999994" customHeight="1" x14ac:dyDescent="0.25">
      <c r="A43" s="617" t="s">
        <v>244</v>
      </c>
      <c r="B43" s="618">
        <v>0.02</v>
      </c>
      <c r="C43" s="56" t="s">
        <v>48</v>
      </c>
      <c r="D43" s="57">
        <v>0</v>
      </c>
      <c r="E43" s="57">
        <v>0</v>
      </c>
      <c r="F43" s="57">
        <v>0</v>
      </c>
      <c r="G43" s="57">
        <v>0</v>
      </c>
      <c r="H43" s="57">
        <v>0</v>
      </c>
      <c r="I43" s="57">
        <v>0</v>
      </c>
      <c r="J43" s="57">
        <v>0</v>
      </c>
      <c r="K43" s="57">
        <v>0</v>
      </c>
      <c r="L43" s="57">
        <v>0</v>
      </c>
      <c r="M43" s="57">
        <v>0.2</v>
      </c>
      <c r="N43" s="57">
        <v>0.4</v>
      </c>
      <c r="O43" s="57">
        <v>0.4</v>
      </c>
      <c r="P43" s="58">
        <f t="shared" si="3"/>
        <v>1</v>
      </c>
      <c r="Q43" s="619" t="s">
        <v>245</v>
      </c>
      <c r="R43" s="620"/>
      <c r="S43" s="620"/>
      <c r="T43" s="620"/>
      <c r="U43" s="620"/>
      <c r="V43" s="620"/>
      <c r="W43" s="620"/>
      <c r="X43" s="621"/>
      <c r="Y43" s="619" t="s">
        <v>213</v>
      </c>
      <c r="Z43" s="620"/>
      <c r="AA43" s="620"/>
      <c r="AB43" s="620"/>
      <c r="AC43" s="620"/>
      <c r="AD43" s="620"/>
      <c r="AE43" s="620"/>
    </row>
    <row r="44" spans="1:41" ht="66.599999999999994" customHeight="1" x14ac:dyDescent="0.25">
      <c r="A44" s="617"/>
      <c r="B44" s="618"/>
      <c r="C44" s="59" t="s">
        <v>50</v>
      </c>
      <c r="D44" s="60">
        <v>0</v>
      </c>
      <c r="E44" s="60">
        <v>0</v>
      </c>
      <c r="F44" s="60">
        <v>0</v>
      </c>
      <c r="G44" s="60">
        <v>0</v>
      </c>
      <c r="H44" s="60">
        <v>0</v>
      </c>
      <c r="I44" s="60">
        <v>0</v>
      </c>
      <c r="J44" s="60">
        <v>0</v>
      </c>
      <c r="K44" s="60">
        <v>0</v>
      </c>
      <c r="L44" s="60">
        <v>0</v>
      </c>
      <c r="M44" s="60"/>
      <c r="N44" s="60"/>
      <c r="O44" s="60"/>
      <c r="P44" s="176">
        <f t="shared" si="3"/>
        <v>0</v>
      </c>
      <c r="Q44" s="622"/>
      <c r="R44" s="623"/>
      <c r="S44" s="623"/>
      <c r="T44" s="623"/>
      <c r="U44" s="623"/>
      <c r="V44" s="623"/>
      <c r="W44" s="623"/>
      <c r="X44" s="624"/>
      <c r="Y44" s="622"/>
      <c r="Z44" s="623"/>
      <c r="AA44" s="623"/>
      <c r="AB44" s="623"/>
      <c r="AC44" s="623"/>
      <c r="AD44" s="623"/>
      <c r="AE44" s="623"/>
    </row>
    <row r="45" spans="1:41" ht="137.44999999999999" customHeight="1" x14ac:dyDescent="0.25">
      <c r="A45" s="688" t="s">
        <v>246</v>
      </c>
      <c r="B45" s="618">
        <v>0.01</v>
      </c>
      <c r="C45" s="152" t="s">
        <v>48</v>
      </c>
      <c r="D45" s="57">
        <v>0</v>
      </c>
      <c r="E45" s="57">
        <v>0</v>
      </c>
      <c r="F45" s="57">
        <v>0</v>
      </c>
      <c r="G45" s="57">
        <v>0</v>
      </c>
      <c r="H45" s="57">
        <v>0</v>
      </c>
      <c r="I45" s="57">
        <v>0</v>
      </c>
      <c r="J45" s="57">
        <v>0</v>
      </c>
      <c r="K45" s="57">
        <v>0.2</v>
      </c>
      <c r="L45" s="57">
        <v>0.2</v>
      </c>
      <c r="M45" s="57">
        <v>0.2</v>
      </c>
      <c r="N45" s="57">
        <v>0.2</v>
      </c>
      <c r="O45" s="57">
        <v>0.2</v>
      </c>
      <c r="P45" s="58">
        <f>SUM(D45:O45)</f>
        <v>1</v>
      </c>
      <c r="Q45" s="619" t="s">
        <v>247</v>
      </c>
      <c r="R45" s="620"/>
      <c r="S45" s="620"/>
      <c r="T45" s="620"/>
      <c r="U45" s="620"/>
      <c r="V45" s="620"/>
      <c r="W45" s="620"/>
      <c r="X45" s="621"/>
      <c r="Y45" s="710" t="s">
        <v>248</v>
      </c>
      <c r="Z45" s="698"/>
      <c r="AA45" s="698"/>
      <c r="AB45" s="698"/>
      <c r="AC45" s="698"/>
      <c r="AD45" s="698"/>
      <c r="AE45" s="698"/>
    </row>
    <row r="46" spans="1:41" ht="137.44999999999999" customHeight="1" x14ac:dyDescent="0.25">
      <c r="A46" s="689"/>
      <c r="B46" s="618"/>
      <c r="C46" s="153" t="s">
        <v>50</v>
      </c>
      <c r="D46" s="60">
        <v>0</v>
      </c>
      <c r="E46" s="60">
        <v>0</v>
      </c>
      <c r="F46" s="60">
        <v>0</v>
      </c>
      <c r="G46" s="60">
        <v>0</v>
      </c>
      <c r="H46" s="60">
        <v>0</v>
      </c>
      <c r="I46" s="60">
        <v>0</v>
      </c>
      <c r="J46" s="60">
        <v>0</v>
      </c>
      <c r="K46" s="151">
        <v>0.2</v>
      </c>
      <c r="L46" s="151">
        <v>0.2</v>
      </c>
      <c r="M46" s="151"/>
      <c r="N46" s="151"/>
      <c r="O46" s="151"/>
      <c r="P46" s="176">
        <f>SUM(D46:O46)</f>
        <v>0.4</v>
      </c>
      <c r="Q46" s="622"/>
      <c r="R46" s="623"/>
      <c r="S46" s="623"/>
      <c r="T46" s="623"/>
      <c r="U46" s="623"/>
      <c r="V46" s="623"/>
      <c r="W46" s="623"/>
      <c r="X46" s="624"/>
      <c r="Y46" s="698"/>
      <c r="Z46" s="698"/>
      <c r="AA46" s="698"/>
      <c r="AB46" s="698"/>
      <c r="AC46" s="698"/>
      <c r="AD46" s="698"/>
      <c r="AE46" s="698"/>
    </row>
    <row r="47" spans="1:41" ht="57.6" customHeight="1" x14ac:dyDescent="0.25">
      <c r="A47" s="688" t="s">
        <v>249</v>
      </c>
      <c r="B47" s="618">
        <v>0.01</v>
      </c>
      <c r="C47" s="152" t="s">
        <v>48</v>
      </c>
      <c r="D47" s="57">
        <v>0</v>
      </c>
      <c r="E47" s="57">
        <v>0</v>
      </c>
      <c r="F47" s="57">
        <v>0</v>
      </c>
      <c r="G47" s="57">
        <v>0</v>
      </c>
      <c r="H47" s="57">
        <v>0</v>
      </c>
      <c r="I47" s="57">
        <v>0</v>
      </c>
      <c r="J47" s="57">
        <v>0</v>
      </c>
      <c r="K47" s="57">
        <v>0.2</v>
      </c>
      <c r="L47" s="57">
        <v>0.2</v>
      </c>
      <c r="M47" s="57">
        <v>0.2</v>
      </c>
      <c r="N47" s="57">
        <v>0.2</v>
      </c>
      <c r="O47" s="57">
        <v>0.2</v>
      </c>
      <c r="P47" s="58">
        <f>SUM(D47:O47)</f>
        <v>1</v>
      </c>
      <c r="Q47" s="619" t="s">
        <v>250</v>
      </c>
      <c r="R47" s="620"/>
      <c r="S47" s="620"/>
      <c r="T47" s="620"/>
      <c r="U47" s="620"/>
      <c r="V47" s="620"/>
      <c r="W47" s="620"/>
      <c r="X47" s="621"/>
      <c r="Y47" s="710" t="s">
        <v>251</v>
      </c>
      <c r="Z47" s="698"/>
      <c r="AA47" s="698"/>
      <c r="AB47" s="698"/>
      <c r="AC47" s="698"/>
      <c r="AD47" s="698"/>
      <c r="AE47" s="698"/>
    </row>
    <row r="48" spans="1:41" ht="57.6" customHeight="1" x14ac:dyDescent="0.25">
      <c r="A48" s="689"/>
      <c r="B48" s="618"/>
      <c r="C48" s="153" t="s">
        <v>50</v>
      </c>
      <c r="D48" s="60">
        <v>0</v>
      </c>
      <c r="E48" s="60">
        <v>0</v>
      </c>
      <c r="F48" s="60">
        <v>0</v>
      </c>
      <c r="G48" s="60">
        <v>0</v>
      </c>
      <c r="H48" s="60">
        <v>0</v>
      </c>
      <c r="I48" s="60">
        <v>0</v>
      </c>
      <c r="J48" s="60">
        <v>0</v>
      </c>
      <c r="K48" s="151">
        <v>0.2</v>
      </c>
      <c r="L48" s="151">
        <v>0.2</v>
      </c>
      <c r="M48" s="151"/>
      <c r="N48" s="151"/>
      <c r="O48" s="151"/>
      <c r="P48" s="176">
        <f>SUM(D48:O48)</f>
        <v>0.4</v>
      </c>
      <c r="Q48" s="622"/>
      <c r="R48" s="623"/>
      <c r="S48" s="623"/>
      <c r="T48" s="623"/>
      <c r="U48" s="623"/>
      <c r="V48" s="623"/>
      <c r="W48" s="623"/>
      <c r="X48" s="624"/>
      <c r="Y48" s="698"/>
      <c r="Z48" s="698"/>
      <c r="AA48" s="698"/>
      <c r="AB48" s="698"/>
      <c r="AC48" s="698"/>
      <c r="AD48" s="698"/>
      <c r="AE48" s="698"/>
    </row>
    <row r="49" spans="1:31" ht="15" customHeight="1" x14ac:dyDescent="0.25">
      <c r="A49" s="125" t="s">
        <v>198</v>
      </c>
      <c r="B49" s="248">
        <f>SUM(B41:B48)</f>
        <v>0.09</v>
      </c>
      <c r="Q49" s="215"/>
      <c r="R49" s="215"/>
      <c r="S49" s="215"/>
      <c r="T49" s="215"/>
      <c r="U49" s="215"/>
      <c r="V49" s="215"/>
      <c r="W49" s="215"/>
      <c r="X49" s="215"/>
      <c r="Y49" s="215"/>
      <c r="Z49" s="215"/>
      <c r="AA49" s="215"/>
      <c r="AB49" s="215"/>
      <c r="AC49" s="215"/>
      <c r="AD49" s="215"/>
      <c r="AE49" s="215"/>
    </row>
    <row r="50" spans="1:31" x14ac:dyDescent="0.25">
      <c r="Q50" s="215"/>
      <c r="R50" s="215"/>
      <c r="S50" s="215"/>
      <c r="T50" s="215"/>
      <c r="U50" s="215"/>
      <c r="V50" s="215"/>
      <c r="W50" s="215"/>
      <c r="X50" s="215"/>
      <c r="Y50" s="215"/>
      <c r="Z50" s="215"/>
      <c r="AA50" s="215"/>
      <c r="AB50" s="215"/>
      <c r="AC50" s="215"/>
      <c r="AD50" s="215"/>
      <c r="AE50" s="215"/>
    </row>
    <row r="51" spans="1:31" x14ac:dyDescent="0.25">
      <c r="Q51" s="215"/>
      <c r="R51" s="215"/>
      <c r="S51" s="215"/>
      <c r="T51" s="215"/>
      <c r="U51" s="215"/>
      <c r="V51" s="215"/>
      <c r="W51" s="215"/>
      <c r="X51" s="215"/>
      <c r="Y51" s="215"/>
      <c r="Z51" s="215"/>
      <c r="AA51" s="215"/>
      <c r="AB51" s="215"/>
      <c r="AC51" s="215"/>
      <c r="AD51" s="215"/>
      <c r="AE51" s="215"/>
    </row>
    <row r="52" spans="1:31" x14ac:dyDescent="0.25">
      <c r="Q52" s="215"/>
      <c r="R52" s="215"/>
      <c r="S52" s="215"/>
      <c r="T52" s="215"/>
      <c r="U52" s="215"/>
      <c r="V52" s="215"/>
      <c r="W52" s="215"/>
      <c r="X52" s="215"/>
      <c r="Y52" s="215"/>
      <c r="Z52" s="215"/>
      <c r="AA52" s="215"/>
      <c r="AB52" s="215"/>
      <c r="AC52" s="215"/>
      <c r="AD52" s="215"/>
      <c r="AE52" s="215"/>
    </row>
    <row r="53" spans="1:31" x14ac:dyDescent="0.25">
      <c r="Q53" s="215"/>
      <c r="R53" s="215"/>
      <c r="S53" s="215"/>
      <c r="T53" s="215"/>
      <c r="U53" s="215"/>
      <c r="V53" s="215"/>
      <c r="W53" s="215"/>
      <c r="X53" s="215"/>
      <c r="Y53" s="215"/>
      <c r="Z53" s="215"/>
      <c r="AA53" s="215"/>
      <c r="AB53" s="215"/>
      <c r="AC53" s="215"/>
      <c r="AD53" s="215"/>
      <c r="AE53" s="215"/>
    </row>
    <row r="54" spans="1:31" hidden="1" x14ac:dyDescent="0.25">
      <c r="Q54" s="215"/>
      <c r="R54" s="215"/>
      <c r="S54" s="215"/>
      <c r="T54" s="215"/>
      <c r="U54" s="215"/>
      <c r="V54" s="215"/>
      <c r="W54" s="215"/>
      <c r="X54" s="215"/>
      <c r="Y54" s="215"/>
      <c r="Z54" s="215"/>
      <c r="AA54" s="215"/>
      <c r="AB54" s="215"/>
      <c r="AC54" s="215"/>
      <c r="AD54" s="215"/>
      <c r="AE54" s="215"/>
    </row>
    <row r="55" spans="1:31" hidden="1" x14ac:dyDescent="0.25">
      <c r="Q55" s="215"/>
      <c r="R55" s="215"/>
      <c r="S55" s="215"/>
      <c r="T55" s="215"/>
      <c r="U55" s="215"/>
      <c r="V55" s="215"/>
      <c r="W55" s="215"/>
      <c r="X55" s="215"/>
      <c r="Y55" s="215"/>
      <c r="Z55" s="215"/>
      <c r="AA55" s="215"/>
      <c r="AB55" s="215"/>
      <c r="AC55" s="215"/>
      <c r="AD55" s="215"/>
      <c r="AE55" s="215"/>
    </row>
    <row r="56" spans="1:31" hidden="1" x14ac:dyDescent="0.25">
      <c r="Q56" s="215"/>
      <c r="R56" s="215"/>
      <c r="S56" s="215"/>
      <c r="T56" s="215"/>
      <c r="U56" s="215"/>
      <c r="V56" s="215"/>
      <c r="W56" s="215"/>
      <c r="X56" s="215"/>
      <c r="Y56" s="215"/>
      <c r="Z56" s="215"/>
      <c r="AA56" s="215"/>
      <c r="AB56" s="215"/>
      <c r="AC56" s="215"/>
      <c r="AD56" s="215"/>
      <c r="AE56" s="215"/>
    </row>
    <row r="57" spans="1:31" hidden="1" x14ac:dyDescent="0.25">
      <c r="Q57" s="215"/>
      <c r="R57" s="215"/>
      <c r="S57" s="215"/>
      <c r="T57" s="215"/>
      <c r="U57" s="215"/>
      <c r="V57" s="215"/>
      <c r="W57" s="215"/>
      <c r="X57" s="215"/>
      <c r="Y57" s="215"/>
      <c r="Z57" s="215"/>
      <c r="AA57" s="215"/>
      <c r="AB57" s="215"/>
      <c r="AC57" s="215"/>
      <c r="AD57" s="215"/>
      <c r="AE57" s="215"/>
    </row>
    <row r="58" spans="1:31" hidden="1" x14ac:dyDescent="0.25">
      <c r="Q58" s="215"/>
      <c r="R58" s="215"/>
      <c r="S58" s="215"/>
      <c r="T58" s="215"/>
      <c r="U58" s="215"/>
      <c r="V58" s="215"/>
      <c r="W58" s="215"/>
      <c r="X58" s="215"/>
      <c r="Y58" s="215"/>
      <c r="Z58" s="215"/>
      <c r="AA58" s="215"/>
      <c r="AB58" s="215"/>
      <c r="AC58" s="215"/>
      <c r="AD58" s="215"/>
      <c r="AE58" s="215"/>
    </row>
    <row r="59" spans="1:31" s="219" customFormat="1" ht="15" hidden="1" x14ac:dyDescent="0.25">
      <c r="A59" s="499" t="s">
        <v>44</v>
      </c>
      <c r="B59" s="501" t="s">
        <v>168</v>
      </c>
      <c r="C59" s="503" t="s">
        <v>170</v>
      </c>
      <c r="D59" s="504"/>
      <c r="E59" s="504"/>
      <c r="F59" s="504"/>
      <c r="G59" s="504"/>
      <c r="H59" s="504"/>
      <c r="I59" s="504"/>
      <c r="J59" s="504"/>
      <c r="K59" s="504"/>
      <c r="L59" s="504"/>
      <c r="M59" s="504"/>
      <c r="N59" s="504"/>
      <c r="O59" s="504"/>
      <c r="P59" s="505"/>
      <c r="Q59" s="216"/>
      <c r="R59" s="216"/>
      <c r="S59" s="217"/>
      <c r="T59" s="217"/>
      <c r="U59" s="217"/>
      <c r="V59" s="217"/>
      <c r="W59" s="217"/>
      <c r="X59" s="217"/>
      <c r="Y59" s="217"/>
      <c r="Z59" s="217"/>
      <c r="AA59" s="217"/>
      <c r="AB59" s="217"/>
      <c r="AC59" s="217"/>
      <c r="AD59" s="217"/>
      <c r="AE59" s="218"/>
    </row>
    <row r="60" spans="1:31" s="219" customFormat="1" ht="21" hidden="1" x14ac:dyDescent="0.25">
      <c r="A60" s="500"/>
      <c r="B60" s="502"/>
      <c r="C60" s="220" t="s">
        <v>169</v>
      </c>
      <c r="D60" s="220" t="s">
        <v>172</v>
      </c>
      <c r="E60" s="220" t="s">
        <v>173</v>
      </c>
      <c r="F60" s="220" t="s">
        <v>174</v>
      </c>
      <c r="G60" s="220" t="s">
        <v>175</v>
      </c>
      <c r="H60" s="220" t="s">
        <v>176</v>
      </c>
      <c r="I60" s="220" t="s">
        <v>177</v>
      </c>
      <c r="J60" s="220" t="s">
        <v>178</v>
      </c>
      <c r="K60" s="220" t="s">
        <v>179</v>
      </c>
      <c r="L60" s="220" t="s">
        <v>180</v>
      </c>
      <c r="M60" s="220" t="s">
        <v>181</v>
      </c>
      <c r="N60" s="220" t="s">
        <v>182</v>
      </c>
      <c r="O60" s="220" t="s">
        <v>183</v>
      </c>
      <c r="P60" s="221" t="s">
        <v>184</v>
      </c>
      <c r="Q60" s="216"/>
      <c r="R60" s="216"/>
      <c r="S60" s="217"/>
      <c r="T60" s="217"/>
      <c r="U60" s="217"/>
      <c r="V60" s="217"/>
      <c r="W60" s="217"/>
      <c r="X60" s="217"/>
      <c r="Y60" s="217"/>
      <c r="Z60" s="217"/>
      <c r="AA60" s="217"/>
      <c r="AB60" s="217"/>
      <c r="AC60" s="217"/>
      <c r="AD60" s="217"/>
      <c r="AE60" s="218"/>
    </row>
    <row r="61" spans="1:31" s="219" customFormat="1" ht="18" hidden="1" customHeight="1" x14ac:dyDescent="0.25">
      <c r="A61" s="495" t="str">
        <f>A41</f>
        <v>14. Adelantar la revisión de documentos diagnósticos y complementar las acciones de investigación para la consolidación de la línea base de una estrategia que promueva y garantice el libre ejercicio de los derechos de las mujeres y la equidad de género.</v>
      </c>
      <c r="B61" s="497">
        <f>B41</f>
        <v>0.05</v>
      </c>
      <c r="C61" s="222" t="s">
        <v>48</v>
      </c>
      <c r="D61" s="223">
        <f>D41*$B$41/$P$41</f>
        <v>0</v>
      </c>
      <c r="E61" s="223">
        <f t="shared" ref="E61:O61" si="4">E41*$B$41/$P$41</f>
        <v>0</v>
      </c>
      <c r="F61" s="223">
        <f t="shared" si="4"/>
        <v>0</v>
      </c>
      <c r="G61" s="223">
        <f t="shared" si="4"/>
        <v>0</v>
      </c>
      <c r="H61" s="223">
        <f t="shared" si="4"/>
        <v>0</v>
      </c>
      <c r="I61" s="223">
        <f t="shared" si="4"/>
        <v>0</v>
      </c>
      <c r="J61" s="223">
        <f t="shared" si="4"/>
        <v>0</v>
      </c>
      <c r="K61" s="223">
        <f t="shared" si="4"/>
        <v>0.01</v>
      </c>
      <c r="L61" s="223">
        <f t="shared" si="4"/>
        <v>0.02</v>
      </c>
      <c r="M61" s="223">
        <f t="shared" si="4"/>
        <v>1.4999999999999996E-2</v>
      </c>
      <c r="N61" s="223">
        <f t="shared" si="4"/>
        <v>5.0000000000000001E-3</v>
      </c>
      <c r="O61" s="223">
        <f t="shared" si="4"/>
        <v>0</v>
      </c>
      <c r="P61" s="224">
        <f>SUM(D61:O61)</f>
        <v>4.9999999999999996E-2</v>
      </c>
      <c r="Q61" s="225"/>
      <c r="R61" s="226"/>
      <c r="S61" s="217"/>
      <c r="T61" s="217"/>
      <c r="U61" s="217"/>
      <c r="V61" s="217"/>
      <c r="W61" s="217"/>
      <c r="X61" s="217"/>
      <c r="Y61" s="217"/>
      <c r="Z61" s="217"/>
      <c r="AA61" s="217"/>
      <c r="AB61" s="217"/>
      <c r="AC61" s="217"/>
      <c r="AD61" s="217"/>
      <c r="AE61" s="218"/>
    </row>
    <row r="62" spans="1:31" s="219" customFormat="1" ht="18" hidden="1" customHeight="1" x14ac:dyDescent="0.25">
      <c r="A62" s="496"/>
      <c r="B62" s="498"/>
      <c r="C62" s="227" t="s">
        <v>50</v>
      </c>
      <c r="D62" s="228">
        <f>D42*$B$41/$P$41</f>
        <v>0</v>
      </c>
      <c r="E62" s="228">
        <f t="shared" ref="E62:O62" si="5">E42*$B$41/$P$41</f>
        <v>0</v>
      </c>
      <c r="F62" s="228">
        <f t="shared" si="5"/>
        <v>0</v>
      </c>
      <c r="G62" s="228">
        <f t="shared" si="5"/>
        <v>0</v>
      </c>
      <c r="H62" s="228">
        <f t="shared" si="5"/>
        <v>0</v>
      </c>
      <c r="I62" s="228">
        <f t="shared" si="5"/>
        <v>0</v>
      </c>
      <c r="J62" s="228">
        <f t="shared" si="5"/>
        <v>0</v>
      </c>
      <c r="K62" s="228">
        <f t="shared" si="5"/>
        <v>0.01</v>
      </c>
      <c r="L62" s="228">
        <f t="shared" si="5"/>
        <v>0.02</v>
      </c>
      <c r="M62" s="228">
        <f t="shared" si="5"/>
        <v>0</v>
      </c>
      <c r="N62" s="228">
        <f t="shared" si="5"/>
        <v>0</v>
      </c>
      <c r="O62" s="228">
        <f t="shared" si="5"/>
        <v>0</v>
      </c>
      <c r="P62" s="229">
        <f>SUM(D62:O62)</f>
        <v>0.03</v>
      </c>
      <c r="Q62" s="230"/>
      <c r="R62" s="226"/>
      <c r="S62" s="217"/>
      <c r="T62" s="217"/>
      <c r="U62" s="217"/>
      <c r="V62" s="217"/>
      <c r="W62" s="217"/>
      <c r="X62" s="217"/>
      <c r="Y62" s="217"/>
      <c r="Z62" s="217"/>
      <c r="AA62" s="217"/>
      <c r="AB62" s="217"/>
      <c r="AC62" s="217"/>
      <c r="AD62" s="217"/>
      <c r="AE62" s="218"/>
    </row>
    <row r="63" spans="1:31" s="219" customFormat="1" ht="18" hidden="1" customHeight="1" x14ac:dyDescent="0.25">
      <c r="A63" s="495" t="str">
        <f t="shared" ref="A63" si="6">A43</f>
        <v xml:space="preserve">15. Avanzar en el diseño de una estrategia de transformación cultural que promueva y garantice el libre ejercicio de los derechos de las mujeres y la equidad de género (a partir de la línea base de investigación) </v>
      </c>
      <c r="B63" s="497">
        <f t="shared" ref="B63" si="7">B43</f>
        <v>0.02</v>
      </c>
      <c r="C63" s="222" t="s">
        <v>48</v>
      </c>
      <c r="D63" s="223">
        <f>D43*$B$43/$P$43</f>
        <v>0</v>
      </c>
      <c r="E63" s="223">
        <f t="shared" ref="E63:O63" si="8">E43*$B$43/$P$43</f>
        <v>0</v>
      </c>
      <c r="F63" s="223">
        <f t="shared" si="8"/>
        <v>0</v>
      </c>
      <c r="G63" s="223">
        <f t="shared" si="8"/>
        <v>0</v>
      </c>
      <c r="H63" s="223">
        <f t="shared" si="8"/>
        <v>0</v>
      </c>
      <c r="I63" s="223">
        <f t="shared" si="8"/>
        <v>0</v>
      </c>
      <c r="J63" s="223">
        <f t="shared" si="8"/>
        <v>0</v>
      </c>
      <c r="K63" s="223">
        <f t="shared" si="8"/>
        <v>0</v>
      </c>
      <c r="L63" s="223">
        <f t="shared" si="8"/>
        <v>0</v>
      </c>
      <c r="M63" s="223">
        <f t="shared" si="8"/>
        <v>4.0000000000000001E-3</v>
      </c>
      <c r="N63" s="223">
        <f t="shared" si="8"/>
        <v>8.0000000000000002E-3</v>
      </c>
      <c r="O63" s="223">
        <f t="shared" si="8"/>
        <v>8.0000000000000002E-3</v>
      </c>
      <c r="P63" s="224">
        <f>SUM(D63:O63)</f>
        <v>0.02</v>
      </c>
      <c r="Q63" s="225"/>
      <c r="R63" s="226"/>
      <c r="S63" s="217"/>
      <c r="T63" s="217"/>
      <c r="U63" s="217"/>
      <c r="V63" s="217"/>
      <c r="W63" s="217"/>
      <c r="X63" s="217"/>
      <c r="Y63" s="217"/>
      <c r="Z63" s="217"/>
      <c r="AA63" s="217"/>
      <c r="AB63" s="217"/>
      <c r="AC63" s="217"/>
      <c r="AD63" s="217"/>
      <c r="AE63" s="218"/>
    </row>
    <row r="64" spans="1:31" s="219" customFormat="1" ht="18" hidden="1" customHeight="1" x14ac:dyDescent="0.25">
      <c r="A64" s="496"/>
      <c r="B64" s="498"/>
      <c r="C64" s="227" t="s">
        <v>50</v>
      </c>
      <c r="D64" s="228">
        <f>D44*$B$43/$P$43</f>
        <v>0</v>
      </c>
      <c r="E64" s="228">
        <f t="shared" ref="E64:O64" si="9">E44*$B$43/$P$43</f>
        <v>0</v>
      </c>
      <c r="F64" s="228">
        <f t="shared" si="9"/>
        <v>0</v>
      </c>
      <c r="G64" s="228">
        <f t="shared" si="9"/>
        <v>0</v>
      </c>
      <c r="H64" s="228">
        <f t="shared" si="9"/>
        <v>0</v>
      </c>
      <c r="I64" s="228">
        <f t="shared" si="9"/>
        <v>0</v>
      </c>
      <c r="J64" s="228">
        <f t="shared" si="9"/>
        <v>0</v>
      </c>
      <c r="K64" s="228">
        <f t="shared" si="9"/>
        <v>0</v>
      </c>
      <c r="L64" s="228">
        <f t="shared" si="9"/>
        <v>0</v>
      </c>
      <c r="M64" s="228">
        <f t="shared" si="9"/>
        <v>0</v>
      </c>
      <c r="N64" s="228">
        <f t="shared" si="9"/>
        <v>0</v>
      </c>
      <c r="O64" s="228">
        <f t="shared" si="9"/>
        <v>0</v>
      </c>
      <c r="P64" s="229">
        <f t="shared" ref="P64" si="10">SUM(D64:O64)</f>
        <v>0</v>
      </c>
      <c r="Q64" s="230"/>
      <c r="R64" s="226"/>
      <c r="S64" s="217"/>
      <c r="T64" s="217"/>
      <c r="U64" s="217"/>
      <c r="V64" s="217"/>
      <c r="W64" s="217"/>
      <c r="X64" s="217"/>
      <c r="Y64" s="217"/>
      <c r="Z64" s="217"/>
      <c r="AA64" s="217"/>
      <c r="AB64" s="217"/>
      <c r="AC64" s="217"/>
      <c r="AD64" s="217"/>
      <c r="AE64" s="218"/>
    </row>
    <row r="65" spans="1:31" s="219" customFormat="1" ht="18" hidden="1" customHeight="1" x14ac:dyDescent="0.25">
      <c r="A65" s="495" t="str">
        <f t="shared" ref="A65" si="11">A45</f>
        <v>16.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v>
      </c>
      <c r="B65" s="497">
        <f t="shared" ref="B65" si="12">B45</f>
        <v>0.01</v>
      </c>
      <c r="C65" s="222" t="s">
        <v>48</v>
      </c>
      <c r="D65" s="223">
        <f>D45*$B$45/$P$45</f>
        <v>0</v>
      </c>
      <c r="E65" s="223">
        <f t="shared" ref="E65:O65" si="13">E45*$B$45/$P$45</f>
        <v>0</v>
      </c>
      <c r="F65" s="223">
        <f t="shared" si="13"/>
        <v>0</v>
      </c>
      <c r="G65" s="223">
        <f t="shared" si="13"/>
        <v>0</v>
      </c>
      <c r="H65" s="223">
        <f t="shared" si="13"/>
        <v>0</v>
      </c>
      <c r="I65" s="223">
        <f t="shared" si="13"/>
        <v>0</v>
      </c>
      <c r="J65" s="223">
        <f t="shared" si="13"/>
        <v>0</v>
      </c>
      <c r="K65" s="223">
        <f t="shared" si="13"/>
        <v>2E-3</v>
      </c>
      <c r="L65" s="223">
        <f t="shared" si="13"/>
        <v>2E-3</v>
      </c>
      <c r="M65" s="223">
        <f t="shared" si="13"/>
        <v>2E-3</v>
      </c>
      <c r="N65" s="223">
        <f t="shared" si="13"/>
        <v>2E-3</v>
      </c>
      <c r="O65" s="223">
        <f t="shared" si="13"/>
        <v>2E-3</v>
      </c>
      <c r="P65" s="224">
        <f>SUM(D65:O65)</f>
        <v>0.01</v>
      </c>
      <c r="Q65" s="225"/>
      <c r="R65" s="226"/>
      <c r="S65" s="217"/>
      <c r="T65" s="217"/>
      <c r="U65" s="217"/>
      <c r="V65" s="217"/>
      <c r="W65" s="217"/>
      <c r="X65" s="217"/>
      <c r="Y65" s="217"/>
      <c r="Z65" s="217"/>
      <c r="AA65" s="217"/>
      <c r="AB65" s="217"/>
      <c r="AC65" s="217"/>
      <c r="AD65" s="217"/>
      <c r="AE65" s="218"/>
    </row>
    <row r="66" spans="1:31" s="219" customFormat="1" ht="18" hidden="1" customHeight="1" x14ac:dyDescent="0.25">
      <c r="A66" s="496"/>
      <c r="B66" s="498"/>
      <c r="C66" s="227" t="s">
        <v>50</v>
      </c>
      <c r="D66" s="228">
        <f>D46*$B$45/$P$45</f>
        <v>0</v>
      </c>
      <c r="E66" s="228">
        <f t="shared" ref="E66:O66" si="14">E46*$B$45/$P$45</f>
        <v>0</v>
      </c>
      <c r="F66" s="228">
        <f t="shared" si="14"/>
        <v>0</v>
      </c>
      <c r="G66" s="228">
        <f t="shared" si="14"/>
        <v>0</v>
      </c>
      <c r="H66" s="228">
        <f t="shared" si="14"/>
        <v>0</v>
      </c>
      <c r="I66" s="228">
        <f t="shared" si="14"/>
        <v>0</v>
      </c>
      <c r="J66" s="228">
        <f t="shared" si="14"/>
        <v>0</v>
      </c>
      <c r="K66" s="228">
        <f t="shared" si="14"/>
        <v>2E-3</v>
      </c>
      <c r="L66" s="228">
        <f t="shared" si="14"/>
        <v>2E-3</v>
      </c>
      <c r="M66" s="228">
        <f t="shared" si="14"/>
        <v>0</v>
      </c>
      <c r="N66" s="228">
        <f t="shared" si="14"/>
        <v>0</v>
      </c>
      <c r="O66" s="228">
        <f t="shared" si="14"/>
        <v>0</v>
      </c>
      <c r="P66" s="229">
        <f>SUM(D66:O66)</f>
        <v>4.0000000000000001E-3</v>
      </c>
      <c r="Q66" s="230"/>
      <c r="R66" s="226"/>
      <c r="S66" s="217"/>
      <c r="T66" s="217"/>
      <c r="U66" s="217"/>
      <c r="V66" s="217"/>
      <c r="W66" s="217"/>
      <c r="X66" s="217"/>
      <c r="Y66" s="217"/>
      <c r="Z66" s="217"/>
      <c r="AA66" s="217"/>
      <c r="AB66" s="217"/>
      <c r="AC66" s="217"/>
      <c r="AD66" s="217"/>
      <c r="AE66" s="218"/>
    </row>
    <row r="67" spans="1:31" s="219" customFormat="1" ht="18" hidden="1" customHeight="1" x14ac:dyDescent="0.25">
      <c r="A67" s="495" t="str">
        <f t="shared" ref="A67" si="15">A47</f>
        <v>17. Socializar e implementar la hoja de ruta para incorporar los enfoques de derechos de las mujeres, de género y diferencial, mediante el acompañamiento técnico a dos instancias de participación del Distrito Capital, priorizadas por la Subsecretaría del Cuidado y Políticas de Igualdad</v>
      </c>
      <c r="B67" s="497">
        <f t="shared" ref="B67" si="16">B47</f>
        <v>0.01</v>
      </c>
      <c r="C67" s="222" t="s">
        <v>48</v>
      </c>
      <c r="D67" s="223">
        <f>D47*$B$47/$P$47</f>
        <v>0</v>
      </c>
      <c r="E67" s="223">
        <f t="shared" ref="E67:O67" si="17">E47*$B$47/$P$47</f>
        <v>0</v>
      </c>
      <c r="F67" s="223">
        <f t="shared" si="17"/>
        <v>0</v>
      </c>
      <c r="G67" s="223">
        <f t="shared" si="17"/>
        <v>0</v>
      </c>
      <c r="H67" s="223">
        <f t="shared" si="17"/>
        <v>0</v>
      </c>
      <c r="I67" s="223">
        <f t="shared" si="17"/>
        <v>0</v>
      </c>
      <c r="J67" s="223">
        <f t="shared" si="17"/>
        <v>0</v>
      </c>
      <c r="K67" s="223">
        <f t="shared" si="17"/>
        <v>2E-3</v>
      </c>
      <c r="L67" s="223">
        <f t="shared" si="17"/>
        <v>2E-3</v>
      </c>
      <c r="M67" s="223">
        <f t="shared" si="17"/>
        <v>2E-3</v>
      </c>
      <c r="N67" s="223">
        <f t="shared" si="17"/>
        <v>2E-3</v>
      </c>
      <c r="O67" s="223">
        <f t="shared" si="17"/>
        <v>2E-3</v>
      </c>
      <c r="P67" s="224">
        <f>SUM(D67:O67)</f>
        <v>0.01</v>
      </c>
      <c r="Q67" s="225"/>
      <c r="R67" s="226"/>
      <c r="S67" s="217"/>
      <c r="T67" s="217"/>
      <c r="U67" s="217"/>
      <c r="V67" s="217"/>
      <c r="W67" s="217"/>
      <c r="X67" s="217"/>
      <c r="Y67" s="217"/>
      <c r="Z67" s="217"/>
      <c r="AA67" s="217"/>
      <c r="AB67" s="217"/>
      <c r="AC67" s="217"/>
      <c r="AD67" s="217"/>
      <c r="AE67" s="218"/>
    </row>
    <row r="68" spans="1:31" s="219" customFormat="1" ht="18" hidden="1" customHeight="1" x14ac:dyDescent="0.25">
      <c r="A68" s="496"/>
      <c r="B68" s="498"/>
      <c r="C68" s="227" t="s">
        <v>50</v>
      </c>
      <c r="D68" s="228">
        <f>D48*$B$47/$P$47</f>
        <v>0</v>
      </c>
      <c r="E68" s="228">
        <f t="shared" ref="E68:O68" si="18">E48*$B$47/$P$47</f>
        <v>0</v>
      </c>
      <c r="F68" s="228">
        <f t="shared" si="18"/>
        <v>0</v>
      </c>
      <c r="G68" s="228">
        <f t="shared" si="18"/>
        <v>0</v>
      </c>
      <c r="H68" s="228">
        <f t="shared" si="18"/>
        <v>0</v>
      </c>
      <c r="I68" s="228">
        <f t="shared" si="18"/>
        <v>0</v>
      </c>
      <c r="J68" s="228">
        <f t="shared" si="18"/>
        <v>0</v>
      </c>
      <c r="K68" s="228">
        <f t="shared" si="18"/>
        <v>2E-3</v>
      </c>
      <c r="L68" s="228">
        <f t="shared" si="18"/>
        <v>2E-3</v>
      </c>
      <c r="M68" s="228">
        <f t="shared" si="18"/>
        <v>0</v>
      </c>
      <c r="N68" s="228">
        <f t="shared" si="18"/>
        <v>0</v>
      </c>
      <c r="O68" s="228">
        <f t="shared" si="18"/>
        <v>0</v>
      </c>
      <c r="P68" s="229">
        <f t="shared" ref="P68" si="19">SUM(D68:O68)</f>
        <v>4.0000000000000001E-3</v>
      </c>
      <c r="Q68" s="230"/>
      <c r="R68" s="226"/>
      <c r="S68" s="217"/>
      <c r="T68" s="217"/>
      <c r="U68" s="217"/>
      <c r="V68" s="217"/>
      <c r="W68" s="217"/>
      <c r="X68" s="217"/>
      <c r="Y68" s="217"/>
      <c r="Z68" s="217"/>
      <c r="AA68" s="217"/>
      <c r="AB68" s="217"/>
      <c r="AC68" s="217"/>
      <c r="AD68" s="217"/>
      <c r="AE68" s="218"/>
    </row>
    <row r="69" spans="1:31" s="219" customFormat="1" ht="15" hidden="1" x14ac:dyDescent="0.25">
      <c r="A69" s="235"/>
      <c r="B69" s="236"/>
      <c r="C69" s="233"/>
      <c r="D69" s="237"/>
      <c r="E69" s="237"/>
      <c r="F69" s="237"/>
      <c r="G69" s="237"/>
      <c r="H69" s="237"/>
      <c r="I69" s="237"/>
      <c r="J69" s="237"/>
      <c r="K69" s="237"/>
      <c r="L69" s="237"/>
      <c r="M69" s="237"/>
      <c r="N69" s="237"/>
      <c r="O69" s="237"/>
      <c r="P69" s="234"/>
      <c r="Q69" s="230"/>
      <c r="R69" s="226"/>
      <c r="S69" s="217"/>
      <c r="T69" s="217"/>
      <c r="U69" s="217"/>
      <c r="V69" s="217"/>
      <c r="W69" s="217"/>
      <c r="X69" s="217"/>
      <c r="Y69" s="217"/>
      <c r="Z69" s="217"/>
      <c r="AA69" s="217"/>
      <c r="AB69" s="217"/>
      <c r="AC69" s="217"/>
      <c r="AD69" s="217"/>
      <c r="AE69" s="218"/>
    </row>
    <row r="70" spans="1:31" s="219" customFormat="1" ht="15" hidden="1" x14ac:dyDescent="0.25">
      <c r="A70" s="491"/>
      <c r="B70" s="493"/>
      <c r="C70" s="233"/>
      <c r="D70" s="223"/>
      <c r="E70" s="223"/>
      <c r="F70" s="223"/>
      <c r="G70" s="223"/>
      <c r="H70" s="223"/>
      <c r="I70" s="223"/>
      <c r="J70" s="223"/>
      <c r="K70" s="223"/>
      <c r="L70" s="223"/>
      <c r="M70" s="223"/>
      <c r="N70" s="223"/>
      <c r="O70" s="223"/>
      <c r="P70" s="234"/>
      <c r="Q70" s="225"/>
      <c r="R70" s="226"/>
      <c r="S70" s="217"/>
      <c r="T70" s="217"/>
      <c r="U70" s="217"/>
      <c r="V70" s="217"/>
      <c r="W70" s="217"/>
      <c r="X70" s="217"/>
      <c r="Y70" s="217"/>
      <c r="Z70" s="217"/>
      <c r="AA70" s="217"/>
      <c r="AB70" s="217"/>
      <c r="AC70" s="217"/>
      <c r="AD70" s="217"/>
      <c r="AE70" s="218"/>
    </row>
    <row r="71" spans="1:31" s="219" customFormat="1" ht="15" hidden="1" x14ac:dyDescent="0.25">
      <c r="A71" s="492"/>
      <c r="B71" s="494"/>
      <c r="C71" s="233"/>
      <c r="D71" s="237"/>
      <c r="E71" s="237"/>
      <c r="F71" s="237"/>
      <c r="G71" s="237"/>
      <c r="H71" s="237"/>
      <c r="I71" s="237"/>
      <c r="J71" s="237"/>
      <c r="K71" s="237"/>
      <c r="L71" s="237"/>
      <c r="M71" s="237"/>
      <c r="N71" s="237"/>
      <c r="O71" s="237"/>
      <c r="P71" s="234"/>
      <c r="Q71" s="230"/>
      <c r="R71" s="226"/>
      <c r="S71" s="217"/>
      <c r="T71" s="217"/>
      <c r="U71" s="217"/>
      <c r="V71" s="217"/>
      <c r="W71" s="217"/>
      <c r="X71" s="217"/>
      <c r="Y71" s="217"/>
      <c r="Z71" s="217"/>
      <c r="AA71" s="217"/>
      <c r="AB71" s="217"/>
      <c r="AC71" s="217"/>
      <c r="AD71" s="217"/>
      <c r="AE71" s="218"/>
    </row>
    <row r="72" spans="1:31" s="219" customFormat="1" ht="15" hidden="1" x14ac:dyDescent="0.25">
      <c r="A72" s="491"/>
      <c r="B72" s="493"/>
      <c r="C72" s="233"/>
      <c r="D72" s="223"/>
      <c r="E72" s="223"/>
      <c r="F72" s="223"/>
      <c r="G72" s="223"/>
      <c r="H72" s="223"/>
      <c r="I72" s="223"/>
      <c r="J72" s="223"/>
      <c r="K72" s="223"/>
      <c r="L72" s="223"/>
      <c r="M72" s="223"/>
      <c r="N72" s="223"/>
      <c r="O72" s="223"/>
      <c r="P72" s="234"/>
      <c r="Q72" s="225"/>
      <c r="R72" s="226"/>
      <c r="S72" s="217"/>
      <c r="T72" s="217"/>
      <c r="U72" s="217"/>
      <c r="V72" s="217"/>
      <c r="W72" s="217"/>
      <c r="X72" s="217"/>
      <c r="Y72" s="217"/>
      <c r="Z72" s="217"/>
      <c r="AA72" s="217"/>
      <c r="AB72" s="217"/>
      <c r="AC72" s="217"/>
      <c r="AD72" s="217"/>
      <c r="AE72" s="218"/>
    </row>
    <row r="73" spans="1:31" s="219" customFormat="1" ht="15" hidden="1" x14ac:dyDescent="0.25">
      <c r="A73" s="492"/>
      <c r="B73" s="494"/>
      <c r="C73" s="233"/>
      <c r="D73" s="237"/>
      <c r="E73" s="237"/>
      <c r="F73" s="237"/>
      <c r="G73" s="237"/>
      <c r="H73" s="237"/>
      <c r="I73" s="237"/>
      <c r="J73" s="237"/>
      <c r="K73" s="237"/>
      <c r="L73" s="237"/>
      <c r="M73" s="237"/>
      <c r="N73" s="237"/>
      <c r="O73" s="237"/>
      <c r="P73" s="234"/>
      <c r="Q73" s="230"/>
      <c r="R73" s="226"/>
      <c r="S73" s="217"/>
      <c r="T73" s="217"/>
      <c r="U73" s="217"/>
      <c r="V73" s="217"/>
      <c r="W73" s="217"/>
      <c r="X73" s="217"/>
      <c r="Y73" s="217"/>
      <c r="Z73" s="217"/>
      <c r="AA73" s="217"/>
      <c r="AB73" s="217"/>
      <c r="AC73" s="217"/>
      <c r="AD73" s="217"/>
      <c r="AE73" s="218"/>
    </row>
    <row r="74" spans="1:31" s="219" customFormat="1" ht="15" hidden="1" x14ac:dyDescent="0.25">
      <c r="A74" s="216"/>
      <c r="B74" s="238"/>
      <c r="C74" s="239"/>
      <c r="D74" s="240">
        <f>D62+D64+D66+D68</f>
        <v>0</v>
      </c>
      <c r="E74" s="240">
        <f t="shared" ref="E74:O74" si="20">E62+E64+E66+E68</f>
        <v>0</v>
      </c>
      <c r="F74" s="240">
        <f t="shared" si="20"/>
        <v>0</v>
      </c>
      <c r="G74" s="240">
        <f t="shared" si="20"/>
        <v>0</v>
      </c>
      <c r="H74" s="240">
        <f t="shared" si="20"/>
        <v>0</v>
      </c>
      <c r="I74" s="240">
        <f t="shared" si="20"/>
        <v>0</v>
      </c>
      <c r="J74" s="240">
        <f t="shared" si="20"/>
        <v>0</v>
      </c>
      <c r="K74" s="240">
        <f t="shared" si="20"/>
        <v>1.4E-2</v>
      </c>
      <c r="L74" s="240">
        <f t="shared" si="20"/>
        <v>2.4E-2</v>
      </c>
      <c r="M74" s="240">
        <f t="shared" si="20"/>
        <v>0</v>
      </c>
      <c r="N74" s="240">
        <f t="shared" si="20"/>
        <v>0</v>
      </c>
      <c r="O74" s="240">
        <f t="shared" si="20"/>
        <v>0</v>
      </c>
      <c r="P74" s="240">
        <f>P62+P64</f>
        <v>0.03</v>
      </c>
      <c r="Q74" s="216"/>
      <c r="R74" s="226"/>
      <c r="S74" s="217"/>
      <c r="T74" s="217"/>
      <c r="U74" s="217"/>
      <c r="V74" s="217"/>
      <c r="W74" s="217"/>
      <c r="X74" s="217"/>
      <c r="Y74" s="217"/>
      <c r="Z74" s="217"/>
      <c r="AA74" s="217"/>
      <c r="AB74" s="217"/>
      <c r="AC74" s="217"/>
      <c r="AD74" s="217"/>
      <c r="AE74" s="218"/>
    </row>
    <row r="75" spans="1:31" s="219" customFormat="1" ht="15" hidden="1" x14ac:dyDescent="0.25">
      <c r="A75" s="216"/>
      <c r="B75" s="241"/>
      <c r="C75" s="242" t="s">
        <v>50</v>
      </c>
      <c r="D75" s="243">
        <f>D74*1/$B$35</f>
        <v>0</v>
      </c>
      <c r="E75" s="243">
        <f t="shared" ref="E75:O75" si="21">E74*1/$B$35</f>
        <v>0</v>
      </c>
      <c r="F75" s="243">
        <f t="shared" si="21"/>
        <v>0</v>
      </c>
      <c r="G75" s="243">
        <f t="shared" si="21"/>
        <v>0</v>
      </c>
      <c r="H75" s="243">
        <f t="shared" si="21"/>
        <v>0</v>
      </c>
      <c r="I75" s="243">
        <f t="shared" si="21"/>
        <v>0</v>
      </c>
      <c r="J75" s="243">
        <f t="shared" si="21"/>
        <v>0</v>
      </c>
      <c r="K75" s="243">
        <f t="shared" si="21"/>
        <v>0.15555555555555556</v>
      </c>
      <c r="L75" s="243">
        <f t="shared" si="21"/>
        <v>0.26666666666666666</v>
      </c>
      <c r="M75" s="243">
        <f t="shared" si="21"/>
        <v>0</v>
      </c>
      <c r="N75" s="243">
        <f t="shared" si="21"/>
        <v>0</v>
      </c>
      <c r="O75" s="243">
        <f t="shared" si="21"/>
        <v>0</v>
      </c>
      <c r="P75" s="244">
        <f>SUM(D75:O75)</f>
        <v>0.42222222222222222</v>
      </c>
      <c r="Q75" s="245"/>
      <c r="R75" s="216"/>
      <c r="S75" s="217"/>
      <c r="T75" s="217"/>
      <c r="U75" s="217"/>
      <c r="V75" s="217"/>
      <c r="W75" s="217"/>
      <c r="X75" s="217"/>
      <c r="Y75" s="217"/>
      <c r="Z75" s="217"/>
      <c r="AA75" s="217"/>
      <c r="AB75" s="217"/>
      <c r="AC75" s="217"/>
      <c r="AD75" s="217"/>
      <c r="AE75" s="218"/>
    </row>
    <row r="76" spans="1:31" s="219" customFormat="1" ht="15" hidden="1" x14ac:dyDescent="0.25">
      <c r="A76" s="245"/>
      <c r="B76" s="246"/>
      <c r="C76" s="246"/>
      <c r="D76" s="246"/>
      <c r="E76" s="246"/>
      <c r="F76" s="246"/>
      <c r="G76" s="246"/>
      <c r="H76" s="246"/>
      <c r="I76" s="246"/>
      <c r="J76" s="246"/>
      <c r="K76" s="246"/>
      <c r="L76" s="246"/>
      <c r="M76" s="246"/>
      <c r="N76" s="246"/>
      <c r="O76" s="246"/>
      <c r="P76" s="246"/>
      <c r="Q76" s="245"/>
      <c r="R76" s="245"/>
      <c r="S76" s="217"/>
      <c r="T76" s="217"/>
      <c r="U76" s="217"/>
      <c r="V76" s="217"/>
      <c r="W76" s="217"/>
      <c r="X76" s="217"/>
      <c r="Y76" s="217"/>
      <c r="Z76" s="217"/>
      <c r="AA76" s="217"/>
      <c r="AB76" s="217"/>
      <c r="AC76" s="217"/>
      <c r="AD76" s="217"/>
      <c r="AE76" s="218"/>
    </row>
    <row r="77" spans="1:31" s="219" customFormat="1" ht="15" hidden="1" x14ac:dyDescent="0.25">
      <c r="A77" s="225"/>
      <c r="B77" s="247"/>
      <c r="C77" s="247"/>
      <c r="D77" s="240">
        <f>+D61+D63+D65+D67</f>
        <v>0</v>
      </c>
      <c r="E77" s="240">
        <f t="shared" ref="E77:O77" si="22">+E61+E63+E65+E67</f>
        <v>0</v>
      </c>
      <c r="F77" s="240">
        <f t="shared" si="22"/>
        <v>0</v>
      </c>
      <c r="G77" s="240">
        <f t="shared" si="22"/>
        <v>0</v>
      </c>
      <c r="H77" s="240">
        <f t="shared" si="22"/>
        <v>0</v>
      </c>
      <c r="I77" s="240">
        <f t="shared" si="22"/>
        <v>0</v>
      </c>
      <c r="J77" s="240">
        <f t="shared" si="22"/>
        <v>0</v>
      </c>
      <c r="K77" s="240">
        <f t="shared" si="22"/>
        <v>1.4E-2</v>
      </c>
      <c r="L77" s="240">
        <f t="shared" si="22"/>
        <v>2.4E-2</v>
      </c>
      <c r="M77" s="240">
        <f t="shared" si="22"/>
        <v>2.3E-2</v>
      </c>
      <c r="N77" s="240">
        <f t="shared" si="22"/>
        <v>1.7000000000000001E-2</v>
      </c>
      <c r="O77" s="240">
        <f t="shared" si="22"/>
        <v>1.2E-2</v>
      </c>
      <c r="P77" s="240">
        <f>+P61+P63</f>
        <v>6.9999999999999993E-2</v>
      </c>
      <c r="Q77" s="225"/>
      <c r="R77" s="225"/>
      <c r="S77" s="217"/>
      <c r="T77" s="217"/>
      <c r="U77" s="217"/>
      <c r="V77" s="217"/>
      <c r="W77" s="217"/>
      <c r="X77" s="217"/>
      <c r="Y77" s="217"/>
      <c r="Z77" s="217"/>
      <c r="AA77" s="217"/>
      <c r="AB77" s="217"/>
      <c r="AC77" s="217"/>
      <c r="AD77" s="217"/>
      <c r="AE77" s="218"/>
    </row>
    <row r="78" spans="1:31" s="219" customFormat="1" ht="15" hidden="1" x14ac:dyDescent="0.25">
      <c r="A78" s="225"/>
      <c r="B78" s="247"/>
      <c r="C78" s="242" t="s">
        <v>48</v>
      </c>
      <c r="D78" s="243">
        <f>D77*1/$B$35</f>
        <v>0</v>
      </c>
      <c r="E78" s="243">
        <f t="shared" ref="E78:O78" si="23">E77*1/$B$35</f>
        <v>0</v>
      </c>
      <c r="F78" s="243">
        <f t="shared" si="23"/>
        <v>0</v>
      </c>
      <c r="G78" s="243">
        <f t="shared" si="23"/>
        <v>0</v>
      </c>
      <c r="H78" s="243">
        <f t="shared" si="23"/>
        <v>0</v>
      </c>
      <c r="I78" s="243">
        <f t="shared" si="23"/>
        <v>0</v>
      </c>
      <c r="J78" s="243">
        <f t="shared" si="23"/>
        <v>0</v>
      </c>
      <c r="K78" s="243">
        <f t="shared" si="23"/>
        <v>0.15555555555555556</v>
      </c>
      <c r="L78" s="243">
        <f t="shared" si="23"/>
        <v>0.26666666666666666</v>
      </c>
      <c r="M78" s="243">
        <f t="shared" si="23"/>
        <v>0.25555555555555554</v>
      </c>
      <c r="N78" s="243">
        <f t="shared" si="23"/>
        <v>0.18888888888888891</v>
      </c>
      <c r="O78" s="243">
        <f t="shared" si="23"/>
        <v>0.13333333333333333</v>
      </c>
      <c r="P78" s="244">
        <f>SUM(D78:O78)</f>
        <v>1</v>
      </c>
      <c r="Q78" s="225"/>
      <c r="R78" s="225"/>
      <c r="S78" s="217"/>
      <c r="T78" s="217"/>
      <c r="U78" s="217"/>
      <c r="V78" s="217"/>
      <c r="W78" s="217"/>
      <c r="X78" s="217"/>
      <c r="Y78" s="217"/>
      <c r="Z78" s="217"/>
      <c r="AA78" s="217"/>
      <c r="AB78" s="217"/>
      <c r="AC78" s="217"/>
      <c r="AD78" s="217"/>
      <c r="AE78" s="218"/>
    </row>
    <row r="79" spans="1:31" s="219" customFormat="1" ht="15" hidden="1" x14ac:dyDescent="0.25">
      <c r="A79" s="217"/>
      <c r="Q79" s="217"/>
      <c r="R79" s="217"/>
      <c r="S79" s="217"/>
      <c r="T79" s="217"/>
      <c r="U79" s="217"/>
      <c r="V79" s="217"/>
      <c r="W79" s="217"/>
      <c r="X79" s="217"/>
      <c r="Y79" s="217"/>
      <c r="Z79" s="217"/>
      <c r="AA79" s="217"/>
      <c r="AB79" s="217"/>
      <c r="AC79" s="217"/>
      <c r="AD79" s="217"/>
      <c r="AE79" s="218"/>
    </row>
    <row r="80" spans="1:31" s="219" customFormat="1" ht="15" hidden="1" x14ac:dyDescent="0.25">
      <c r="A80" s="217"/>
      <c r="Q80" s="217"/>
      <c r="R80" s="217"/>
      <c r="S80" s="217"/>
      <c r="T80" s="217"/>
      <c r="U80" s="217"/>
      <c r="V80" s="217"/>
      <c r="W80" s="217"/>
      <c r="X80" s="217"/>
      <c r="Y80" s="217"/>
      <c r="Z80" s="217"/>
      <c r="AA80" s="217"/>
      <c r="AB80" s="217"/>
      <c r="AC80" s="217"/>
      <c r="AD80" s="217"/>
      <c r="AE80" s="218"/>
    </row>
    <row r="81" spans="1:31" s="219" customFormat="1" ht="15" hidden="1" x14ac:dyDescent="0.25">
      <c r="A81" s="217"/>
      <c r="Q81" s="217"/>
      <c r="R81" s="217"/>
      <c r="S81" s="217"/>
      <c r="T81" s="217"/>
      <c r="U81" s="217"/>
      <c r="V81" s="217"/>
      <c r="W81" s="217"/>
      <c r="X81" s="217"/>
      <c r="Y81" s="217"/>
      <c r="Z81" s="217"/>
      <c r="AA81" s="217"/>
      <c r="AB81" s="217"/>
      <c r="AC81" s="217"/>
      <c r="AD81" s="217"/>
      <c r="AE81" s="218"/>
    </row>
    <row r="82" spans="1:31" hidden="1" x14ac:dyDescent="0.25">
      <c r="Q82" s="215"/>
      <c r="R82" s="215"/>
      <c r="S82" s="215"/>
      <c r="T82" s="215"/>
      <c r="U82" s="215"/>
      <c r="V82" s="215"/>
      <c r="W82" s="215"/>
      <c r="X82" s="215"/>
      <c r="Y82" s="215"/>
      <c r="Z82" s="215"/>
      <c r="AA82" s="215"/>
      <c r="AB82" s="215"/>
      <c r="AC82" s="215"/>
      <c r="AD82" s="215"/>
      <c r="AE82" s="215"/>
    </row>
    <row r="83" spans="1:31" hidden="1" x14ac:dyDescent="0.25">
      <c r="Q83" s="215"/>
      <c r="R83" s="215"/>
      <c r="S83" s="215"/>
      <c r="T83" s="215"/>
      <c r="U83" s="215"/>
      <c r="V83" s="215"/>
      <c r="W83" s="215"/>
      <c r="X83" s="215"/>
      <c r="Y83" s="215"/>
      <c r="Z83" s="215"/>
      <c r="AA83" s="215"/>
      <c r="AB83" s="215"/>
      <c r="AC83" s="215"/>
      <c r="AD83" s="215"/>
      <c r="AE83" s="215"/>
    </row>
    <row r="84" spans="1:31" hidden="1" x14ac:dyDescent="0.25">
      <c r="Q84" s="215"/>
      <c r="R84" s="215"/>
      <c r="S84" s="215"/>
      <c r="T84" s="215"/>
      <c r="U84" s="215"/>
      <c r="V84" s="215"/>
      <c r="W84" s="215"/>
      <c r="X84" s="215"/>
      <c r="Y84" s="215"/>
      <c r="Z84" s="215"/>
      <c r="AA84" s="215"/>
      <c r="AB84" s="215"/>
      <c r="AC84" s="215"/>
      <c r="AD84" s="215"/>
      <c r="AE84" s="215"/>
    </row>
    <row r="85" spans="1:31" hidden="1" x14ac:dyDescent="0.25"/>
    <row r="86" spans="1:31" hidden="1" x14ac:dyDescent="0.25"/>
    <row r="87" spans="1:31" hidden="1" x14ac:dyDescent="0.25"/>
    <row r="88" spans="1:31" hidden="1" x14ac:dyDescent="0.25"/>
    <row r="89" spans="1:31" hidden="1" x14ac:dyDescent="0.25"/>
    <row r="90" spans="1:31" hidden="1" x14ac:dyDescent="0.25"/>
    <row r="91" spans="1:31" hidden="1" x14ac:dyDescent="0.25"/>
    <row r="92" spans="1:31" hidden="1" x14ac:dyDescent="0.25"/>
    <row r="93" spans="1:31" hidden="1" x14ac:dyDescent="0.25"/>
    <row r="94" spans="1:31" hidden="1" x14ac:dyDescent="0.25"/>
    <row r="95" spans="1:31" hidden="1" x14ac:dyDescent="0.25"/>
    <row r="96" spans="1:3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sheetData>
  <mergeCells count="98">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A59:A60"/>
    <mergeCell ref="B59:B60"/>
    <mergeCell ref="C59:P59"/>
    <mergeCell ref="A61:A62"/>
    <mergeCell ref="B61:B62"/>
    <mergeCell ref="A70:A71"/>
    <mergeCell ref="B70:B71"/>
    <mergeCell ref="A72:A73"/>
    <mergeCell ref="B72:B73"/>
    <mergeCell ref="A63:A64"/>
    <mergeCell ref="B63:B64"/>
    <mergeCell ref="A65:A66"/>
    <mergeCell ref="B65:B66"/>
    <mergeCell ref="A67:A68"/>
    <mergeCell ref="B67:B68"/>
  </mergeCells>
  <dataValidations count="3">
    <dataValidation type="textLength" operator="lessThanOrEqual" allowBlank="1" showInputMessage="1" showErrorMessage="1" errorTitle="Máximo 2.000 caracteres" error="Máximo 2.000 caracteres" sqref="Q45 Q43 Q47 Q41" xr:uid="{C4E3822F-1E97-4964-AAB3-7AAEB8C5112A}">
      <formula1>2000</formula1>
    </dataValidation>
    <dataValidation type="textLength" operator="lessThanOrEqual" allowBlank="1" showInputMessage="1" showErrorMessage="1" errorTitle="Máximo 2.000 caracteres" error="Máximo 2.000 caracteres" promptTitle="2.000 caracteres" sqref="Q30:Q31" xr:uid="{3A7B6EE1-E059-4DF4-99C5-E9E6D1E9AE99}">
      <formula1>2000</formula1>
    </dataValidation>
    <dataValidation type="list" allowBlank="1" showInputMessage="1" showErrorMessage="1" sqref="C7" xr:uid="{D97B1E49-1D78-4D4B-9CCB-32B006044765}">
      <formula1>$B$21:$M$21</formula1>
    </dataValidation>
  </dataValidations>
  <hyperlinks>
    <hyperlink ref="Y41" r:id="rId1" display="https://secretariadistritald.sharepoint.com/:f:/s/BogotCaminaSegura/Eu4N-xyBKChHnAQz69FsUWEBCRswyizXUXS7hOc1BJ4Y4Q?e=vksH3M_x000a__x000a_Septiembre_x000a_https://secretariadistritald.sharepoint.com/:f:/s/BogotCaminaSegura/EqABrL0MqthBgWAQStdJpFsBPzAzK9oJ8GUnO_ECgrPQ2w?e=8H" xr:uid="{6903BA29-715A-45A6-9D6A-3B717B3C369D}"/>
    <hyperlink ref="Y45:AE46" r:id="rId2" display="https://secretariadistritald.sharepoint.com/:f:/s/BogotCaminaSegura/EjGG13hay6lOve_c8QI_XWgBWLH24DZkBba71WXCGCd55g?e=F2b1OU" xr:uid="{E9A722CB-DA29-4417-AA8A-B6219896AAC9}"/>
    <hyperlink ref="Y47:AE48" r:id="rId3" display="https://secretariadistritald.sharepoint.com/:f:/s/BogotCaminaSegura/ErDpu_tkZTtJuO_72kGsfkYBz1rUtW9H2n2gW8wmfE6z_Q?e=WUpOxR" xr:uid="{D2F37734-01FF-421D-8FBD-27926A3EA225}"/>
    <hyperlink ref="Y45" r:id="rId4" xr:uid="{3628524E-BA47-46EB-8C93-A0D4B5064802}"/>
    <hyperlink ref="Y47" r:id="rId5" xr:uid="{2E90ABA0-AB16-448B-9522-BFF396F02F47}"/>
  </hyperlinks>
  <printOptions horizontalCentered="1"/>
  <pageMargins left="0.39370078740157483" right="0.39370078740157483" top="0.39370078740157483" bottom="0.39370078740157483" header="0" footer="0"/>
  <pageSetup scale="19" orientation="landscape" r:id="rId6"/>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3A07AC08-D3D1-45CE-8BF3-8988E15C5A31}">
          <x14:formula1>
            <xm:f>listas!$D$2:$D$15</xm:f>
          </x14:formula1>
          <xm:sqref>C11:AE13</xm:sqref>
        </x14:dataValidation>
        <x14:dataValidation type="list" allowBlank="1" showInputMessage="1" showErrorMessage="1" xr:uid="{638B8189-B645-4A2D-8083-A07906DC4FE5}">
          <x14:formula1>
            <xm:f>listas!$A$2:$A$6</xm:f>
          </x14:formula1>
          <xm:sqref>C15:K15</xm:sqref>
        </x14:dataValidation>
        <x14:dataValidation type="list" allowBlank="1" showInputMessage="1" showErrorMessage="1" xr:uid="{6FB476BE-9989-4704-8C38-25037CCC9B69}">
          <x14:formula1>
            <xm:f>listas!$B$2:$B$8</xm:f>
          </x14:formula1>
          <xm:sqref>R15:X15</xm:sqref>
        </x14:dataValidation>
        <x14:dataValidation type="list" allowBlank="1" showInputMessage="1" showErrorMessage="1" xr:uid="{B93B40AD-989E-4023-A544-D44757557B52}">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BG23"/>
  <sheetViews>
    <sheetView tabSelected="1" view="pageBreakPreview" topLeftCell="A11" zoomScale="60" zoomScaleNormal="60" workbookViewId="0">
      <selection activeCell="A27" sqref="A27:AE27"/>
    </sheetView>
  </sheetViews>
  <sheetFormatPr baseColWidth="10" defaultColWidth="10.85546875" defaultRowHeight="31.5" customHeight="1" x14ac:dyDescent="0.25"/>
  <cols>
    <col min="1" max="1" width="15" style="15" customWidth="1"/>
    <col min="2" max="2" width="8.28515625" style="15" customWidth="1"/>
    <col min="3" max="3" width="11.42578125" style="15" customWidth="1"/>
    <col min="4" max="4" width="29.28515625" style="15" customWidth="1"/>
    <col min="5" max="5" width="24" style="15" customWidth="1"/>
    <col min="6" max="6" width="17.28515625" style="15" customWidth="1"/>
    <col min="7" max="7" width="14.7109375" style="27" customWidth="1"/>
    <col min="8" max="8" width="20.7109375" style="27" customWidth="1"/>
    <col min="9" max="9" width="10.5703125" style="15" customWidth="1"/>
    <col min="10" max="11" width="21.140625" style="15" hidden="1" customWidth="1"/>
    <col min="12" max="15" width="8.7109375" style="15" customWidth="1"/>
    <col min="16" max="16" width="22.28515625" style="15" customWidth="1"/>
    <col min="17" max="17" width="22.42578125" style="15" customWidth="1"/>
    <col min="18" max="28" width="7.42578125" style="27" customWidth="1"/>
    <col min="29" max="29" width="5.85546875" style="27" customWidth="1"/>
    <col min="30" max="40" width="8.140625" style="27" customWidth="1"/>
    <col min="41" max="41" width="5.85546875" style="27" customWidth="1"/>
    <col min="42" max="42" width="11.28515625" style="27" customWidth="1"/>
    <col min="43" max="43" width="11.28515625" style="175" customWidth="1"/>
    <col min="44" max="44" width="53.5703125" style="15" customWidth="1"/>
    <col min="45" max="45" width="45" style="15" customWidth="1"/>
    <col min="46" max="46" width="50.28515625" style="15" customWidth="1"/>
    <col min="47" max="48" width="45" style="15" customWidth="1"/>
    <col min="49" max="49" width="10.85546875" style="15"/>
    <col min="50" max="50" width="22.28515625" style="15" customWidth="1"/>
    <col min="51" max="57" width="10.85546875" style="15"/>
    <col min="58" max="58" width="9" style="15" customWidth="1"/>
    <col min="59" max="16384" width="10.85546875" style="15"/>
  </cols>
  <sheetData>
    <row r="1" spans="1:59" ht="31.5" customHeight="1" thickBot="1" x14ac:dyDescent="0.3">
      <c r="A1" s="735" t="s">
        <v>121</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7"/>
      <c r="AU1" s="731" t="s">
        <v>122</v>
      </c>
      <c r="AV1" s="732"/>
    </row>
    <row r="2" spans="1:59" ht="31.5" customHeight="1" thickBot="1" x14ac:dyDescent="0.3">
      <c r="A2" s="738" t="s">
        <v>123</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c r="AT2" s="740"/>
      <c r="AU2" s="528" t="s">
        <v>124</v>
      </c>
      <c r="AV2" s="733"/>
    </row>
    <row r="3" spans="1:59" ht="31.5" customHeight="1" thickBot="1" x14ac:dyDescent="0.3">
      <c r="A3" s="741" t="s">
        <v>0</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3"/>
      <c r="AU3" s="528" t="s">
        <v>126</v>
      </c>
      <c r="AV3" s="733"/>
    </row>
    <row r="4" spans="1:59" ht="31.5" customHeight="1" x14ac:dyDescent="0.25">
      <c r="A4" s="735"/>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7"/>
      <c r="AU4" s="734" t="s">
        <v>252</v>
      </c>
      <c r="AV4" s="734"/>
    </row>
    <row r="5" spans="1:59" ht="31.5" customHeight="1" x14ac:dyDescent="0.25">
      <c r="A5" s="723" t="s">
        <v>253</v>
      </c>
      <c r="B5" s="724"/>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5"/>
      <c r="AD5" s="711" t="s">
        <v>132</v>
      </c>
      <c r="AE5" s="712"/>
      <c r="AF5" s="712"/>
      <c r="AG5" s="712"/>
      <c r="AH5" s="712"/>
      <c r="AI5" s="712"/>
      <c r="AJ5" s="712"/>
      <c r="AK5" s="712"/>
      <c r="AL5" s="712"/>
      <c r="AM5" s="712"/>
      <c r="AN5" s="712"/>
      <c r="AO5" s="712"/>
      <c r="AP5" s="712"/>
      <c r="AQ5" s="713"/>
      <c r="AR5" s="720" t="s">
        <v>104</v>
      </c>
      <c r="AS5" s="720" t="s">
        <v>106</v>
      </c>
      <c r="AT5" s="720" t="s">
        <v>108</v>
      </c>
      <c r="AU5" s="720" t="s">
        <v>110</v>
      </c>
      <c r="AV5" s="720" t="s">
        <v>254</v>
      </c>
    </row>
    <row r="6" spans="1:59" ht="31.5" customHeight="1" x14ac:dyDescent="0.25">
      <c r="A6" s="726" t="s">
        <v>6</v>
      </c>
      <c r="B6" s="727">
        <v>45568</v>
      </c>
      <c r="C6" s="728"/>
      <c r="D6" s="82" t="s">
        <v>129</v>
      </c>
      <c r="E6" s="83"/>
      <c r="F6" s="84"/>
      <c r="G6" s="159"/>
      <c r="H6" s="80"/>
      <c r="I6" s="85"/>
      <c r="J6" s="85"/>
      <c r="K6" s="85"/>
      <c r="L6" s="85"/>
      <c r="M6" s="85"/>
      <c r="N6" s="85"/>
      <c r="O6" s="85"/>
      <c r="P6" s="85"/>
      <c r="Q6" s="85"/>
      <c r="R6" s="80"/>
      <c r="S6" s="80"/>
      <c r="T6" s="80"/>
      <c r="U6" s="80"/>
      <c r="V6" s="80"/>
      <c r="W6" s="80"/>
      <c r="X6" s="80"/>
      <c r="Y6" s="80"/>
      <c r="Z6" s="80"/>
      <c r="AA6" s="80"/>
      <c r="AB6" s="80"/>
      <c r="AC6" s="416"/>
      <c r="AD6" s="714"/>
      <c r="AE6" s="715"/>
      <c r="AF6" s="715"/>
      <c r="AG6" s="715"/>
      <c r="AH6" s="715"/>
      <c r="AI6" s="715"/>
      <c r="AJ6" s="715"/>
      <c r="AK6" s="715"/>
      <c r="AL6" s="715"/>
      <c r="AM6" s="715"/>
      <c r="AN6" s="715"/>
      <c r="AO6" s="715"/>
      <c r="AP6" s="715"/>
      <c r="AQ6" s="716"/>
      <c r="AR6" s="721"/>
      <c r="AS6" s="721"/>
      <c r="AT6" s="721"/>
      <c r="AU6" s="721"/>
      <c r="AV6" s="721"/>
    </row>
    <row r="7" spans="1:59" ht="31.5" customHeight="1" x14ac:dyDescent="0.25">
      <c r="A7" s="726"/>
      <c r="B7" s="728"/>
      <c r="C7" s="728"/>
      <c r="D7" s="82" t="s">
        <v>130</v>
      </c>
      <c r="E7" s="83"/>
      <c r="F7" s="87"/>
      <c r="G7" s="160"/>
      <c r="H7" s="86"/>
      <c r="I7" s="88"/>
      <c r="J7" s="88"/>
      <c r="K7" s="88"/>
      <c r="L7" s="88"/>
      <c r="M7" s="88"/>
      <c r="N7" s="88"/>
      <c r="O7" s="88"/>
      <c r="P7" s="88"/>
      <c r="Q7" s="88"/>
      <c r="R7" s="86"/>
      <c r="S7" s="86"/>
      <c r="T7" s="86"/>
      <c r="U7" s="86"/>
      <c r="V7" s="86"/>
      <c r="W7" s="86"/>
      <c r="X7" s="86"/>
      <c r="Y7" s="86"/>
      <c r="Z7" s="86"/>
      <c r="AA7" s="86"/>
      <c r="AB7" s="86"/>
      <c r="AC7" s="429"/>
      <c r="AD7" s="714"/>
      <c r="AE7" s="715"/>
      <c r="AF7" s="715"/>
      <c r="AG7" s="715"/>
      <c r="AH7" s="715"/>
      <c r="AI7" s="715"/>
      <c r="AJ7" s="715"/>
      <c r="AK7" s="715"/>
      <c r="AL7" s="715"/>
      <c r="AM7" s="715"/>
      <c r="AN7" s="715"/>
      <c r="AO7" s="715"/>
      <c r="AP7" s="715"/>
      <c r="AQ7" s="716"/>
      <c r="AR7" s="721"/>
      <c r="AS7" s="721"/>
      <c r="AT7" s="721"/>
      <c r="AU7" s="721"/>
      <c r="AV7" s="721"/>
    </row>
    <row r="8" spans="1:59" ht="31.5" customHeight="1" x14ac:dyDescent="0.25">
      <c r="A8" s="726"/>
      <c r="B8" s="728"/>
      <c r="C8" s="728"/>
      <c r="D8" s="82" t="s">
        <v>132</v>
      </c>
      <c r="E8" s="83" t="s">
        <v>131</v>
      </c>
      <c r="F8" s="89"/>
      <c r="G8" s="161"/>
      <c r="H8" s="91"/>
      <c r="I8" s="90"/>
      <c r="J8" s="90"/>
      <c r="K8" s="90"/>
      <c r="L8" s="90"/>
      <c r="M8" s="90"/>
      <c r="N8" s="90"/>
      <c r="O8" s="90"/>
      <c r="P8" s="90"/>
      <c r="Q8" s="90"/>
      <c r="R8" s="91"/>
      <c r="S8" s="91"/>
      <c r="T8" s="91"/>
      <c r="U8" s="91"/>
      <c r="V8" s="91"/>
      <c r="W8" s="91"/>
      <c r="X8" s="91"/>
      <c r="Y8" s="91"/>
      <c r="Z8" s="91"/>
      <c r="AA8" s="91"/>
      <c r="AB8" s="91"/>
      <c r="AC8" s="415"/>
      <c r="AD8" s="714"/>
      <c r="AE8" s="715"/>
      <c r="AF8" s="715"/>
      <c r="AG8" s="715"/>
      <c r="AH8" s="715"/>
      <c r="AI8" s="715"/>
      <c r="AJ8" s="715"/>
      <c r="AK8" s="715"/>
      <c r="AL8" s="715"/>
      <c r="AM8" s="715"/>
      <c r="AN8" s="715"/>
      <c r="AO8" s="715"/>
      <c r="AP8" s="715"/>
      <c r="AQ8" s="716"/>
      <c r="AR8" s="721"/>
      <c r="AS8" s="721"/>
      <c r="AT8" s="721"/>
      <c r="AU8" s="721"/>
      <c r="AV8" s="721"/>
    </row>
    <row r="9" spans="1:59" ht="31.5" customHeight="1" x14ac:dyDescent="0.25">
      <c r="A9" s="750" t="s">
        <v>255</v>
      </c>
      <c r="B9" s="751"/>
      <c r="C9" s="751"/>
      <c r="D9" s="752" t="s">
        <v>256</v>
      </c>
      <c r="E9" s="752"/>
      <c r="F9" s="752"/>
      <c r="G9" s="752"/>
      <c r="H9" s="752"/>
      <c r="I9" s="752"/>
      <c r="J9" s="752"/>
      <c r="K9" s="752"/>
      <c r="L9" s="752"/>
      <c r="M9" s="752"/>
      <c r="N9" s="752"/>
      <c r="O9" s="752"/>
      <c r="P9" s="752"/>
      <c r="Q9" s="752"/>
      <c r="R9" s="752"/>
      <c r="S9" s="752"/>
      <c r="T9" s="752"/>
      <c r="U9" s="752"/>
      <c r="V9" s="752"/>
      <c r="W9" s="752"/>
      <c r="X9" s="752"/>
      <c r="Y9" s="752"/>
      <c r="Z9" s="752"/>
      <c r="AA9" s="752"/>
      <c r="AB9" s="752"/>
      <c r="AC9" s="752"/>
      <c r="AD9" s="714"/>
      <c r="AE9" s="715"/>
      <c r="AF9" s="715"/>
      <c r="AG9" s="715"/>
      <c r="AH9" s="715"/>
      <c r="AI9" s="715"/>
      <c r="AJ9" s="715"/>
      <c r="AK9" s="715"/>
      <c r="AL9" s="715"/>
      <c r="AM9" s="715"/>
      <c r="AN9" s="715"/>
      <c r="AO9" s="715"/>
      <c r="AP9" s="715"/>
      <c r="AQ9" s="716"/>
      <c r="AR9" s="721"/>
      <c r="AS9" s="721"/>
      <c r="AT9" s="721"/>
      <c r="AU9" s="721"/>
      <c r="AV9" s="721"/>
    </row>
    <row r="10" spans="1:59" ht="31.5" customHeight="1" x14ac:dyDescent="0.25">
      <c r="A10" s="750" t="s">
        <v>257</v>
      </c>
      <c r="B10" s="751"/>
      <c r="C10" s="751"/>
      <c r="D10" s="752" t="s">
        <v>134</v>
      </c>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17"/>
      <c r="AE10" s="718"/>
      <c r="AF10" s="718"/>
      <c r="AG10" s="718"/>
      <c r="AH10" s="718"/>
      <c r="AI10" s="718"/>
      <c r="AJ10" s="718"/>
      <c r="AK10" s="718"/>
      <c r="AL10" s="718"/>
      <c r="AM10" s="718"/>
      <c r="AN10" s="718"/>
      <c r="AO10" s="718"/>
      <c r="AP10" s="718"/>
      <c r="AQ10" s="719"/>
      <c r="AR10" s="721"/>
      <c r="AS10" s="721"/>
      <c r="AT10" s="721"/>
      <c r="AU10" s="721"/>
      <c r="AV10" s="721"/>
    </row>
    <row r="11" spans="1:59" ht="63.6" customHeight="1" x14ac:dyDescent="0.25">
      <c r="A11" s="750" t="s">
        <v>74</v>
      </c>
      <c r="B11" s="751"/>
      <c r="C11" s="751"/>
      <c r="D11" s="720" t="s">
        <v>258</v>
      </c>
      <c r="E11" s="720" t="s">
        <v>78</v>
      </c>
      <c r="F11" s="720" t="s">
        <v>80</v>
      </c>
      <c r="G11" s="720" t="s">
        <v>82</v>
      </c>
      <c r="H11" s="720" t="s">
        <v>259</v>
      </c>
      <c r="I11" s="720" t="s">
        <v>86</v>
      </c>
      <c r="J11" s="720" t="s">
        <v>88</v>
      </c>
      <c r="K11" s="720" t="s">
        <v>90</v>
      </c>
      <c r="L11" s="729" t="s">
        <v>92</v>
      </c>
      <c r="M11" s="730"/>
      <c r="N11" s="730"/>
      <c r="O11" s="730"/>
      <c r="P11" s="720" t="s">
        <v>94</v>
      </c>
      <c r="Q11" s="720" t="s">
        <v>96</v>
      </c>
      <c r="R11" s="723" t="s">
        <v>98</v>
      </c>
      <c r="S11" s="724"/>
      <c r="T11" s="724"/>
      <c r="U11" s="724"/>
      <c r="V11" s="724"/>
      <c r="W11" s="724"/>
      <c r="X11" s="724"/>
      <c r="Y11" s="724"/>
      <c r="Z11" s="724"/>
      <c r="AA11" s="724"/>
      <c r="AB11" s="724"/>
      <c r="AC11" s="725"/>
      <c r="AD11" s="723" t="s">
        <v>100</v>
      </c>
      <c r="AE11" s="724"/>
      <c r="AF11" s="724"/>
      <c r="AG11" s="724"/>
      <c r="AH11" s="724"/>
      <c r="AI11" s="724"/>
      <c r="AJ11" s="724"/>
      <c r="AK11" s="724"/>
      <c r="AL11" s="724"/>
      <c r="AM11" s="724"/>
      <c r="AN11" s="724"/>
      <c r="AO11" s="725"/>
      <c r="AP11" s="750" t="s">
        <v>102</v>
      </c>
      <c r="AQ11" s="756"/>
      <c r="AR11" s="721"/>
      <c r="AS11" s="721"/>
      <c r="AT11" s="721"/>
      <c r="AU11" s="721"/>
      <c r="AV11" s="721"/>
    </row>
    <row r="12" spans="1:59" ht="95.45" customHeight="1" x14ac:dyDescent="0.25">
      <c r="A12" s="81" t="s">
        <v>260</v>
      </c>
      <c r="B12" s="81" t="s">
        <v>261</v>
      </c>
      <c r="C12" s="81" t="s">
        <v>262</v>
      </c>
      <c r="D12" s="721"/>
      <c r="E12" s="722"/>
      <c r="F12" s="722"/>
      <c r="G12" s="722"/>
      <c r="H12" s="722"/>
      <c r="I12" s="722"/>
      <c r="J12" s="722"/>
      <c r="K12" s="722"/>
      <c r="L12" s="430">
        <v>2024</v>
      </c>
      <c r="M12" s="430">
        <v>2025</v>
      </c>
      <c r="N12" s="430">
        <v>2026</v>
      </c>
      <c r="O12" s="430">
        <v>2027</v>
      </c>
      <c r="P12" s="722"/>
      <c r="Q12" s="722"/>
      <c r="R12" s="92" t="s">
        <v>141</v>
      </c>
      <c r="S12" s="92" t="s">
        <v>142</v>
      </c>
      <c r="T12" s="92" t="s">
        <v>143</v>
      </c>
      <c r="U12" s="92" t="s">
        <v>144</v>
      </c>
      <c r="V12" s="92" t="s">
        <v>145</v>
      </c>
      <c r="W12" s="92" t="s">
        <v>146</v>
      </c>
      <c r="X12" s="92" t="s">
        <v>147</v>
      </c>
      <c r="Y12" s="92" t="s">
        <v>148</v>
      </c>
      <c r="Z12" s="92" t="s">
        <v>128</v>
      </c>
      <c r="AA12" s="92" t="s">
        <v>149</v>
      </c>
      <c r="AB12" s="92" t="s">
        <v>150</v>
      </c>
      <c r="AC12" s="92" t="s">
        <v>151</v>
      </c>
      <c r="AD12" s="92" t="s">
        <v>141</v>
      </c>
      <c r="AE12" s="92" t="s">
        <v>142</v>
      </c>
      <c r="AF12" s="92" t="s">
        <v>143</v>
      </c>
      <c r="AG12" s="92" t="s">
        <v>144</v>
      </c>
      <c r="AH12" s="92" t="s">
        <v>145</v>
      </c>
      <c r="AI12" s="92" t="s">
        <v>146</v>
      </c>
      <c r="AJ12" s="92" t="s">
        <v>147</v>
      </c>
      <c r="AK12" s="92" t="s">
        <v>148</v>
      </c>
      <c r="AL12" s="92" t="s">
        <v>128</v>
      </c>
      <c r="AM12" s="92" t="s">
        <v>149</v>
      </c>
      <c r="AN12" s="92" t="s">
        <v>150</v>
      </c>
      <c r="AO12" s="92" t="s">
        <v>151</v>
      </c>
      <c r="AP12" s="81" t="s">
        <v>263</v>
      </c>
      <c r="AQ12" s="93" t="s">
        <v>264</v>
      </c>
      <c r="AR12" s="722"/>
      <c r="AS12" s="722"/>
      <c r="AT12" s="722"/>
      <c r="AU12" s="722"/>
      <c r="AV12" s="722"/>
    </row>
    <row r="13" spans="1:59" s="150" customFormat="1" ht="178.15" customHeight="1" x14ac:dyDescent="0.25">
      <c r="A13" s="747" t="s">
        <v>136</v>
      </c>
      <c r="B13" s="83">
        <v>11</v>
      </c>
      <c r="C13" s="147"/>
      <c r="D13" s="147" t="s">
        <v>265</v>
      </c>
      <c r="E13" s="147" t="s">
        <v>266</v>
      </c>
      <c r="F13" s="147" t="s">
        <v>267</v>
      </c>
      <c r="G13" s="165" t="s">
        <v>268</v>
      </c>
      <c r="H13" s="83">
        <v>11000</v>
      </c>
      <c r="I13" s="146" t="s">
        <v>269</v>
      </c>
      <c r="J13" s="147" t="s">
        <v>270</v>
      </c>
      <c r="K13" s="147" t="s">
        <v>271</v>
      </c>
      <c r="L13" s="420">
        <v>1500</v>
      </c>
      <c r="M13" s="420">
        <v>3000</v>
      </c>
      <c r="N13" s="420">
        <v>3000</v>
      </c>
      <c r="O13" s="420">
        <v>3500</v>
      </c>
      <c r="P13" s="147" t="s">
        <v>272</v>
      </c>
      <c r="Q13" s="147" t="s">
        <v>273</v>
      </c>
      <c r="R13" s="83">
        <v>0</v>
      </c>
      <c r="S13" s="83">
        <v>0</v>
      </c>
      <c r="T13" s="83">
        <v>0</v>
      </c>
      <c r="U13" s="83">
        <v>0</v>
      </c>
      <c r="V13" s="83">
        <v>0</v>
      </c>
      <c r="W13" s="83">
        <v>0</v>
      </c>
      <c r="X13" s="83">
        <v>0</v>
      </c>
      <c r="Y13" s="83">
        <v>0</v>
      </c>
      <c r="Z13" s="83">
        <v>350</v>
      </c>
      <c r="AA13" s="83">
        <v>350</v>
      </c>
      <c r="AB13" s="83">
        <v>400</v>
      </c>
      <c r="AC13" s="83">
        <v>400</v>
      </c>
      <c r="AD13" s="83">
        <v>0</v>
      </c>
      <c r="AE13" s="83">
        <v>0</v>
      </c>
      <c r="AF13" s="83">
        <v>0</v>
      </c>
      <c r="AG13" s="83">
        <v>0</v>
      </c>
      <c r="AH13" s="83">
        <v>0</v>
      </c>
      <c r="AI13" s="83">
        <v>0</v>
      </c>
      <c r="AJ13" s="83">
        <v>0</v>
      </c>
      <c r="AK13" s="83">
        <v>0</v>
      </c>
      <c r="AL13" s="83">
        <v>184</v>
      </c>
      <c r="AM13" s="83"/>
      <c r="AN13" s="83"/>
      <c r="AO13" s="83"/>
      <c r="AP13" s="83">
        <f>SUM(AD13:AO13)</f>
        <v>184</v>
      </c>
      <c r="AQ13" s="174" cm="1">
        <f t="array" ref="AQ13">+SUM(AD13:AO13/L13)</f>
        <v>0.12266666666666666</v>
      </c>
      <c r="AR13" s="278" t="s">
        <v>274</v>
      </c>
      <c r="AS13" s="149" t="s">
        <v>213</v>
      </c>
      <c r="AT13" s="149" t="s">
        <v>275</v>
      </c>
      <c r="AU13" s="149" t="s">
        <v>276</v>
      </c>
      <c r="AV13" s="147" t="s">
        <v>277</v>
      </c>
    </row>
    <row r="14" spans="1:59" s="150" customFormat="1" ht="220.9" customHeight="1" x14ac:dyDescent="0.25">
      <c r="A14" s="748"/>
      <c r="B14" s="147"/>
      <c r="C14" s="155"/>
      <c r="D14" s="158" t="s">
        <v>278</v>
      </c>
      <c r="E14" s="156" t="s">
        <v>279</v>
      </c>
      <c r="F14" s="146" t="s">
        <v>280</v>
      </c>
      <c r="G14" s="165" t="s">
        <v>268</v>
      </c>
      <c r="H14" s="165">
        <v>9</v>
      </c>
      <c r="I14" s="146" t="s">
        <v>269</v>
      </c>
      <c r="J14" s="146" t="s">
        <v>281</v>
      </c>
      <c r="K14" s="146" t="s">
        <v>271</v>
      </c>
      <c r="L14" s="431">
        <v>3</v>
      </c>
      <c r="M14" s="431">
        <v>3</v>
      </c>
      <c r="N14" s="431">
        <v>2</v>
      </c>
      <c r="O14" s="431">
        <v>1</v>
      </c>
      <c r="P14" s="148" t="s">
        <v>272</v>
      </c>
      <c r="Q14" s="148" t="s">
        <v>273</v>
      </c>
      <c r="R14" s="83">
        <v>0</v>
      </c>
      <c r="S14" s="83">
        <v>0</v>
      </c>
      <c r="T14" s="83">
        <v>0</v>
      </c>
      <c r="U14" s="83">
        <v>0</v>
      </c>
      <c r="V14" s="83">
        <v>0</v>
      </c>
      <c r="W14" s="83">
        <v>0</v>
      </c>
      <c r="X14" s="83">
        <v>0</v>
      </c>
      <c r="Y14" s="83">
        <v>0</v>
      </c>
      <c r="Z14" s="83">
        <v>1</v>
      </c>
      <c r="AA14" s="83">
        <v>1</v>
      </c>
      <c r="AB14" s="83">
        <v>1</v>
      </c>
      <c r="AC14" s="83">
        <v>0</v>
      </c>
      <c r="AD14" s="173">
        <f>+Meta.1!D36</f>
        <v>0</v>
      </c>
      <c r="AE14" s="173">
        <f>+Meta.1!E36</f>
        <v>0</v>
      </c>
      <c r="AF14" s="173">
        <f>+Meta.1!F36</f>
        <v>0</v>
      </c>
      <c r="AG14" s="173">
        <f>+Meta.1!G36</f>
        <v>0</v>
      </c>
      <c r="AH14" s="173">
        <f>+Meta.1!H36</f>
        <v>0</v>
      </c>
      <c r="AI14" s="173">
        <f>+Meta.1!I36</f>
        <v>0</v>
      </c>
      <c r="AJ14" s="173">
        <f>+Meta.1!J36</f>
        <v>0</v>
      </c>
      <c r="AK14" s="173">
        <f>+Meta.1!K36</f>
        <v>0.56999999999999995</v>
      </c>
      <c r="AL14" s="173">
        <f>+Meta.1!L36</f>
        <v>1.0349999999999997</v>
      </c>
      <c r="AM14" s="173">
        <f>+Meta.1!M36</f>
        <v>0</v>
      </c>
      <c r="AN14" s="173">
        <f>+Meta.1!N36</f>
        <v>0</v>
      </c>
      <c r="AO14" s="173">
        <f>+Meta.1!O36</f>
        <v>0</v>
      </c>
      <c r="AP14" s="83">
        <f t="shared" ref="AP14:AP19" si="0">IF(G14="suma",SUM(AD14:AO14),IF(G14="creciente",MAX(AD14:AO14),IF(G14="DECRECIENTE",O14-MIN(AD14:AO14),IF(G14="CONSTANTE",AVERAGE(AD14:AO14)," "))))</f>
        <v>1.6049999999999995</v>
      </c>
      <c r="AQ14" s="174" cm="1">
        <f t="array" ref="AQ14">+SUM(AD14:AO14/L14)</f>
        <v>0.53499999999999992</v>
      </c>
      <c r="AR14" s="275" t="s">
        <v>282</v>
      </c>
      <c r="AS14" s="276" t="s">
        <v>283</v>
      </c>
      <c r="AT14" s="277" t="s">
        <v>284</v>
      </c>
      <c r="AU14" s="149" t="s">
        <v>285</v>
      </c>
      <c r="AV14" s="149" t="s">
        <v>285</v>
      </c>
      <c r="AX14" s="412" t="s">
        <v>286</v>
      </c>
      <c r="AY14" s="150">
        <f>LEN(AX14)</f>
        <v>297</v>
      </c>
      <c r="BG14" s="150" t="s">
        <v>287</v>
      </c>
    </row>
    <row r="15" spans="1:59" s="150" customFormat="1" ht="409.15" customHeight="1" x14ac:dyDescent="0.25">
      <c r="A15" s="748"/>
      <c r="B15" s="147"/>
      <c r="C15" s="147"/>
      <c r="D15" s="157" t="s">
        <v>288</v>
      </c>
      <c r="E15" s="147" t="s">
        <v>289</v>
      </c>
      <c r="F15" s="147" t="s">
        <v>290</v>
      </c>
      <c r="G15" s="165" t="s">
        <v>268</v>
      </c>
      <c r="H15" s="83">
        <v>3</v>
      </c>
      <c r="I15" s="146" t="s">
        <v>269</v>
      </c>
      <c r="J15" s="147" t="s">
        <v>291</v>
      </c>
      <c r="K15" s="146" t="s">
        <v>271</v>
      </c>
      <c r="L15" s="420">
        <v>1</v>
      </c>
      <c r="M15" s="420">
        <v>1</v>
      </c>
      <c r="N15" s="420">
        <v>1</v>
      </c>
      <c r="O15" s="420">
        <v>0</v>
      </c>
      <c r="P15" s="147" t="s">
        <v>272</v>
      </c>
      <c r="Q15" s="147" t="s">
        <v>292</v>
      </c>
      <c r="R15" s="83">
        <v>0</v>
      </c>
      <c r="S15" s="83">
        <v>0</v>
      </c>
      <c r="T15" s="83">
        <v>0</v>
      </c>
      <c r="U15" s="83">
        <v>0</v>
      </c>
      <c r="V15" s="83">
        <v>0</v>
      </c>
      <c r="W15" s="83">
        <v>0</v>
      </c>
      <c r="X15" s="83">
        <v>0</v>
      </c>
      <c r="Y15" s="83">
        <v>0</v>
      </c>
      <c r="Z15" s="83">
        <v>0</v>
      </c>
      <c r="AA15" s="83">
        <v>0</v>
      </c>
      <c r="AB15" s="83">
        <v>0</v>
      </c>
      <c r="AC15" s="83">
        <v>1</v>
      </c>
      <c r="AD15" s="173">
        <f>+Meta.3!D36</f>
        <v>0</v>
      </c>
      <c r="AE15" s="173">
        <f>+Meta.3!E36</f>
        <v>0</v>
      </c>
      <c r="AF15" s="173">
        <f>+Meta.3!F36</f>
        <v>0</v>
      </c>
      <c r="AG15" s="173">
        <f>+Meta.3!G36</f>
        <v>0</v>
      </c>
      <c r="AH15" s="173">
        <f>+Meta.3!H36</f>
        <v>0</v>
      </c>
      <c r="AI15" s="173">
        <f>+Meta.3!I36</f>
        <v>0</v>
      </c>
      <c r="AJ15" s="173">
        <f>+Meta.3!J36</f>
        <v>0</v>
      </c>
      <c r="AK15" s="173">
        <f>+Meta.3!K36</f>
        <v>4.0579710144927547E-2</v>
      </c>
      <c r="AL15" s="173">
        <f>+Meta.3!L36</f>
        <v>0.17391304347826092</v>
      </c>
      <c r="AM15" s="173">
        <f>+Meta.3!M36</f>
        <v>0</v>
      </c>
      <c r="AN15" s="173">
        <f>+Meta.3!N36</f>
        <v>0</v>
      </c>
      <c r="AO15" s="173">
        <f>+Meta.3!O36</f>
        <v>0</v>
      </c>
      <c r="AP15" s="83">
        <f t="shared" si="0"/>
        <v>0.21449275362318848</v>
      </c>
      <c r="AQ15" s="174" cm="1">
        <f t="array" ref="AQ15">+SUM(AD15:AO15/L15)</f>
        <v>0.21449275362318848</v>
      </c>
      <c r="AR15" s="278" t="s">
        <v>293</v>
      </c>
      <c r="AS15" s="279" t="s">
        <v>294</v>
      </c>
      <c r="AT15" s="278" t="s">
        <v>295</v>
      </c>
      <c r="AU15" s="149" t="s">
        <v>285</v>
      </c>
      <c r="AV15" s="149" t="s">
        <v>285</v>
      </c>
      <c r="AX15" s="278" t="s">
        <v>296</v>
      </c>
      <c r="AY15" s="150">
        <f>LEN(AX15)</f>
        <v>300</v>
      </c>
      <c r="BG15" s="150" t="s">
        <v>297</v>
      </c>
    </row>
    <row r="16" spans="1:59" s="150" customFormat="1" ht="409.15" customHeight="1" x14ac:dyDescent="0.25">
      <c r="A16" s="748"/>
      <c r="B16" s="147"/>
      <c r="C16" s="147"/>
      <c r="D16" s="147" t="s">
        <v>298</v>
      </c>
      <c r="E16" s="147" t="s">
        <v>289</v>
      </c>
      <c r="F16" s="147" t="s">
        <v>290</v>
      </c>
      <c r="G16" s="165" t="s">
        <v>268</v>
      </c>
      <c r="H16" s="83">
        <v>3</v>
      </c>
      <c r="I16" s="146" t="s">
        <v>269</v>
      </c>
      <c r="J16" s="147" t="s">
        <v>291</v>
      </c>
      <c r="K16" s="146" t="s">
        <v>271</v>
      </c>
      <c r="L16" s="420">
        <v>1</v>
      </c>
      <c r="M16" s="420">
        <v>1</v>
      </c>
      <c r="N16" s="420">
        <v>1</v>
      </c>
      <c r="O16" s="420">
        <v>0</v>
      </c>
      <c r="P16" s="147" t="s">
        <v>272</v>
      </c>
      <c r="Q16" s="147" t="s">
        <v>292</v>
      </c>
      <c r="R16" s="83">
        <v>0</v>
      </c>
      <c r="S16" s="83">
        <v>0</v>
      </c>
      <c r="T16" s="83">
        <v>0</v>
      </c>
      <c r="U16" s="83">
        <v>0</v>
      </c>
      <c r="V16" s="83">
        <v>0</v>
      </c>
      <c r="W16" s="83">
        <v>0</v>
      </c>
      <c r="X16" s="83">
        <v>0</v>
      </c>
      <c r="Y16" s="83">
        <v>0</v>
      </c>
      <c r="Z16" s="83">
        <v>0</v>
      </c>
      <c r="AA16" s="83">
        <v>0</v>
      </c>
      <c r="AB16" s="83">
        <v>0</v>
      </c>
      <c r="AC16" s="83">
        <v>1</v>
      </c>
      <c r="AD16" s="173">
        <f>+Meta.4!D36</f>
        <v>0</v>
      </c>
      <c r="AE16" s="173">
        <f>+Meta.4!E36</f>
        <v>0</v>
      </c>
      <c r="AF16" s="173">
        <f>+Meta.4!F36</f>
        <v>0</v>
      </c>
      <c r="AG16" s="173">
        <f>+Meta.4!G36</f>
        <v>0</v>
      </c>
      <c r="AH16" s="173">
        <f>+Meta.4!H36</f>
        <v>0</v>
      </c>
      <c r="AI16" s="173">
        <f>+Meta.4!I36</f>
        <v>0</v>
      </c>
      <c r="AJ16" s="173">
        <f>+Meta.4!J36</f>
        <v>0</v>
      </c>
      <c r="AK16" s="173">
        <f>+Meta.4!K36</f>
        <v>0.20833333333333334</v>
      </c>
      <c r="AL16" s="173">
        <f>+Meta.4!L36</f>
        <v>0.2416666666666667</v>
      </c>
      <c r="AM16" s="173">
        <f>+Meta.4!M36</f>
        <v>0</v>
      </c>
      <c r="AN16" s="173">
        <f>+Meta.4!N36</f>
        <v>0</v>
      </c>
      <c r="AO16" s="173">
        <f>+Meta.4!O36</f>
        <v>0</v>
      </c>
      <c r="AP16" s="83">
        <f t="shared" si="0"/>
        <v>0.45000000000000007</v>
      </c>
      <c r="AQ16" s="174" cm="1">
        <f t="array" ref="AQ16">+SUM(AD16:AO16/L16)</f>
        <v>0.45000000000000007</v>
      </c>
      <c r="AR16" s="278" t="s">
        <v>299</v>
      </c>
      <c r="AS16" s="278" t="s">
        <v>300</v>
      </c>
      <c r="AT16" s="278" t="s">
        <v>301</v>
      </c>
      <c r="AU16" s="149" t="s">
        <v>285</v>
      </c>
      <c r="AV16" s="149" t="s">
        <v>285</v>
      </c>
      <c r="BG16" s="150" t="s">
        <v>302</v>
      </c>
    </row>
    <row r="17" spans="1:48" s="150" customFormat="1" ht="322.14999999999998" customHeight="1" x14ac:dyDescent="0.25">
      <c r="A17" s="749"/>
      <c r="B17" s="147"/>
      <c r="C17" s="147"/>
      <c r="D17" s="147" t="s">
        <v>303</v>
      </c>
      <c r="E17" s="147" t="s">
        <v>289</v>
      </c>
      <c r="F17" s="147" t="s">
        <v>290</v>
      </c>
      <c r="G17" s="165" t="s">
        <v>268</v>
      </c>
      <c r="H17" s="83">
        <v>3</v>
      </c>
      <c r="I17" s="146" t="s">
        <v>269</v>
      </c>
      <c r="J17" s="147" t="s">
        <v>291</v>
      </c>
      <c r="K17" s="146" t="s">
        <v>271</v>
      </c>
      <c r="L17" s="420">
        <v>1</v>
      </c>
      <c r="M17" s="420">
        <v>1</v>
      </c>
      <c r="N17" s="420">
        <v>1</v>
      </c>
      <c r="O17" s="420">
        <v>0</v>
      </c>
      <c r="P17" s="147" t="s">
        <v>272</v>
      </c>
      <c r="Q17" s="147" t="s">
        <v>292</v>
      </c>
      <c r="R17" s="83">
        <v>0</v>
      </c>
      <c r="S17" s="83">
        <v>0</v>
      </c>
      <c r="T17" s="83">
        <v>0</v>
      </c>
      <c r="U17" s="83">
        <v>0</v>
      </c>
      <c r="V17" s="83">
        <v>0</v>
      </c>
      <c r="W17" s="83">
        <v>0</v>
      </c>
      <c r="X17" s="83">
        <v>0</v>
      </c>
      <c r="Y17" s="83">
        <v>0</v>
      </c>
      <c r="Z17" s="83">
        <v>0</v>
      </c>
      <c r="AA17" s="83">
        <v>0</v>
      </c>
      <c r="AB17" s="83">
        <v>0</v>
      </c>
      <c r="AC17" s="83">
        <v>1</v>
      </c>
      <c r="AD17" s="173">
        <f>+Meta.5!D36</f>
        <v>0</v>
      </c>
      <c r="AE17" s="173">
        <f>+Meta.5!E36</f>
        <v>0</v>
      </c>
      <c r="AF17" s="173">
        <f>+Meta.5!F36</f>
        <v>0</v>
      </c>
      <c r="AG17" s="173">
        <f>+Meta.5!G36</f>
        <v>0</v>
      </c>
      <c r="AH17" s="173">
        <f>+Meta.5!H36</f>
        <v>0</v>
      </c>
      <c r="AI17" s="173">
        <f>+Meta.5!I36</f>
        <v>0</v>
      </c>
      <c r="AJ17" s="173">
        <f>+Meta.5!J36</f>
        <v>0</v>
      </c>
      <c r="AK17" s="173">
        <f>+Meta.5!K36</f>
        <v>0.15555555555555556</v>
      </c>
      <c r="AL17" s="173">
        <f>+Meta.5!L36</f>
        <v>0.26666666666666666</v>
      </c>
      <c r="AM17" s="173">
        <f>+Meta.5!M36</f>
        <v>0</v>
      </c>
      <c r="AN17" s="173">
        <f>+Meta.5!N36</f>
        <v>0</v>
      </c>
      <c r="AO17" s="173">
        <f>+Meta.5!O36</f>
        <v>0</v>
      </c>
      <c r="AP17" s="83">
        <f t="shared" si="0"/>
        <v>0.42222222222222222</v>
      </c>
      <c r="AQ17" s="174" cm="1">
        <f t="array" ref="AQ17">+SUM(AD17:AO17/L17)</f>
        <v>0.42222222222222222</v>
      </c>
      <c r="AR17" s="149" t="s">
        <v>304</v>
      </c>
      <c r="AS17" s="414" t="s">
        <v>305</v>
      </c>
      <c r="AT17" s="149" t="s">
        <v>306</v>
      </c>
      <c r="AU17" s="149" t="s">
        <v>285</v>
      </c>
      <c r="AV17" s="149" t="s">
        <v>285</v>
      </c>
    </row>
    <row r="18" spans="1:48" s="150" customFormat="1" ht="31.5" customHeight="1" x14ac:dyDescent="0.25">
      <c r="A18" s="147"/>
      <c r="B18" s="147"/>
      <c r="C18" s="147"/>
      <c r="D18" s="147"/>
      <c r="E18" s="147"/>
      <c r="F18" s="147"/>
      <c r="G18" s="165"/>
      <c r="H18" s="83"/>
      <c r="I18" s="146"/>
      <c r="J18" s="147"/>
      <c r="K18" s="147"/>
      <c r="L18" s="420"/>
      <c r="M18" s="420"/>
      <c r="N18" s="420"/>
      <c r="O18" s="420"/>
      <c r="P18" s="147"/>
      <c r="Q18" s="147"/>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t="str">
        <f t="shared" si="0"/>
        <v xml:space="preserve"> </v>
      </c>
      <c r="AQ18" s="174" t="str">
        <f>IF(G18="suma",AP18/#REF!,IF(G18="creciente",AP18/(MAX(R18:AC18)),IF(G18="DECRECIENTE",AP18/(O18-(MIN(R18:AC18))),IF(G18="CONSTANTE",AP18/AVERAGE(R18:AC18)," "))))</f>
        <v xml:space="preserve"> </v>
      </c>
      <c r="AR18" s="149"/>
      <c r="AS18" s="149"/>
      <c r="AT18" s="149"/>
      <c r="AU18" s="149"/>
      <c r="AV18" s="147"/>
    </row>
    <row r="19" spans="1:48" s="150" customFormat="1" ht="31.5" customHeight="1" x14ac:dyDescent="0.25">
      <c r="A19" s="147"/>
      <c r="B19" s="147"/>
      <c r="C19" s="147"/>
      <c r="D19" s="147"/>
      <c r="E19" s="147"/>
      <c r="F19" s="147"/>
      <c r="G19" s="165"/>
      <c r="H19" s="83"/>
      <c r="I19" s="146"/>
      <c r="J19" s="147"/>
      <c r="K19" s="147"/>
      <c r="L19" s="420"/>
      <c r="M19" s="420"/>
      <c r="N19" s="420"/>
      <c r="O19" s="420"/>
      <c r="P19" s="147"/>
      <c r="Q19" s="147"/>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t="str">
        <f t="shared" si="0"/>
        <v xml:space="preserve"> </v>
      </c>
      <c r="AQ19" s="174" t="str">
        <f>IF(G19="suma",AP19/#REF!,IF(G19="creciente",AP19/(MAX(R19:AC19)),IF(G19="DECRECIENTE",AP19/(O19-(MIN(R19:AC19))),IF(G19="CONSTANTE",AP19/AVERAGE(R19:AC19)," "))))</f>
        <v xml:space="preserve"> </v>
      </c>
      <c r="AR19" s="149"/>
      <c r="AS19" s="149"/>
      <c r="AT19" s="149"/>
      <c r="AU19" s="149"/>
      <c r="AV19" s="147"/>
    </row>
    <row r="20" spans="1:48" ht="31.5" customHeight="1" x14ac:dyDescent="0.25">
      <c r="A20" s="753" t="s">
        <v>198</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5"/>
    </row>
    <row r="21" spans="1:48" ht="59.65" customHeight="1" x14ac:dyDescent="0.25">
      <c r="A21" s="745" t="s">
        <v>307</v>
      </c>
      <c r="B21" s="744" t="s">
        <v>308</v>
      </c>
      <c r="C21" s="744"/>
      <c r="D21" s="744"/>
      <c r="E21" s="746" t="s">
        <v>309</v>
      </c>
      <c r="F21" s="746"/>
      <c r="G21" s="746"/>
      <c r="H21" s="746"/>
      <c r="I21" s="746"/>
      <c r="J21" s="746"/>
      <c r="K21" s="746"/>
      <c r="L21" s="746"/>
      <c r="M21" s="744" t="s">
        <v>308</v>
      </c>
      <c r="N21" s="744"/>
      <c r="O21" s="744"/>
      <c r="P21" s="744"/>
      <c r="Q21" s="744"/>
      <c r="R21" s="744" t="s">
        <v>308</v>
      </c>
      <c r="S21" s="744"/>
      <c r="T21" s="744"/>
      <c r="U21" s="744"/>
      <c r="V21" s="744"/>
      <c r="W21" s="744"/>
      <c r="X21" s="744"/>
      <c r="Y21" s="744"/>
      <c r="Z21" s="744" t="s">
        <v>308</v>
      </c>
      <c r="AA21" s="744"/>
      <c r="AB21" s="744"/>
      <c r="AC21" s="744"/>
      <c r="AD21" s="744"/>
      <c r="AE21" s="744"/>
      <c r="AF21" s="744"/>
      <c r="AG21" s="744"/>
      <c r="AH21" s="744"/>
      <c r="AI21" s="744"/>
      <c r="AJ21" s="744"/>
      <c r="AK21" s="744"/>
      <c r="AL21" s="746" t="s">
        <v>310</v>
      </c>
      <c r="AM21" s="746"/>
      <c r="AN21" s="746"/>
      <c r="AO21" s="746"/>
      <c r="AP21" s="744" t="s">
        <v>311</v>
      </c>
      <c r="AQ21" s="744"/>
      <c r="AR21" s="744"/>
      <c r="AS21" s="744"/>
      <c r="AT21" s="744"/>
      <c r="AU21" s="744"/>
      <c r="AV21" s="744"/>
    </row>
    <row r="22" spans="1:48" ht="46.15" customHeight="1" x14ac:dyDescent="0.25">
      <c r="A22" s="745"/>
      <c r="B22" s="744" t="s">
        <v>749</v>
      </c>
      <c r="C22" s="744"/>
      <c r="D22" s="744"/>
      <c r="E22" s="746"/>
      <c r="F22" s="746"/>
      <c r="G22" s="746"/>
      <c r="H22" s="746"/>
      <c r="I22" s="746"/>
      <c r="J22" s="746"/>
      <c r="K22" s="746"/>
      <c r="L22" s="746"/>
      <c r="M22" s="744" t="s">
        <v>312</v>
      </c>
      <c r="N22" s="744"/>
      <c r="O22" s="744"/>
      <c r="P22" s="744"/>
      <c r="Q22" s="744"/>
      <c r="R22" s="744" t="s">
        <v>313</v>
      </c>
      <c r="S22" s="744"/>
      <c r="T22" s="744"/>
      <c r="U22" s="744"/>
      <c r="V22" s="744"/>
      <c r="W22" s="744"/>
      <c r="X22" s="744"/>
      <c r="Y22" s="744"/>
      <c r="Z22" s="744" t="s">
        <v>314</v>
      </c>
      <c r="AA22" s="744"/>
      <c r="AB22" s="744"/>
      <c r="AC22" s="744"/>
      <c r="AD22" s="744"/>
      <c r="AE22" s="744"/>
      <c r="AF22" s="744"/>
      <c r="AG22" s="744"/>
      <c r="AH22" s="744"/>
      <c r="AI22" s="744"/>
      <c r="AJ22" s="744"/>
      <c r="AK22" s="744"/>
      <c r="AL22" s="746"/>
      <c r="AM22" s="746"/>
      <c r="AN22" s="746"/>
      <c r="AO22" s="746"/>
      <c r="AP22" s="744" t="s">
        <v>314</v>
      </c>
      <c r="AQ22" s="744"/>
      <c r="AR22" s="744"/>
      <c r="AS22" s="744"/>
      <c r="AT22" s="744"/>
      <c r="AU22" s="744"/>
      <c r="AV22" s="744"/>
    </row>
    <row r="23" spans="1:48" ht="33" customHeight="1" x14ac:dyDescent="0.25">
      <c r="A23" s="745"/>
      <c r="B23" s="744" t="s">
        <v>315</v>
      </c>
      <c r="C23" s="744"/>
      <c r="D23" s="744"/>
      <c r="E23" s="746"/>
      <c r="F23" s="746"/>
      <c r="G23" s="746"/>
      <c r="H23" s="746"/>
      <c r="I23" s="746"/>
      <c r="J23" s="746"/>
      <c r="K23" s="746"/>
      <c r="L23" s="746"/>
      <c r="M23" s="744" t="s">
        <v>316</v>
      </c>
      <c r="N23" s="744"/>
      <c r="O23" s="744"/>
      <c r="P23" s="744"/>
      <c r="Q23" s="744"/>
      <c r="R23" s="744" t="s">
        <v>317</v>
      </c>
      <c r="S23" s="744"/>
      <c r="T23" s="744"/>
      <c r="U23" s="744"/>
      <c r="V23" s="744"/>
      <c r="W23" s="744"/>
      <c r="X23" s="744"/>
      <c r="Y23" s="744"/>
      <c r="Z23" s="744" t="s">
        <v>318</v>
      </c>
      <c r="AA23" s="744"/>
      <c r="AB23" s="744"/>
      <c r="AC23" s="744"/>
      <c r="AD23" s="744"/>
      <c r="AE23" s="744"/>
      <c r="AF23" s="744"/>
      <c r="AG23" s="744"/>
      <c r="AH23" s="744"/>
      <c r="AI23" s="744"/>
      <c r="AJ23" s="744"/>
      <c r="AK23" s="744"/>
      <c r="AL23" s="746"/>
      <c r="AM23" s="746"/>
      <c r="AN23" s="746"/>
      <c r="AO23" s="746"/>
      <c r="AP23" s="744" t="s">
        <v>319</v>
      </c>
      <c r="AQ23" s="744"/>
      <c r="AR23" s="744"/>
      <c r="AS23" s="744"/>
      <c r="AT23" s="744"/>
      <c r="AU23" s="744"/>
      <c r="AV23" s="744"/>
    </row>
  </sheetData>
  <mergeCells count="55">
    <mergeCell ref="AT5:AT12"/>
    <mergeCell ref="A13:A17"/>
    <mergeCell ref="A9:C9"/>
    <mergeCell ref="R22:Y22"/>
    <mergeCell ref="R23:Y23"/>
    <mergeCell ref="A10:C10"/>
    <mergeCell ref="D9:AC9"/>
    <mergeCell ref="D10:AC10"/>
    <mergeCell ref="A11:C11"/>
    <mergeCell ref="H11:H12"/>
    <mergeCell ref="A20:AV20"/>
    <mergeCell ref="AP11:AQ11"/>
    <mergeCell ref="AS5:AS12"/>
    <mergeCell ref="AU5:AU12"/>
    <mergeCell ref="AV5:AV12"/>
    <mergeCell ref="AD11:AO11"/>
    <mergeCell ref="AP22:AV22"/>
    <mergeCell ref="AP21:AV21"/>
    <mergeCell ref="B22:D22"/>
    <mergeCell ref="A21:A23"/>
    <mergeCell ref="E21:L23"/>
    <mergeCell ref="Z21:AK21"/>
    <mergeCell ref="Z22:AK22"/>
    <mergeCell ref="Z23:AK23"/>
    <mergeCell ref="AP23:AV23"/>
    <mergeCell ref="AL21:AO23"/>
    <mergeCell ref="M21:Q21"/>
    <mergeCell ref="M22:Q22"/>
    <mergeCell ref="M23:Q23"/>
    <mergeCell ref="R21:Y21"/>
    <mergeCell ref="B21:D21"/>
    <mergeCell ref="B23:D23"/>
    <mergeCell ref="AU1:AV1"/>
    <mergeCell ref="AU2:AV2"/>
    <mergeCell ref="AU3:AV3"/>
    <mergeCell ref="AU4:AV4"/>
    <mergeCell ref="A1:AT1"/>
    <mergeCell ref="A2:AT2"/>
    <mergeCell ref="A3:AT4"/>
    <mergeCell ref="AD5:AQ10"/>
    <mergeCell ref="AR5:AR12"/>
    <mergeCell ref="A5:AC5"/>
    <mergeCell ref="A6:A8"/>
    <mergeCell ref="B6:C8"/>
    <mergeCell ref="G11:G12"/>
    <mergeCell ref="Q11:Q12"/>
    <mergeCell ref="L11:O11"/>
    <mergeCell ref="D11:D12"/>
    <mergeCell ref="E11:E12"/>
    <mergeCell ref="F11:F12"/>
    <mergeCell ref="K11:K12"/>
    <mergeCell ref="R11:AC11"/>
    <mergeCell ref="P11:P12"/>
    <mergeCell ref="J11:J12"/>
    <mergeCell ref="I11:I12"/>
  </mergeCells>
  <hyperlinks>
    <hyperlink ref="AS14" r:id="rId1" display="https://secretariadistritald.sharepoint.com/:b:/s/BogotCaminaSegura/EcOOl3MsjxdHiwJpPbmv7F0B8cCGq1_P9VbGx8RFKwfA0g?e=eiOU48" xr:uid="{4D792BE0-95DF-45F3-91FA-FEFC4B235A30}"/>
    <hyperlink ref="AS15" r:id="rId2" display="https://secretariadistritald-my.sharepoint.com/:x:/g/personal/jdcortes_sdmujer_gov_co/EbKwAZungqRIpS_F0zoocR0BmRWbxiji-9PblEaQwKiohg?e=aYYCYK" xr:uid="{6E8EAC97-516F-42B5-BFC7-D9580213A10C}"/>
    <hyperlink ref="AS17" r:id="rId3" xr:uid="{533E1474-7EB6-48AB-A73C-F7BC3BE12043}"/>
  </hyperlinks>
  <printOptions horizontalCentered="1"/>
  <pageMargins left="0.39370078740157483" right="0.39370078740157483" top="0.39370078740157483" bottom="0.39370078740157483" header="0" footer="0"/>
  <pageSetup scale="19" orientation="landscape"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320</v>
      </c>
      <c r="B1" t="s">
        <v>321</v>
      </c>
    </row>
    <row r="2" spans="1:2" x14ac:dyDescent="0.25">
      <c r="A2" t="s">
        <v>322</v>
      </c>
      <c r="B2" t="s">
        <v>323</v>
      </c>
    </row>
    <row r="3" spans="1:2" x14ac:dyDescent="0.25">
      <c r="A3" t="s">
        <v>324</v>
      </c>
      <c r="B3" t="s">
        <v>325</v>
      </c>
    </row>
    <row r="4" spans="1:2" x14ac:dyDescent="0.25">
      <c r="A4" t="s">
        <v>326</v>
      </c>
    </row>
    <row r="5" spans="1:2" x14ac:dyDescent="0.25">
      <c r="A5" t="s">
        <v>327</v>
      </c>
    </row>
    <row r="6" spans="1:2" x14ac:dyDescent="0.25">
      <c r="A6" t="s">
        <v>328</v>
      </c>
    </row>
    <row r="7" spans="1:2" x14ac:dyDescent="0.25">
      <c r="A7" t="s">
        <v>329</v>
      </c>
    </row>
    <row r="8" spans="1:2" x14ac:dyDescent="0.25">
      <c r="A8" t="s">
        <v>330</v>
      </c>
    </row>
    <row r="9" spans="1:2" x14ac:dyDescent="0.25">
      <c r="A9" t="s">
        <v>331</v>
      </c>
    </row>
    <row r="10" spans="1:2" x14ac:dyDescent="0.25">
      <c r="A10" t="s">
        <v>332</v>
      </c>
    </row>
    <row r="11" spans="1:2" x14ac:dyDescent="0.25">
      <c r="A11" t="s">
        <v>333</v>
      </c>
    </row>
    <row r="12" spans="1:2" x14ac:dyDescent="0.25">
      <c r="A12" t="s">
        <v>334</v>
      </c>
    </row>
    <row r="13" spans="1:2" x14ac:dyDescent="0.25">
      <c r="A13" t="s">
        <v>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130"/>
  <sheetViews>
    <sheetView tabSelected="1" view="pageBreakPreview" topLeftCell="R52" zoomScale="60" zoomScaleNormal="60" workbookViewId="0">
      <selection activeCell="A27" sqref="A27:AE27"/>
    </sheetView>
  </sheetViews>
  <sheetFormatPr baseColWidth="10" defaultColWidth="19.42578125" defaultRowHeight="14.25" x14ac:dyDescent="0.25"/>
  <cols>
    <col min="1" max="1" width="29.5703125" style="15" bestFit="1" customWidth="1"/>
    <col min="2" max="9" width="11" style="15" customWidth="1"/>
    <col min="10" max="12" width="12.42578125" style="15" customWidth="1"/>
    <col min="13" max="13" width="19" style="15" bestFit="1" customWidth="1"/>
    <col min="14" max="16" width="12.42578125" style="15" customWidth="1"/>
    <col min="17" max="17" width="19.28515625" style="15" customWidth="1"/>
    <col min="18" max="18" width="12.140625" style="15" customWidth="1"/>
    <col min="19" max="19" width="21.28515625" style="15" bestFit="1"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44" width="11.28515625" style="15" customWidth="1"/>
    <col min="45" max="45" width="17.5703125" style="15" bestFit="1" customWidth="1"/>
    <col min="46" max="50" width="11.28515625" style="15" customWidth="1"/>
    <col min="51" max="51" width="19.5703125" style="15" bestFit="1" customWidth="1"/>
    <col min="52" max="63" width="8.85546875" style="15" customWidth="1"/>
    <col min="64" max="16384" width="19.42578125" style="15"/>
  </cols>
  <sheetData>
    <row r="1" spans="1:63" ht="15.95" customHeight="1" x14ac:dyDescent="0.25">
      <c r="A1" s="760" t="s">
        <v>121</v>
      </c>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1" t="s">
        <v>336</v>
      </c>
      <c r="BJ1" s="761"/>
      <c r="BK1" s="761"/>
    </row>
    <row r="2" spans="1:63" ht="15.95" customHeight="1" x14ac:dyDescent="0.25">
      <c r="A2" s="760" t="s">
        <v>123</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1" t="s">
        <v>124</v>
      </c>
      <c r="BJ2" s="761"/>
      <c r="BK2" s="761"/>
    </row>
    <row r="3" spans="1:63" ht="26.1" customHeight="1" x14ac:dyDescent="0.25">
      <c r="A3" s="760" t="s">
        <v>337</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0"/>
      <c r="BB3" s="760"/>
      <c r="BC3" s="760"/>
      <c r="BD3" s="760"/>
      <c r="BE3" s="760"/>
      <c r="BF3" s="760"/>
      <c r="BG3" s="760"/>
      <c r="BH3" s="760"/>
      <c r="BI3" s="761" t="s">
        <v>126</v>
      </c>
      <c r="BJ3" s="761"/>
      <c r="BK3" s="761"/>
    </row>
    <row r="4" spans="1:63" ht="15.95" customHeight="1" x14ac:dyDescent="0.25">
      <c r="A4" s="760" t="s">
        <v>338</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57" t="s">
        <v>339</v>
      </c>
      <c r="BJ4" s="758"/>
      <c r="BK4" s="759"/>
    </row>
    <row r="5" spans="1:63" ht="26.1" customHeight="1" x14ac:dyDescent="0.25">
      <c r="A5" s="762" t="s">
        <v>253</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G5" s="762" t="s">
        <v>340</v>
      </c>
      <c r="AH5" s="762"/>
      <c r="AI5" s="762"/>
      <c r="AJ5" s="762"/>
      <c r="AK5" s="762"/>
      <c r="AL5" s="762"/>
      <c r="AM5" s="762"/>
      <c r="AN5" s="762"/>
      <c r="AO5" s="762"/>
      <c r="AP5" s="762"/>
      <c r="AQ5" s="762"/>
      <c r="AR5" s="762"/>
      <c r="AS5" s="762"/>
      <c r="AT5" s="762"/>
      <c r="AU5" s="762"/>
      <c r="AV5" s="762"/>
      <c r="AW5" s="762"/>
      <c r="AX5" s="762"/>
      <c r="AY5" s="762"/>
      <c r="AZ5" s="762"/>
      <c r="BA5" s="762"/>
      <c r="BB5" s="762"/>
      <c r="BC5" s="762"/>
      <c r="BD5" s="762"/>
      <c r="BE5" s="762"/>
      <c r="BF5" s="762"/>
      <c r="BG5" s="762"/>
      <c r="BH5" s="762"/>
      <c r="BI5" s="763"/>
      <c r="BJ5" s="763"/>
      <c r="BK5" s="763"/>
    </row>
    <row r="6" spans="1:63" ht="31.5" customHeight="1" x14ac:dyDescent="0.25">
      <c r="A6" s="94" t="s">
        <v>341</v>
      </c>
      <c r="B6" s="768">
        <v>45568</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69"/>
      <c r="AY6" s="769"/>
      <c r="AZ6" s="769"/>
      <c r="BA6" s="769"/>
      <c r="BB6" s="769"/>
      <c r="BC6" s="769"/>
      <c r="BD6" s="769"/>
      <c r="BE6" s="769"/>
      <c r="BF6" s="769"/>
      <c r="BG6" s="769"/>
      <c r="BH6" s="769"/>
      <c r="BI6" s="769"/>
      <c r="BJ6" s="769"/>
      <c r="BK6" s="769"/>
    </row>
    <row r="7" spans="1:63" ht="31.5" customHeight="1" x14ac:dyDescent="0.25">
      <c r="A7" s="95" t="s">
        <v>342</v>
      </c>
      <c r="B7" s="771" t="s">
        <v>343</v>
      </c>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2"/>
      <c r="AY7" s="772"/>
      <c r="AZ7" s="772"/>
      <c r="BA7" s="772"/>
      <c r="BB7" s="772"/>
      <c r="BC7" s="772"/>
      <c r="BD7" s="772"/>
      <c r="BE7" s="772"/>
      <c r="BF7" s="772"/>
      <c r="BG7" s="772"/>
      <c r="BH7" s="772"/>
      <c r="BI7" s="772"/>
      <c r="BJ7" s="772"/>
      <c r="BK7" s="773"/>
    </row>
    <row r="8" spans="1:63" ht="18.75" customHeight="1" x14ac:dyDescent="0.25">
      <c r="A8" s="96"/>
      <c r="B8" s="96"/>
      <c r="C8" s="96"/>
      <c r="D8" s="96"/>
      <c r="E8" s="96"/>
      <c r="F8" s="96"/>
      <c r="G8" s="96"/>
      <c r="H8" s="96"/>
      <c r="I8" s="96"/>
      <c r="J8" s="96"/>
      <c r="K8" s="97"/>
      <c r="L8" s="97"/>
      <c r="M8" s="97"/>
      <c r="N8" s="97"/>
      <c r="O8" s="97"/>
      <c r="P8" s="97"/>
      <c r="Q8" s="97"/>
      <c r="R8" s="97"/>
      <c r="S8" s="97"/>
      <c r="T8" s="97"/>
      <c r="U8" s="97"/>
      <c r="V8" s="97"/>
      <c r="W8" s="97"/>
      <c r="X8" s="97"/>
      <c r="Y8" s="97"/>
      <c r="Z8" s="97"/>
      <c r="AA8" s="97"/>
      <c r="AB8" s="97"/>
      <c r="AC8" s="97"/>
      <c r="AD8" s="97"/>
      <c r="AE8" s="97"/>
      <c r="AG8" s="96"/>
      <c r="AH8" s="97"/>
      <c r="AI8" s="97"/>
      <c r="AJ8" s="97"/>
      <c r="AK8" s="97"/>
      <c r="AL8" s="97"/>
      <c r="AM8" s="97"/>
      <c r="AN8" s="97"/>
      <c r="AO8" s="97"/>
    </row>
    <row r="9" spans="1:63" ht="30" customHeight="1" x14ac:dyDescent="0.25">
      <c r="A9" s="764" t="s">
        <v>344</v>
      </c>
      <c r="B9" s="98" t="s">
        <v>141</v>
      </c>
      <c r="C9" s="98" t="s">
        <v>142</v>
      </c>
      <c r="D9" s="766" t="s">
        <v>143</v>
      </c>
      <c r="E9" s="767"/>
      <c r="F9" s="98" t="s">
        <v>144</v>
      </c>
      <c r="G9" s="98" t="s">
        <v>145</v>
      </c>
      <c r="H9" s="766" t="s">
        <v>146</v>
      </c>
      <c r="I9" s="767"/>
      <c r="J9" s="98" t="s">
        <v>147</v>
      </c>
      <c r="K9" s="98" t="s">
        <v>148</v>
      </c>
      <c r="L9" s="766" t="s">
        <v>128</v>
      </c>
      <c r="M9" s="767"/>
      <c r="N9" s="98" t="s">
        <v>149</v>
      </c>
      <c r="O9" s="98" t="s">
        <v>150</v>
      </c>
      <c r="P9" s="766" t="s">
        <v>151</v>
      </c>
      <c r="Q9" s="767"/>
      <c r="R9" s="766" t="s">
        <v>345</v>
      </c>
      <c r="S9" s="767"/>
      <c r="T9" s="766" t="s">
        <v>346</v>
      </c>
      <c r="U9" s="770"/>
      <c r="V9" s="770"/>
      <c r="W9" s="770"/>
      <c r="X9" s="770"/>
      <c r="Y9" s="767"/>
      <c r="Z9" s="766" t="s">
        <v>347</v>
      </c>
      <c r="AA9" s="770"/>
      <c r="AB9" s="770"/>
      <c r="AC9" s="770"/>
      <c r="AD9" s="770"/>
      <c r="AE9" s="767"/>
      <c r="AG9" s="764" t="s">
        <v>344</v>
      </c>
      <c r="AH9" s="98" t="s">
        <v>141</v>
      </c>
      <c r="AI9" s="98" t="s">
        <v>142</v>
      </c>
      <c r="AJ9" s="766" t="s">
        <v>143</v>
      </c>
      <c r="AK9" s="767"/>
      <c r="AL9" s="98" t="s">
        <v>144</v>
      </c>
      <c r="AM9" s="98" t="s">
        <v>145</v>
      </c>
      <c r="AN9" s="766" t="s">
        <v>146</v>
      </c>
      <c r="AO9" s="767"/>
      <c r="AP9" s="98" t="s">
        <v>147</v>
      </c>
      <c r="AQ9" s="98" t="s">
        <v>148</v>
      </c>
      <c r="AR9" s="766" t="s">
        <v>128</v>
      </c>
      <c r="AS9" s="767"/>
      <c r="AT9" s="98" t="s">
        <v>149</v>
      </c>
      <c r="AU9" s="98" t="s">
        <v>150</v>
      </c>
      <c r="AV9" s="766" t="s">
        <v>151</v>
      </c>
      <c r="AW9" s="767"/>
      <c r="AX9" s="766" t="s">
        <v>345</v>
      </c>
      <c r="AY9" s="767"/>
      <c r="AZ9" s="766" t="s">
        <v>346</v>
      </c>
      <c r="BA9" s="770"/>
      <c r="BB9" s="770"/>
      <c r="BC9" s="770"/>
      <c r="BD9" s="770"/>
      <c r="BE9" s="767"/>
      <c r="BF9" s="766" t="s">
        <v>347</v>
      </c>
      <c r="BG9" s="770"/>
      <c r="BH9" s="770"/>
      <c r="BI9" s="770"/>
      <c r="BJ9" s="770"/>
      <c r="BK9" s="767"/>
    </row>
    <row r="10" spans="1:63" ht="36" customHeight="1" x14ac:dyDescent="0.25">
      <c r="A10" s="765"/>
      <c r="B10" s="92" t="s">
        <v>348</v>
      </c>
      <c r="C10" s="92" t="s">
        <v>348</v>
      </c>
      <c r="D10" s="92" t="s">
        <v>348</v>
      </c>
      <c r="E10" s="92" t="s">
        <v>349</v>
      </c>
      <c r="F10" s="92" t="s">
        <v>348</v>
      </c>
      <c r="G10" s="92" t="s">
        <v>348</v>
      </c>
      <c r="H10" s="92" t="s">
        <v>348</v>
      </c>
      <c r="I10" s="92" t="s">
        <v>349</v>
      </c>
      <c r="J10" s="92" t="s">
        <v>348</v>
      </c>
      <c r="K10" s="92" t="s">
        <v>348</v>
      </c>
      <c r="L10" s="92" t="s">
        <v>348</v>
      </c>
      <c r="M10" s="92" t="s">
        <v>349</v>
      </c>
      <c r="N10" s="92" t="s">
        <v>348</v>
      </c>
      <c r="O10" s="92" t="s">
        <v>348</v>
      </c>
      <c r="P10" s="92" t="s">
        <v>348</v>
      </c>
      <c r="Q10" s="92" t="s">
        <v>349</v>
      </c>
      <c r="R10" s="92" t="s">
        <v>348</v>
      </c>
      <c r="S10" s="92" t="s">
        <v>349</v>
      </c>
      <c r="T10" s="99" t="s">
        <v>350</v>
      </c>
      <c r="U10" s="99" t="s">
        <v>351</v>
      </c>
      <c r="V10" s="99" t="s">
        <v>352</v>
      </c>
      <c r="W10" s="99" t="s">
        <v>353</v>
      </c>
      <c r="X10" s="100" t="s">
        <v>354</v>
      </c>
      <c r="Y10" s="99" t="s">
        <v>355</v>
      </c>
      <c r="Z10" s="92" t="s">
        <v>356</v>
      </c>
      <c r="AA10" s="101" t="s">
        <v>357</v>
      </c>
      <c r="AB10" s="92" t="s">
        <v>358</v>
      </c>
      <c r="AC10" s="92" t="s">
        <v>359</v>
      </c>
      <c r="AD10" s="92" t="s">
        <v>360</v>
      </c>
      <c r="AE10" s="92" t="s">
        <v>361</v>
      </c>
      <c r="AG10" s="765"/>
      <c r="AH10" s="92" t="s">
        <v>348</v>
      </c>
      <c r="AI10" s="92" t="s">
        <v>348</v>
      </c>
      <c r="AJ10" s="92" t="s">
        <v>348</v>
      </c>
      <c r="AK10" s="92" t="s">
        <v>349</v>
      </c>
      <c r="AL10" s="92" t="s">
        <v>348</v>
      </c>
      <c r="AM10" s="92" t="s">
        <v>348</v>
      </c>
      <c r="AN10" s="92" t="s">
        <v>348</v>
      </c>
      <c r="AO10" s="92" t="s">
        <v>349</v>
      </c>
      <c r="AP10" s="92" t="s">
        <v>348</v>
      </c>
      <c r="AQ10" s="92" t="s">
        <v>348</v>
      </c>
      <c r="AR10" s="92" t="s">
        <v>348</v>
      </c>
      <c r="AS10" s="92" t="s">
        <v>349</v>
      </c>
      <c r="AT10" s="92" t="s">
        <v>348</v>
      </c>
      <c r="AU10" s="92" t="s">
        <v>348</v>
      </c>
      <c r="AV10" s="92" t="s">
        <v>348</v>
      </c>
      <c r="AW10" s="92" t="s">
        <v>349</v>
      </c>
      <c r="AX10" s="92" t="s">
        <v>348</v>
      </c>
      <c r="AY10" s="92" t="s">
        <v>349</v>
      </c>
      <c r="AZ10" s="99" t="s">
        <v>350</v>
      </c>
      <c r="BA10" s="99" t="s">
        <v>351</v>
      </c>
      <c r="BB10" s="99" t="s">
        <v>352</v>
      </c>
      <c r="BC10" s="99" t="s">
        <v>353</v>
      </c>
      <c r="BD10" s="100" t="s">
        <v>354</v>
      </c>
      <c r="BE10" s="99" t="s">
        <v>355</v>
      </c>
      <c r="BF10" s="102" t="s">
        <v>356</v>
      </c>
      <c r="BG10" s="103" t="s">
        <v>357</v>
      </c>
      <c r="BH10" s="102" t="s">
        <v>358</v>
      </c>
      <c r="BI10" s="102" t="s">
        <v>359</v>
      </c>
      <c r="BJ10" s="102" t="s">
        <v>360</v>
      </c>
      <c r="BK10" s="102" t="s">
        <v>361</v>
      </c>
    </row>
    <row r="11" spans="1:63" ht="15" x14ac:dyDescent="0.25">
      <c r="A11" s="104" t="s">
        <v>362</v>
      </c>
      <c r="B11" s="104"/>
      <c r="C11" s="104"/>
      <c r="D11" s="104"/>
      <c r="E11" s="105"/>
      <c r="F11" s="104"/>
      <c r="G11" s="104"/>
      <c r="H11" s="104"/>
      <c r="I11" s="105"/>
      <c r="J11" s="432">
        <f>+Meta.3!J35</f>
        <v>0</v>
      </c>
      <c r="K11" s="432">
        <f>+Meta.3!K35</f>
        <v>4.0579710144927547E-2</v>
      </c>
      <c r="L11" s="432">
        <f>+Meta.3!L35</f>
        <v>0.17971014492753629</v>
      </c>
      <c r="M11" s="105">
        <f>+K89+L89</f>
        <v>39253333.333333336</v>
      </c>
      <c r="N11" s="432">
        <f>+Meta.3!M35</f>
        <v>0.25797101449275367</v>
      </c>
      <c r="O11" s="432">
        <f>+Meta.3!N35</f>
        <v>0.29420289855072468</v>
      </c>
      <c r="P11" s="432">
        <f>+Meta.3!O35</f>
        <v>0.227536231884058</v>
      </c>
      <c r="Q11" s="105">
        <f>+M89+N89+O89</f>
        <v>88320000</v>
      </c>
      <c r="R11" s="452">
        <f>B11+C11+D11+F11+G11+H11+J11+K11+L11+N11+O11+P11</f>
        <v>1.0000000000000002</v>
      </c>
      <c r="S11" s="107">
        <f>+E11+I11+M11+Q11</f>
        <v>127573333.33333334</v>
      </c>
      <c r="T11" s="108"/>
      <c r="U11" s="108"/>
      <c r="V11" s="108"/>
      <c r="W11" s="108"/>
      <c r="X11" s="108"/>
      <c r="Y11" s="109"/>
      <c r="Z11" s="109"/>
      <c r="AA11" s="109"/>
      <c r="AB11" s="109"/>
      <c r="AC11" s="109"/>
      <c r="AD11" s="109"/>
      <c r="AE11" s="110"/>
      <c r="AG11" s="104" t="s">
        <v>362</v>
      </c>
      <c r="AH11" s="104"/>
      <c r="AI11" s="104"/>
      <c r="AJ11" s="104"/>
      <c r="AK11" s="105"/>
      <c r="AL11" s="104"/>
      <c r="AM11" s="104"/>
      <c r="AN11" s="104"/>
      <c r="AO11" s="105"/>
      <c r="AP11" s="432">
        <f>+Meta.3!J35</f>
        <v>0</v>
      </c>
      <c r="AQ11" s="432">
        <f>+Meta.3!K35</f>
        <v>4.0579710144927547E-2</v>
      </c>
      <c r="AR11" s="432">
        <f>+Meta.3!L35</f>
        <v>0.17971014492753629</v>
      </c>
      <c r="AS11" s="105">
        <f>+'8198.SCPI'!AW14+'8198.SCPI'!AW16+'8198.SCPI'!AW18+'8198.SCPI'!AW20+'8198.SCPI'!AW22+'8198.SCPI'!AW24+'8198.SCPI'!AW26+'8198.SCPI'!AW28</f>
        <v>6378666.666666667</v>
      </c>
      <c r="AT11" s="432">
        <f>+Meta.3!M35</f>
        <v>0.25797101449275367</v>
      </c>
      <c r="AU11" s="432">
        <f>+Meta.3!N35</f>
        <v>0.29420289855072468</v>
      </c>
      <c r="AV11" s="432">
        <f>+Meta.3!O35</f>
        <v>0.227536231884058</v>
      </c>
      <c r="AW11" s="105"/>
      <c r="AX11" s="106">
        <f t="shared" ref="AX11:AX31" si="0">AH11+AI11+AJ11+AL11+AM11+AN11+AP11+AQ11+AR11+AT11+AU11+AV11</f>
        <v>1.0000000000000002</v>
      </c>
      <c r="AY11" s="107">
        <f>+AK11+AO11+AS11+AW11</f>
        <v>6378666.666666667</v>
      </c>
      <c r="AZ11" s="109"/>
      <c r="BA11" s="109"/>
      <c r="BB11" s="109"/>
      <c r="BC11" s="109"/>
      <c r="BD11" s="109"/>
      <c r="BE11" s="109"/>
      <c r="BF11" s="109"/>
      <c r="BG11" s="109"/>
      <c r="BH11" s="109"/>
      <c r="BI11" s="109"/>
      <c r="BJ11" s="109"/>
      <c r="BK11" s="110"/>
    </row>
    <row r="12" spans="1:63" ht="15" x14ac:dyDescent="0.25">
      <c r="A12" s="104" t="s">
        <v>363</v>
      </c>
      <c r="B12" s="104"/>
      <c r="C12" s="104"/>
      <c r="D12" s="104"/>
      <c r="E12" s="105"/>
      <c r="F12" s="104"/>
      <c r="G12" s="104"/>
      <c r="H12" s="104"/>
      <c r="I12" s="105"/>
      <c r="J12" s="104"/>
      <c r="K12" s="104"/>
      <c r="L12" s="104"/>
      <c r="M12" s="105"/>
      <c r="N12" s="104"/>
      <c r="O12" s="104"/>
      <c r="P12" s="104"/>
      <c r="Q12" s="105"/>
      <c r="R12" s="106">
        <f>B12+C12+D12+F12+G12+H12+J12+K12+L12+N12+O12+P12</f>
        <v>0</v>
      </c>
      <c r="S12" s="107">
        <f>+E12+I12+M12+Q12</f>
        <v>0</v>
      </c>
      <c r="T12" s="108"/>
      <c r="U12" s="108"/>
      <c r="V12" s="108"/>
      <c r="W12" s="108"/>
      <c r="X12" s="108"/>
      <c r="Y12" s="109"/>
      <c r="Z12" s="109"/>
      <c r="AA12" s="109"/>
      <c r="AB12" s="109"/>
      <c r="AC12" s="109"/>
      <c r="AD12" s="109"/>
      <c r="AE12" s="109"/>
      <c r="AG12" s="104" t="s">
        <v>363</v>
      </c>
      <c r="AH12" s="104"/>
      <c r="AI12" s="104"/>
      <c r="AJ12" s="104"/>
      <c r="AK12" s="105"/>
      <c r="AL12" s="104"/>
      <c r="AM12" s="104"/>
      <c r="AN12" s="104"/>
      <c r="AO12" s="105"/>
      <c r="AP12" s="104"/>
      <c r="AQ12" s="104"/>
      <c r="AR12" s="104"/>
      <c r="AS12" s="105"/>
      <c r="AT12" s="104"/>
      <c r="AU12" s="104"/>
      <c r="AV12" s="104"/>
      <c r="AW12" s="105"/>
      <c r="AX12" s="106">
        <f t="shared" si="0"/>
        <v>0</v>
      </c>
      <c r="AY12" s="107">
        <f t="shared" ref="AY12:AY31" si="1">+AK12+AO12+AS12+AW12</f>
        <v>0</v>
      </c>
      <c r="AZ12" s="109"/>
      <c r="BA12" s="109"/>
      <c r="BB12" s="109"/>
      <c r="BC12" s="109"/>
      <c r="BD12" s="109"/>
      <c r="BE12" s="109"/>
      <c r="BF12" s="109"/>
      <c r="BG12" s="109"/>
      <c r="BH12" s="109"/>
      <c r="BI12" s="109"/>
      <c r="BJ12" s="109"/>
      <c r="BK12" s="109"/>
    </row>
    <row r="13" spans="1:63" ht="15" x14ac:dyDescent="0.25">
      <c r="A13" s="104" t="s">
        <v>364</v>
      </c>
      <c r="B13" s="104"/>
      <c r="C13" s="104"/>
      <c r="D13" s="104"/>
      <c r="E13" s="105"/>
      <c r="F13" s="104"/>
      <c r="G13" s="104"/>
      <c r="H13" s="104"/>
      <c r="I13" s="105"/>
      <c r="J13" s="104"/>
      <c r="K13" s="104"/>
      <c r="L13" s="104"/>
      <c r="M13" s="105"/>
      <c r="N13" s="104"/>
      <c r="O13" s="104"/>
      <c r="P13" s="104"/>
      <c r="Q13" s="105"/>
      <c r="R13" s="106">
        <f t="shared" ref="R13:R31" si="2">B13+C13+D13+F13+G13+H13+J13+K13+L13+N13+O13+P13</f>
        <v>0</v>
      </c>
      <c r="S13" s="107">
        <f t="shared" ref="S13:S31" si="3">+E13+I13+M13+Q13</f>
        <v>0</v>
      </c>
      <c r="T13" s="108"/>
      <c r="U13" s="108"/>
      <c r="V13" s="108"/>
      <c r="W13" s="108"/>
      <c r="X13" s="108"/>
      <c r="Y13" s="109"/>
      <c r="Z13" s="109"/>
      <c r="AA13" s="109"/>
      <c r="AB13" s="109"/>
      <c r="AC13" s="109"/>
      <c r="AD13" s="109"/>
      <c r="AE13" s="109"/>
      <c r="AG13" s="104" t="s">
        <v>364</v>
      </c>
      <c r="AH13" s="104"/>
      <c r="AI13" s="104"/>
      <c r="AJ13" s="104"/>
      <c r="AK13" s="105"/>
      <c r="AL13" s="104"/>
      <c r="AM13" s="104"/>
      <c r="AN13" s="104"/>
      <c r="AO13" s="105"/>
      <c r="AP13" s="104"/>
      <c r="AQ13" s="104"/>
      <c r="AR13" s="104"/>
      <c r="AS13" s="105"/>
      <c r="AT13" s="104"/>
      <c r="AU13" s="104"/>
      <c r="AV13" s="104"/>
      <c r="AW13" s="105"/>
      <c r="AX13" s="106">
        <f t="shared" si="0"/>
        <v>0</v>
      </c>
      <c r="AY13" s="107">
        <f t="shared" si="1"/>
        <v>0</v>
      </c>
      <c r="AZ13" s="109"/>
      <c r="BA13" s="109"/>
      <c r="BB13" s="109"/>
      <c r="BC13" s="109"/>
      <c r="BD13" s="109"/>
      <c r="BE13" s="109"/>
      <c r="BF13" s="109"/>
      <c r="BG13" s="109"/>
      <c r="BH13" s="109"/>
      <c r="BI13" s="109"/>
      <c r="BJ13" s="109"/>
      <c r="BK13" s="109"/>
    </row>
    <row r="14" spans="1:63" ht="15" x14ac:dyDescent="0.25">
      <c r="A14" s="104" t="s">
        <v>365</v>
      </c>
      <c r="B14" s="104"/>
      <c r="C14" s="104"/>
      <c r="D14" s="104"/>
      <c r="E14" s="105"/>
      <c r="F14" s="104"/>
      <c r="G14" s="104"/>
      <c r="H14" s="104"/>
      <c r="I14" s="105"/>
      <c r="J14" s="104"/>
      <c r="K14" s="104"/>
      <c r="L14" s="104"/>
      <c r="M14" s="105"/>
      <c r="N14" s="104"/>
      <c r="O14" s="104"/>
      <c r="P14" s="104"/>
      <c r="Q14" s="105"/>
      <c r="R14" s="106">
        <f t="shared" si="2"/>
        <v>0</v>
      </c>
      <c r="S14" s="107">
        <f t="shared" si="3"/>
        <v>0</v>
      </c>
      <c r="T14" s="108"/>
      <c r="U14" s="108"/>
      <c r="V14" s="108"/>
      <c r="W14" s="108"/>
      <c r="X14" s="108"/>
      <c r="Y14" s="109"/>
      <c r="Z14" s="109"/>
      <c r="AA14" s="109"/>
      <c r="AB14" s="109"/>
      <c r="AC14" s="109"/>
      <c r="AD14" s="109"/>
      <c r="AE14" s="109"/>
      <c r="AG14" s="104" t="s">
        <v>365</v>
      </c>
      <c r="AH14" s="104"/>
      <c r="AI14" s="104"/>
      <c r="AJ14" s="104"/>
      <c r="AK14" s="105"/>
      <c r="AL14" s="104"/>
      <c r="AM14" s="104"/>
      <c r="AN14" s="104"/>
      <c r="AO14" s="105"/>
      <c r="AP14" s="104"/>
      <c r="AQ14" s="104"/>
      <c r="AR14" s="104"/>
      <c r="AS14" s="105"/>
      <c r="AT14" s="104"/>
      <c r="AU14" s="104"/>
      <c r="AV14" s="104"/>
      <c r="AW14" s="105"/>
      <c r="AX14" s="106">
        <f t="shared" si="0"/>
        <v>0</v>
      </c>
      <c r="AY14" s="107">
        <f t="shared" si="1"/>
        <v>0</v>
      </c>
      <c r="AZ14" s="109"/>
      <c r="BA14" s="109"/>
      <c r="BB14" s="109"/>
      <c r="BC14" s="109"/>
      <c r="BD14" s="109"/>
      <c r="BE14" s="109"/>
      <c r="BF14" s="109"/>
      <c r="BG14" s="109"/>
      <c r="BH14" s="109"/>
      <c r="BI14" s="109"/>
      <c r="BJ14" s="109"/>
      <c r="BK14" s="109"/>
    </row>
    <row r="15" spans="1:63" ht="15" x14ac:dyDescent="0.25">
      <c r="A15" s="104" t="s">
        <v>366</v>
      </c>
      <c r="B15" s="104"/>
      <c r="C15" s="104"/>
      <c r="D15" s="104"/>
      <c r="E15" s="105"/>
      <c r="F15" s="104"/>
      <c r="G15" s="104"/>
      <c r="H15" s="104"/>
      <c r="I15" s="105"/>
      <c r="J15" s="104"/>
      <c r="K15" s="104"/>
      <c r="L15" s="104"/>
      <c r="M15" s="105"/>
      <c r="N15" s="104"/>
      <c r="O15" s="104"/>
      <c r="P15" s="104"/>
      <c r="Q15" s="105"/>
      <c r="R15" s="106">
        <f t="shared" si="2"/>
        <v>0</v>
      </c>
      <c r="S15" s="107">
        <f t="shared" si="3"/>
        <v>0</v>
      </c>
      <c r="T15" s="108"/>
      <c r="U15" s="108"/>
      <c r="V15" s="108"/>
      <c r="W15" s="108"/>
      <c r="X15" s="108"/>
      <c r="Y15" s="109"/>
      <c r="Z15" s="109"/>
      <c r="AA15" s="109"/>
      <c r="AB15" s="109"/>
      <c r="AC15" s="109"/>
      <c r="AD15" s="109"/>
      <c r="AE15" s="109"/>
      <c r="AG15" s="104" t="s">
        <v>366</v>
      </c>
      <c r="AH15" s="104"/>
      <c r="AI15" s="104"/>
      <c r="AJ15" s="104"/>
      <c r="AK15" s="105"/>
      <c r="AL15" s="104"/>
      <c r="AM15" s="104"/>
      <c r="AN15" s="104"/>
      <c r="AO15" s="105"/>
      <c r="AP15" s="104"/>
      <c r="AQ15" s="104"/>
      <c r="AR15" s="104"/>
      <c r="AS15" s="105"/>
      <c r="AT15" s="104"/>
      <c r="AU15" s="104"/>
      <c r="AV15" s="104"/>
      <c r="AW15" s="105"/>
      <c r="AX15" s="106">
        <f t="shared" si="0"/>
        <v>0</v>
      </c>
      <c r="AY15" s="107">
        <f t="shared" si="1"/>
        <v>0</v>
      </c>
      <c r="AZ15" s="109"/>
      <c r="BA15" s="109"/>
      <c r="BB15" s="109"/>
      <c r="BC15" s="109"/>
      <c r="BD15" s="109"/>
      <c r="BE15" s="109"/>
      <c r="BF15" s="109"/>
      <c r="BG15" s="109"/>
      <c r="BH15" s="109"/>
      <c r="BI15" s="109"/>
      <c r="BJ15" s="109"/>
      <c r="BK15" s="109"/>
    </row>
    <row r="16" spans="1:63" ht="15" x14ac:dyDescent="0.25">
      <c r="A16" s="104" t="s">
        <v>367</v>
      </c>
      <c r="B16" s="104"/>
      <c r="C16" s="104"/>
      <c r="D16" s="104"/>
      <c r="E16" s="105"/>
      <c r="F16" s="104"/>
      <c r="G16" s="104"/>
      <c r="H16" s="104"/>
      <c r="I16" s="105"/>
      <c r="J16" s="104"/>
      <c r="K16" s="104"/>
      <c r="L16" s="104"/>
      <c r="M16" s="105"/>
      <c r="N16" s="104"/>
      <c r="O16" s="104"/>
      <c r="P16" s="104"/>
      <c r="Q16" s="105"/>
      <c r="R16" s="106">
        <f t="shared" si="2"/>
        <v>0</v>
      </c>
      <c r="S16" s="107">
        <f t="shared" si="3"/>
        <v>0</v>
      </c>
      <c r="T16" s="108"/>
      <c r="U16" s="108"/>
      <c r="V16" s="108"/>
      <c r="W16" s="108"/>
      <c r="X16" s="108"/>
      <c r="Y16" s="109"/>
      <c r="Z16" s="109"/>
      <c r="AA16" s="109"/>
      <c r="AB16" s="109"/>
      <c r="AC16" s="109"/>
      <c r="AD16" s="109"/>
      <c r="AE16" s="109"/>
      <c r="AG16" s="104" t="s">
        <v>367</v>
      </c>
      <c r="AH16" s="104"/>
      <c r="AI16" s="104"/>
      <c r="AJ16" s="104"/>
      <c r="AK16" s="105"/>
      <c r="AL16" s="104"/>
      <c r="AM16" s="104"/>
      <c r="AN16" s="104"/>
      <c r="AO16" s="105"/>
      <c r="AP16" s="104"/>
      <c r="AQ16" s="104"/>
      <c r="AR16" s="104"/>
      <c r="AS16" s="105"/>
      <c r="AT16" s="104"/>
      <c r="AU16" s="104"/>
      <c r="AV16" s="104"/>
      <c r="AW16" s="105"/>
      <c r="AX16" s="106">
        <f t="shared" si="0"/>
        <v>0</v>
      </c>
      <c r="AY16" s="107">
        <f t="shared" si="1"/>
        <v>0</v>
      </c>
      <c r="AZ16" s="109"/>
      <c r="BA16" s="109"/>
      <c r="BB16" s="109"/>
      <c r="BC16" s="109"/>
      <c r="BD16" s="109"/>
      <c r="BE16" s="109"/>
      <c r="BF16" s="109"/>
      <c r="BG16" s="109"/>
      <c r="BH16" s="109"/>
      <c r="BI16" s="109"/>
      <c r="BJ16" s="109"/>
      <c r="BK16" s="109"/>
    </row>
    <row r="17" spans="1:63" ht="15" x14ac:dyDescent="0.25">
      <c r="A17" s="104" t="s">
        <v>368</v>
      </c>
      <c r="B17" s="104"/>
      <c r="C17" s="104"/>
      <c r="D17" s="104"/>
      <c r="E17" s="105"/>
      <c r="F17" s="104"/>
      <c r="G17" s="104"/>
      <c r="H17" s="104"/>
      <c r="I17" s="105"/>
      <c r="J17" s="104"/>
      <c r="K17" s="104"/>
      <c r="L17" s="104"/>
      <c r="M17" s="105"/>
      <c r="N17" s="104"/>
      <c r="O17" s="104"/>
      <c r="P17" s="104"/>
      <c r="Q17" s="105"/>
      <c r="R17" s="106">
        <f t="shared" si="2"/>
        <v>0</v>
      </c>
      <c r="S17" s="107">
        <f t="shared" si="3"/>
        <v>0</v>
      </c>
      <c r="T17" s="108"/>
      <c r="U17" s="108"/>
      <c r="V17" s="108"/>
      <c r="W17" s="108"/>
      <c r="X17" s="108"/>
      <c r="Y17" s="109"/>
      <c r="Z17" s="109"/>
      <c r="AA17" s="109"/>
      <c r="AB17" s="109"/>
      <c r="AC17" s="109"/>
      <c r="AD17" s="109"/>
      <c r="AE17" s="109"/>
      <c r="AG17" s="104" t="s">
        <v>368</v>
      </c>
      <c r="AH17" s="104"/>
      <c r="AI17" s="104"/>
      <c r="AJ17" s="104"/>
      <c r="AK17" s="105"/>
      <c r="AL17" s="104"/>
      <c r="AM17" s="104"/>
      <c r="AN17" s="104"/>
      <c r="AO17" s="105"/>
      <c r="AP17" s="104"/>
      <c r="AQ17" s="104"/>
      <c r="AR17" s="104"/>
      <c r="AS17" s="105"/>
      <c r="AT17" s="104"/>
      <c r="AU17" s="104"/>
      <c r="AV17" s="104"/>
      <c r="AW17" s="105"/>
      <c r="AX17" s="106">
        <f t="shared" si="0"/>
        <v>0</v>
      </c>
      <c r="AY17" s="107">
        <f t="shared" si="1"/>
        <v>0</v>
      </c>
      <c r="AZ17" s="109"/>
      <c r="BA17" s="109"/>
      <c r="BB17" s="109"/>
      <c r="BC17" s="109"/>
      <c r="BD17" s="109"/>
      <c r="BE17" s="109"/>
      <c r="BF17" s="109"/>
      <c r="BG17" s="109"/>
      <c r="BH17" s="109"/>
      <c r="BI17" s="109"/>
      <c r="BJ17" s="109"/>
      <c r="BK17" s="109"/>
    </row>
    <row r="18" spans="1:63" ht="15" x14ac:dyDescent="0.25">
      <c r="A18" s="104" t="s">
        <v>369</v>
      </c>
      <c r="B18" s="104"/>
      <c r="C18" s="104"/>
      <c r="D18" s="104"/>
      <c r="E18" s="105"/>
      <c r="F18" s="104"/>
      <c r="G18" s="104"/>
      <c r="H18" s="104"/>
      <c r="I18" s="105"/>
      <c r="J18" s="104"/>
      <c r="K18" s="104"/>
      <c r="L18" s="104"/>
      <c r="M18" s="105"/>
      <c r="N18" s="104"/>
      <c r="O18" s="104"/>
      <c r="P18" s="104"/>
      <c r="Q18" s="105"/>
      <c r="R18" s="106">
        <f t="shared" si="2"/>
        <v>0</v>
      </c>
      <c r="S18" s="107">
        <f t="shared" si="3"/>
        <v>0</v>
      </c>
      <c r="T18" s="108"/>
      <c r="U18" s="108"/>
      <c r="V18" s="108"/>
      <c r="W18" s="108"/>
      <c r="X18" s="108"/>
      <c r="Y18" s="109"/>
      <c r="Z18" s="109"/>
      <c r="AA18" s="109"/>
      <c r="AB18" s="109"/>
      <c r="AC18" s="109"/>
      <c r="AD18" s="109"/>
      <c r="AE18" s="109"/>
      <c r="AG18" s="104" t="s">
        <v>369</v>
      </c>
      <c r="AH18" s="104"/>
      <c r="AI18" s="104"/>
      <c r="AJ18" s="104"/>
      <c r="AK18" s="105"/>
      <c r="AL18" s="104"/>
      <c r="AM18" s="104"/>
      <c r="AN18" s="104"/>
      <c r="AO18" s="105"/>
      <c r="AP18" s="104"/>
      <c r="AQ18" s="104"/>
      <c r="AR18" s="104"/>
      <c r="AS18" s="105"/>
      <c r="AT18" s="104"/>
      <c r="AU18" s="104"/>
      <c r="AV18" s="104"/>
      <c r="AW18" s="105"/>
      <c r="AX18" s="106">
        <f t="shared" si="0"/>
        <v>0</v>
      </c>
      <c r="AY18" s="107">
        <f t="shared" si="1"/>
        <v>0</v>
      </c>
      <c r="AZ18" s="109"/>
      <c r="BA18" s="109"/>
      <c r="BB18" s="109"/>
      <c r="BC18" s="109"/>
      <c r="BD18" s="109"/>
      <c r="BE18" s="109"/>
      <c r="BF18" s="109"/>
      <c r="BG18" s="109"/>
      <c r="BH18" s="109"/>
      <c r="BI18" s="109"/>
      <c r="BJ18" s="109"/>
      <c r="BK18" s="109"/>
    </row>
    <row r="19" spans="1:63" ht="15" x14ac:dyDescent="0.25">
      <c r="A19" s="104" t="s">
        <v>370</v>
      </c>
      <c r="B19" s="104"/>
      <c r="C19" s="104"/>
      <c r="D19" s="104"/>
      <c r="E19" s="105"/>
      <c r="F19" s="104"/>
      <c r="G19" s="104"/>
      <c r="H19" s="104"/>
      <c r="I19" s="105"/>
      <c r="J19" s="104"/>
      <c r="K19" s="104"/>
      <c r="L19" s="104"/>
      <c r="M19" s="105"/>
      <c r="N19" s="104"/>
      <c r="O19" s="104"/>
      <c r="P19" s="104"/>
      <c r="Q19" s="105"/>
      <c r="R19" s="106">
        <f t="shared" si="2"/>
        <v>0</v>
      </c>
      <c r="S19" s="107">
        <f t="shared" si="3"/>
        <v>0</v>
      </c>
      <c r="T19" s="108"/>
      <c r="U19" s="108"/>
      <c r="V19" s="108"/>
      <c r="W19" s="108"/>
      <c r="X19" s="108"/>
      <c r="Y19" s="109"/>
      <c r="Z19" s="109"/>
      <c r="AA19" s="109"/>
      <c r="AB19" s="109"/>
      <c r="AC19" s="109"/>
      <c r="AD19" s="109"/>
      <c r="AE19" s="109"/>
      <c r="AG19" s="104" t="s">
        <v>370</v>
      </c>
      <c r="AH19" s="104"/>
      <c r="AI19" s="104"/>
      <c r="AJ19" s="104"/>
      <c r="AK19" s="105"/>
      <c r="AL19" s="104"/>
      <c r="AM19" s="104"/>
      <c r="AN19" s="104"/>
      <c r="AO19" s="105"/>
      <c r="AP19" s="104"/>
      <c r="AQ19" s="104"/>
      <c r="AR19" s="104"/>
      <c r="AS19" s="105"/>
      <c r="AT19" s="104"/>
      <c r="AU19" s="104"/>
      <c r="AV19" s="104"/>
      <c r="AW19" s="105"/>
      <c r="AX19" s="106">
        <f t="shared" si="0"/>
        <v>0</v>
      </c>
      <c r="AY19" s="107">
        <f t="shared" si="1"/>
        <v>0</v>
      </c>
      <c r="AZ19" s="109"/>
      <c r="BA19" s="109"/>
      <c r="BB19" s="109"/>
      <c r="BC19" s="109"/>
      <c r="BD19" s="109"/>
      <c r="BE19" s="109"/>
      <c r="BF19" s="109"/>
      <c r="BG19" s="109"/>
      <c r="BH19" s="109"/>
      <c r="BI19" s="104"/>
      <c r="BJ19" s="104"/>
      <c r="BK19" s="104"/>
    </row>
    <row r="20" spans="1:63" ht="15" x14ac:dyDescent="0.25">
      <c r="A20" s="104" t="s">
        <v>371</v>
      </c>
      <c r="B20" s="104"/>
      <c r="C20" s="104"/>
      <c r="D20" s="104"/>
      <c r="E20" s="105"/>
      <c r="F20" s="104"/>
      <c r="G20" s="104"/>
      <c r="H20" s="104"/>
      <c r="I20" s="105"/>
      <c r="J20" s="104"/>
      <c r="K20" s="104"/>
      <c r="L20" s="104"/>
      <c r="M20" s="105"/>
      <c r="N20" s="104"/>
      <c r="O20" s="104"/>
      <c r="P20" s="104"/>
      <c r="Q20" s="105"/>
      <c r="R20" s="106">
        <f t="shared" si="2"/>
        <v>0</v>
      </c>
      <c r="S20" s="107">
        <f t="shared" si="3"/>
        <v>0</v>
      </c>
      <c r="T20" s="108"/>
      <c r="U20" s="108"/>
      <c r="V20" s="108"/>
      <c r="W20" s="108"/>
      <c r="X20" s="108"/>
      <c r="Y20" s="109"/>
      <c r="Z20" s="109"/>
      <c r="AA20" s="109"/>
      <c r="AB20" s="109"/>
      <c r="AC20" s="109"/>
      <c r="AD20" s="109"/>
      <c r="AE20" s="109"/>
      <c r="AG20" s="104" t="s">
        <v>371</v>
      </c>
      <c r="AH20" s="104"/>
      <c r="AI20" s="104"/>
      <c r="AJ20" s="104"/>
      <c r="AK20" s="105"/>
      <c r="AL20" s="104"/>
      <c r="AM20" s="104"/>
      <c r="AN20" s="104"/>
      <c r="AO20" s="105"/>
      <c r="AP20" s="104"/>
      <c r="AQ20" s="104"/>
      <c r="AR20" s="104"/>
      <c r="AS20" s="105"/>
      <c r="AT20" s="104"/>
      <c r="AU20" s="104"/>
      <c r="AV20" s="104"/>
      <c r="AW20" s="105"/>
      <c r="AX20" s="106">
        <f t="shared" si="0"/>
        <v>0</v>
      </c>
      <c r="AY20" s="107">
        <f t="shared" si="1"/>
        <v>0</v>
      </c>
      <c r="AZ20" s="109"/>
      <c r="BA20" s="109"/>
      <c r="BB20" s="109"/>
      <c r="BC20" s="109"/>
      <c r="BD20" s="109"/>
      <c r="BE20" s="109"/>
      <c r="BF20" s="109"/>
      <c r="BG20" s="109"/>
      <c r="BH20" s="109"/>
      <c r="BI20" s="104"/>
      <c r="BJ20" s="104"/>
      <c r="BK20" s="104"/>
    </row>
    <row r="21" spans="1:63" ht="15" x14ac:dyDescent="0.25">
      <c r="A21" s="104" t="s">
        <v>372</v>
      </c>
      <c r="B21" s="104"/>
      <c r="C21" s="104"/>
      <c r="D21" s="104"/>
      <c r="E21" s="105"/>
      <c r="F21" s="104"/>
      <c r="G21" s="104"/>
      <c r="H21" s="104"/>
      <c r="I21" s="105"/>
      <c r="J21" s="104"/>
      <c r="K21" s="104"/>
      <c r="L21" s="104"/>
      <c r="M21" s="105"/>
      <c r="N21" s="104"/>
      <c r="O21" s="104"/>
      <c r="P21" s="104"/>
      <c r="Q21" s="105"/>
      <c r="R21" s="106">
        <f t="shared" si="2"/>
        <v>0</v>
      </c>
      <c r="S21" s="107">
        <f t="shared" si="3"/>
        <v>0</v>
      </c>
      <c r="T21" s="108"/>
      <c r="U21" s="108"/>
      <c r="V21" s="108"/>
      <c r="W21" s="108"/>
      <c r="X21" s="108"/>
      <c r="Y21" s="109"/>
      <c r="Z21" s="109"/>
      <c r="AA21" s="109"/>
      <c r="AB21" s="109"/>
      <c r="AC21" s="109"/>
      <c r="AD21" s="109"/>
      <c r="AE21" s="109"/>
      <c r="AG21" s="104" t="s">
        <v>372</v>
      </c>
      <c r="AH21" s="104"/>
      <c r="AI21" s="104"/>
      <c r="AJ21" s="104"/>
      <c r="AK21" s="105"/>
      <c r="AL21" s="104"/>
      <c r="AM21" s="104"/>
      <c r="AN21" s="104"/>
      <c r="AO21" s="105"/>
      <c r="AP21" s="104"/>
      <c r="AQ21" s="104"/>
      <c r="AR21" s="104"/>
      <c r="AS21" s="105"/>
      <c r="AT21" s="104"/>
      <c r="AU21" s="104"/>
      <c r="AV21" s="104"/>
      <c r="AW21" s="105"/>
      <c r="AX21" s="106">
        <f t="shared" si="0"/>
        <v>0</v>
      </c>
      <c r="AY21" s="107">
        <f t="shared" si="1"/>
        <v>0</v>
      </c>
      <c r="AZ21" s="109"/>
      <c r="BA21" s="109"/>
      <c r="BB21" s="109"/>
      <c r="BC21" s="109"/>
      <c r="BD21" s="109"/>
      <c r="BE21" s="109"/>
      <c r="BF21" s="109"/>
      <c r="BG21" s="109"/>
      <c r="BH21" s="109"/>
      <c r="BI21" s="104"/>
      <c r="BJ21" s="104"/>
      <c r="BK21" s="104"/>
    </row>
    <row r="22" spans="1:63" ht="15" x14ac:dyDescent="0.25">
      <c r="A22" s="104" t="s">
        <v>373</v>
      </c>
      <c r="B22" s="104"/>
      <c r="C22" s="104"/>
      <c r="D22" s="104"/>
      <c r="E22" s="105"/>
      <c r="F22" s="104"/>
      <c r="G22" s="104"/>
      <c r="H22" s="104"/>
      <c r="I22" s="105"/>
      <c r="J22" s="104"/>
      <c r="K22" s="104"/>
      <c r="L22" s="104"/>
      <c r="M22" s="105"/>
      <c r="N22" s="104"/>
      <c r="O22" s="104"/>
      <c r="P22" s="104"/>
      <c r="Q22" s="105"/>
      <c r="R22" s="106">
        <f t="shared" si="2"/>
        <v>0</v>
      </c>
      <c r="S22" s="107">
        <f t="shared" si="3"/>
        <v>0</v>
      </c>
      <c r="T22" s="108"/>
      <c r="U22" s="108"/>
      <c r="V22" s="108"/>
      <c r="W22" s="108"/>
      <c r="X22" s="108"/>
      <c r="Y22" s="109"/>
      <c r="Z22" s="109"/>
      <c r="AA22" s="109"/>
      <c r="AB22" s="109"/>
      <c r="AC22" s="109"/>
      <c r="AD22" s="109"/>
      <c r="AE22" s="109"/>
      <c r="AG22" s="104" t="s">
        <v>373</v>
      </c>
      <c r="AH22" s="104"/>
      <c r="AI22" s="104"/>
      <c r="AJ22" s="104"/>
      <c r="AK22" s="105"/>
      <c r="AL22" s="104"/>
      <c r="AM22" s="104"/>
      <c r="AN22" s="104"/>
      <c r="AO22" s="105"/>
      <c r="AP22" s="104"/>
      <c r="AQ22" s="104"/>
      <c r="AR22" s="104"/>
      <c r="AS22" s="105"/>
      <c r="AT22" s="104"/>
      <c r="AU22" s="104"/>
      <c r="AV22" s="104"/>
      <c r="AW22" s="105"/>
      <c r="AX22" s="106">
        <f t="shared" si="0"/>
        <v>0</v>
      </c>
      <c r="AY22" s="107">
        <f t="shared" si="1"/>
        <v>0</v>
      </c>
      <c r="AZ22" s="109"/>
      <c r="BA22" s="109"/>
      <c r="BB22" s="109"/>
      <c r="BC22" s="109"/>
      <c r="BD22" s="109"/>
      <c r="BE22" s="109"/>
      <c r="BF22" s="109"/>
      <c r="BG22" s="109"/>
      <c r="BH22" s="109"/>
      <c r="BI22" s="109"/>
      <c r="BJ22" s="109"/>
      <c r="BK22" s="109"/>
    </row>
    <row r="23" spans="1:63" ht="15" x14ac:dyDescent="0.25">
      <c r="A23" s="104" t="s">
        <v>374</v>
      </c>
      <c r="B23" s="104"/>
      <c r="C23" s="104"/>
      <c r="D23" s="104"/>
      <c r="E23" s="105"/>
      <c r="F23" s="104"/>
      <c r="G23" s="104"/>
      <c r="H23" s="104"/>
      <c r="I23" s="105"/>
      <c r="J23" s="104"/>
      <c r="K23" s="104"/>
      <c r="L23" s="104"/>
      <c r="M23" s="105"/>
      <c r="N23" s="104"/>
      <c r="O23" s="104"/>
      <c r="P23" s="104"/>
      <c r="Q23" s="105"/>
      <c r="R23" s="106">
        <f t="shared" si="2"/>
        <v>0</v>
      </c>
      <c r="S23" s="107">
        <f t="shared" si="3"/>
        <v>0</v>
      </c>
      <c r="T23" s="108"/>
      <c r="U23" s="108"/>
      <c r="V23" s="108"/>
      <c r="W23" s="108"/>
      <c r="X23" s="108"/>
      <c r="Y23" s="109"/>
      <c r="Z23" s="109"/>
      <c r="AA23" s="109"/>
      <c r="AB23" s="109"/>
      <c r="AC23" s="109"/>
      <c r="AD23" s="109"/>
      <c r="AE23" s="109"/>
      <c r="AG23" s="104" t="s">
        <v>374</v>
      </c>
      <c r="AH23" s="104"/>
      <c r="AI23" s="104"/>
      <c r="AJ23" s="104"/>
      <c r="AK23" s="105"/>
      <c r="AL23" s="104"/>
      <c r="AM23" s="104"/>
      <c r="AN23" s="104"/>
      <c r="AO23" s="105"/>
      <c r="AP23" s="104"/>
      <c r="AQ23" s="104"/>
      <c r="AR23" s="104"/>
      <c r="AS23" s="105"/>
      <c r="AT23" s="104"/>
      <c r="AU23" s="104"/>
      <c r="AV23" s="104"/>
      <c r="AW23" s="105"/>
      <c r="AX23" s="106">
        <f t="shared" si="0"/>
        <v>0</v>
      </c>
      <c r="AY23" s="107">
        <f t="shared" si="1"/>
        <v>0</v>
      </c>
      <c r="AZ23" s="109"/>
      <c r="BA23" s="109"/>
      <c r="BB23" s="109"/>
      <c r="BC23" s="109"/>
      <c r="BD23" s="109"/>
      <c r="BE23" s="109"/>
      <c r="BF23" s="109"/>
      <c r="BG23" s="109"/>
      <c r="BH23" s="109"/>
      <c r="BI23" s="109"/>
      <c r="BJ23" s="109"/>
      <c r="BK23" s="109"/>
    </row>
    <row r="24" spans="1:63" ht="15" x14ac:dyDescent="0.25">
      <c r="A24" s="104" t="s">
        <v>375</v>
      </c>
      <c r="B24" s="104"/>
      <c r="C24" s="104"/>
      <c r="D24" s="104"/>
      <c r="E24" s="105"/>
      <c r="F24" s="104"/>
      <c r="G24" s="104"/>
      <c r="H24" s="104"/>
      <c r="I24" s="105"/>
      <c r="J24" s="104"/>
      <c r="K24" s="104"/>
      <c r="L24" s="104"/>
      <c r="M24" s="105"/>
      <c r="N24" s="104"/>
      <c r="O24" s="104"/>
      <c r="P24" s="104"/>
      <c r="Q24" s="105"/>
      <c r="R24" s="106">
        <f t="shared" si="2"/>
        <v>0</v>
      </c>
      <c r="S24" s="107">
        <f t="shared" si="3"/>
        <v>0</v>
      </c>
      <c r="T24" s="108"/>
      <c r="U24" s="108"/>
      <c r="V24" s="108"/>
      <c r="W24" s="108"/>
      <c r="X24" s="108"/>
      <c r="Y24" s="109"/>
      <c r="Z24" s="109"/>
      <c r="AA24" s="109"/>
      <c r="AB24" s="109"/>
      <c r="AC24" s="109"/>
      <c r="AD24" s="109"/>
      <c r="AE24" s="109"/>
      <c r="AG24" s="104" t="s">
        <v>375</v>
      </c>
      <c r="AH24" s="104"/>
      <c r="AI24" s="104"/>
      <c r="AJ24" s="104"/>
      <c r="AK24" s="105"/>
      <c r="AL24" s="104"/>
      <c r="AM24" s="104"/>
      <c r="AN24" s="104"/>
      <c r="AO24" s="105"/>
      <c r="AP24" s="104"/>
      <c r="AQ24" s="104"/>
      <c r="AR24" s="104"/>
      <c r="AS24" s="105"/>
      <c r="AT24" s="104"/>
      <c r="AU24" s="104"/>
      <c r="AV24" s="104"/>
      <c r="AW24" s="105"/>
      <c r="AX24" s="106">
        <f t="shared" si="0"/>
        <v>0</v>
      </c>
      <c r="AY24" s="107">
        <f t="shared" si="1"/>
        <v>0</v>
      </c>
      <c r="AZ24" s="109"/>
      <c r="BA24" s="109"/>
      <c r="BB24" s="109"/>
      <c r="BC24" s="109"/>
      <c r="BD24" s="109"/>
      <c r="BE24" s="109"/>
      <c r="BF24" s="109"/>
      <c r="BG24" s="109"/>
      <c r="BH24" s="109"/>
      <c r="BI24" s="109"/>
      <c r="BJ24" s="109"/>
      <c r="BK24" s="109"/>
    </row>
    <row r="25" spans="1:63" ht="15" x14ac:dyDescent="0.25">
      <c r="A25" s="104" t="s">
        <v>376</v>
      </c>
      <c r="B25" s="104"/>
      <c r="C25" s="104"/>
      <c r="D25" s="104"/>
      <c r="E25" s="105"/>
      <c r="F25" s="104"/>
      <c r="G25" s="104"/>
      <c r="H25" s="104"/>
      <c r="I25" s="105"/>
      <c r="J25" s="104"/>
      <c r="K25" s="104"/>
      <c r="L25" s="104"/>
      <c r="M25" s="105"/>
      <c r="N25" s="104"/>
      <c r="O25" s="104"/>
      <c r="P25" s="104"/>
      <c r="Q25" s="105"/>
      <c r="R25" s="106">
        <f t="shared" si="2"/>
        <v>0</v>
      </c>
      <c r="S25" s="107">
        <f t="shared" si="3"/>
        <v>0</v>
      </c>
      <c r="T25" s="108"/>
      <c r="U25" s="108"/>
      <c r="V25" s="108"/>
      <c r="W25" s="108"/>
      <c r="X25" s="108"/>
      <c r="Y25" s="109"/>
      <c r="Z25" s="109"/>
      <c r="AA25" s="109"/>
      <c r="AB25" s="109"/>
      <c r="AC25" s="109"/>
      <c r="AD25" s="109"/>
      <c r="AE25" s="109"/>
      <c r="AG25" s="104" t="s">
        <v>376</v>
      </c>
      <c r="AH25" s="104"/>
      <c r="AI25" s="104"/>
      <c r="AJ25" s="104"/>
      <c r="AK25" s="105"/>
      <c r="AL25" s="104"/>
      <c r="AM25" s="104"/>
      <c r="AN25" s="104"/>
      <c r="AO25" s="105"/>
      <c r="AP25" s="104"/>
      <c r="AQ25" s="104"/>
      <c r="AR25" s="104"/>
      <c r="AS25" s="105"/>
      <c r="AT25" s="104"/>
      <c r="AU25" s="104"/>
      <c r="AV25" s="104"/>
      <c r="AW25" s="105"/>
      <c r="AX25" s="106">
        <f t="shared" si="0"/>
        <v>0</v>
      </c>
      <c r="AY25" s="107">
        <f t="shared" si="1"/>
        <v>0</v>
      </c>
      <c r="AZ25" s="109"/>
      <c r="BA25" s="109"/>
      <c r="BB25" s="109"/>
      <c r="BC25" s="109"/>
      <c r="BD25" s="109"/>
      <c r="BE25" s="109"/>
      <c r="BF25" s="109"/>
      <c r="BG25" s="109"/>
      <c r="BH25" s="109"/>
      <c r="BI25" s="109"/>
      <c r="BJ25" s="109"/>
      <c r="BK25" s="109"/>
    </row>
    <row r="26" spans="1:63" ht="15" x14ac:dyDescent="0.25">
      <c r="A26" s="104" t="s">
        <v>377</v>
      </c>
      <c r="B26" s="104"/>
      <c r="C26" s="104"/>
      <c r="D26" s="104"/>
      <c r="E26" s="105"/>
      <c r="F26" s="104"/>
      <c r="G26" s="104"/>
      <c r="H26" s="104"/>
      <c r="I26" s="105"/>
      <c r="J26" s="104"/>
      <c r="K26" s="104"/>
      <c r="L26" s="104"/>
      <c r="M26" s="105"/>
      <c r="N26" s="104"/>
      <c r="O26" s="104"/>
      <c r="P26" s="104"/>
      <c r="Q26" s="105"/>
      <c r="R26" s="106">
        <f t="shared" si="2"/>
        <v>0</v>
      </c>
      <c r="S26" s="107">
        <f t="shared" si="3"/>
        <v>0</v>
      </c>
      <c r="T26" s="108"/>
      <c r="U26" s="108"/>
      <c r="V26" s="108"/>
      <c r="W26" s="108"/>
      <c r="X26" s="108"/>
      <c r="Y26" s="109"/>
      <c r="Z26" s="109"/>
      <c r="AA26" s="109"/>
      <c r="AB26" s="109"/>
      <c r="AC26" s="109"/>
      <c r="AD26" s="109"/>
      <c r="AE26" s="109"/>
      <c r="AG26" s="104" t="s">
        <v>377</v>
      </c>
      <c r="AH26" s="104"/>
      <c r="AI26" s="104"/>
      <c r="AJ26" s="104"/>
      <c r="AK26" s="105"/>
      <c r="AL26" s="104"/>
      <c r="AM26" s="104"/>
      <c r="AN26" s="104"/>
      <c r="AO26" s="105"/>
      <c r="AP26" s="104"/>
      <c r="AQ26" s="104"/>
      <c r="AR26" s="104"/>
      <c r="AS26" s="105"/>
      <c r="AT26" s="104"/>
      <c r="AU26" s="104"/>
      <c r="AV26" s="104"/>
      <c r="AW26" s="105"/>
      <c r="AX26" s="106">
        <f t="shared" si="0"/>
        <v>0</v>
      </c>
      <c r="AY26" s="107">
        <f t="shared" si="1"/>
        <v>0</v>
      </c>
      <c r="AZ26" s="109"/>
      <c r="BA26" s="109"/>
      <c r="BB26" s="109"/>
      <c r="BC26" s="109"/>
      <c r="BD26" s="109"/>
      <c r="BE26" s="109"/>
      <c r="BF26" s="109"/>
      <c r="BG26" s="109"/>
      <c r="BH26" s="109"/>
      <c r="BI26" s="109"/>
      <c r="BJ26" s="109"/>
      <c r="BK26" s="109"/>
    </row>
    <row r="27" spans="1:63" ht="15" x14ac:dyDescent="0.25">
      <c r="A27" s="104" t="s">
        <v>378</v>
      </c>
      <c r="B27" s="104"/>
      <c r="C27" s="104"/>
      <c r="D27" s="104"/>
      <c r="E27" s="105"/>
      <c r="F27" s="104"/>
      <c r="G27" s="104"/>
      <c r="H27" s="104"/>
      <c r="I27" s="105"/>
      <c r="J27" s="104"/>
      <c r="K27" s="104"/>
      <c r="L27" s="104"/>
      <c r="M27" s="105"/>
      <c r="N27" s="104"/>
      <c r="O27" s="104"/>
      <c r="P27" s="104"/>
      <c r="Q27" s="105"/>
      <c r="R27" s="106">
        <f t="shared" si="2"/>
        <v>0</v>
      </c>
      <c r="S27" s="107">
        <f t="shared" si="3"/>
        <v>0</v>
      </c>
      <c r="T27" s="108"/>
      <c r="U27" s="108"/>
      <c r="V27" s="108"/>
      <c r="W27" s="108"/>
      <c r="X27" s="108"/>
      <c r="Y27" s="109"/>
      <c r="Z27" s="109"/>
      <c r="AA27" s="109"/>
      <c r="AB27" s="109"/>
      <c r="AC27" s="109"/>
      <c r="AD27" s="109"/>
      <c r="AE27" s="109"/>
      <c r="AG27" s="104" t="s">
        <v>378</v>
      </c>
      <c r="AH27" s="104"/>
      <c r="AI27" s="104"/>
      <c r="AJ27" s="104"/>
      <c r="AK27" s="105"/>
      <c r="AL27" s="104"/>
      <c r="AM27" s="104"/>
      <c r="AN27" s="104"/>
      <c r="AO27" s="105"/>
      <c r="AP27" s="104"/>
      <c r="AQ27" s="104"/>
      <c r="AR27" s="104"/>
      <c r="AS27" s="105"/>
      <c r="AT27" s="104"/>
      <c r="AU27" s="104"/>
      <c r="AV27" s="104"/>
      <c r="AW27" s="105"/>
      <c r="AX27" s="106">
        <f t="shared" si="0"/>
        <v>0</v>
      </c>
      <c r="AY27" s="107">
        <f t="shared" si="1"/>
        <v>0</v>
      </c>
      <c r="AZ27" s="109"/>
      <c r="BA27" s="109"/>
      <c r="BB27" s="109"/>
      <c r="BC27" s="109"/>
      <c r="BD27" s="109"/>
      <c r="BE27" s="109"/>
      <c r="BF27" s="109"/>
      <c r="BG27" s="109"/>
      <c r="BH27" s="109"/>
      <c r="BI27" s="109"/>
      <c r="BJ27" s="109"/>
      <c r="BK27" s="109"/>
    </row>
    <row r="28" spans="1:63" ht="15" x14ac:dyDescent="0.25">
      <c r="A28" s="104" t="s">
        <v>379</v>
      </c>
      <c r="B28" s="104"/>
      <c r="C28" s="104"/>
      <c r="D28" s="104"/>
      <c r="E28" s="105"/>
      <c r="F28" s="104"/>
      <c r="G28" s="104"/>
      <c r="H28" s="104"/>
      <c r="I28" s="105"/>
      <c r="J28" s="104"/>
      <c r="K28" s="104"/>
      <c r="L28" s="104"/>
      <c r="M28" s="105"/>
      <c r="N28" s="104"/>
      <c r="O28" s="104"/>
      <c r="P28" s="104"/>
      <c r="Q28" s="105"/>
      <c r="R28" s="106">
        <f t="shared" si="2"/>
        <v>0</v>
      </c>
      <c r="S28" s="107">
        <f t="shared" si="3"/>
        <v>0</v>
      </c>
      <c r="T28" s="108"/>
      <c r="U28" s="108"/>
      <c r="V28" s="108"/>
      <c r="W28" s="108"/>
      <c r="X28" s="108"/>
      <c r="Y28" s="109"/>
      <c r="Z28" s="109"/>
      <c r="AA28" s="109"/>
      <c r="AB28" s="109"/>
      <c r="AC28" s="109"/>
      <c r="AD28" s="109"/>
      <c r="AE28" s="109"/>
      <c r="AG28" s="104" t="s">
        <v>379</v>
      </c>
      <c r="AH28" s="104"/>
      <c r="AI28" s="104"/>
      <c r="AJ28" s="104"/>
      <c r="AK28" s="105"/>
      <c r="AL28" s="104"/>
      <c r="AM28" s="104"/>
      <c r="AN28" s="104"/>
      <c r="AO28" s="105"/>
      <c r="AP28" s="104"/>
      <c r="AQ28" s="104"/>
      <c r="AR28" s="104"/>
      <c r="AS28" s="105"/>
      <c r="AT28" s="104"/>
      <c r="AU28" s="104"/>
      <c r="AV28" s="104"/>
      <c r="AW28" s="105"/>
      <c r="AX28" s="106">
        <f t="shared" si="0"/>
        <v>0</v>
      </c>
      <c r="AY28" s="107">
        <f t="shared" si="1"/>
        <v>0</v>
      </c>
      <c r="AZ28" s="109"/>
      <c r="BA28" s="109"/>
      <c r="BB28" s="109"/>
      <c r="BC28" s="109"/>
      <c r="BD28" s="109"/>
      <c r="BE28" s="109"/>
      <c r="BF28" s="109"/>
      <c r="BG28" s="109"/>
      <c r="BH28" s="109"/>
      <c r="BI28" s="109"/>
      <c r="BJ28" s="109"/>
      <c r="BK28" s="109"/>
    </row>
    <row r="29" spans="1:63" ht="15" x14ac:dyDescent="0.25">
      <c r="A29" s="104" t="s">
        <v>380</v>
      </c>
      <c r="B29" s="104"/>
      <c r="C29" s="104"/>
      <c r="D29" s="104"/>
      <c r="E29" s="105"/>
      <c r="F29" s="104"/>
      <c r="G29" s="104"/>
      <c r="H29" s="104"/>
      <c r="I29" s="105"/>
      <c r="J29" s="104"/>
      <c r="K29" s="104"/>
      <c r="L29" s="104"/>
      <c r="M29" s="105"/>
      <c r="N29" s="104"/>
      <c r="O29" s="104"/>
      <c r="P29" s="104"/>
      <c r="Q29" s="105"/>
      <c r="R29" s="106">
        <f t="shared" si="2"/>
        <v>0</v>
      </c>
      <c r="S29" s="107">
        <f t="shared" si="3"/>
        <v>0</v>
      </c>
      <c r="T29" s="108"/>
      <c r="U29" s="108"/>
      <c r="V29" s="108"/>
      <c r="W29" s="108"/>
      <c r="X29" s="108"/>
      <c r="Y29" s="109"/>
      <c r="Z29" s="109"/>
      <c r="AA29" s="109"/>
      <c r="AB29" s="109"/>
      <c r="AC29" s="109"/>
      <c r="AD29" s="109"/>
      <c r="AE29" s="109"/>
      <c r="AG29" s="104" t="s">
        <v>380</v>
      </c>
      <c r="AH29" s="104"/>
      <c r="AI29" s="104"/>
      <c r="AJ29" s="104"/>
      <c r="AK29" s="105"/>
      <c r="AL29" s="104"/>
      <c r="AM29" s="104"/>
      <c r="AN29" s="104"/>
      <c r="AO29" s="105"/>
      <c r="AP29" s="104"/>
      <c r="AQ29" s="104"/>
      <c r="AR29" s="104"/>
      <c r="AS29" s="105"/>
      <c r="AT29" s="104"/>
      <c r="AU29" s="104"/>
      <c r="AV29" s="104"/>
      <c r="AW29" s="105"/>
      <c r="AX29" s="106">
        <f t="shared" si="0"/>
        <v>0</v>
      </c>
      <c r="AY29" s="107">
        <f t="shared" si="1"/>
        <v>0</v>
      </c>
      <c r="AZ29" s="109"/>
      <c r="BA29" s="109"/>
      <c r="BB29" s="109"/>
      <c r="BC29" s="109"/>
      <c r="BD29" s="109"/>
      <c r="BE29" s="109"/>
      <c r="BF29" s="109"/>
      <c r="BG29" s="109"/>
      <c r="BH29" s="109"/>
      <c r="BI29" s="109"/>
      <c r="BJ29" s="109"/>
      <c r="BK29" s="109"/>
    </row>
    <row r="30" spans="1:63" ht="15" x14ac:dyDescent="0.25">
      <c r="A30" s="104" t="s">
        <v>381</v>
      </c>
      <c r="B30" s="104"/>
      <c r="C30" s="104"/>
      <c r="D30" s="104"/>
      <c r="E30" s="105"/>
      <c r="F30" s="104"/>
      <c r="G30" s="104"/>
      <c r="H30" s="104"/>
      <c r="I30" s="105"/>
      <c r="J30" s="104"/>
      <c r="K30" s="104"/>
      <c r="L30" s="104"/>
      <c r="M30" s="105"/>
      <c r="N30" s="104"/>
      <c r="O30" s="104"/>
      <c r="P30" s="104"/>
      <c r="Q30" s="105"/>
      <c r="R30" s="106">
        <f t="shared" si="2"/>
        <v>0</v>
      </c>
      <c r="S30" s="107">
        <f t="shared" si="3"/>
        <v>0</v>
      </c>
      <c r="T30" s="108"/>
      <c r="U30" s="108"/>
      <c r="V30" s="108"/>
      <c r="W30" s="108"/>
      <c r="X30" s="108"/>
      <c r="Y30" s="109"/>
      <c r="Z30" s="109"/>
      <c r="AA30" s="109"/>
      <c r="AB30" s="109"/>
      <c r="AC30" s="109"/>
      <c r="AD30" s="109"/>
      <c r="AE30" s="109"/>
      <c r="AG30" s="104" t="s">
        <v>381</v>
      </c>
      <c r="AH30" s="104"/>
      <c r="AI30" s="104"/>
      <c r="AJ30" s="104"/>
      <c r="AK30" s="105"/>
      <c r="AL30" s="104"/>
      <c r="AM30" s="104"/>
      <c r="AN30" s="104"/>
      <c r="AO30" s="105"/>
      <c r="AP30" s="104"/>
      <c r="AQ30" s="104"/>
      <c r="AR30" s="104"/>
      <c r="AS30" s="105"/>
      <c r="AT30" s="104"/>
      <c r="AU30" s="104"/>
      <c r="AV30" s="104"/>
      <c r="AW30" s="105"/>
      <c r="AX30" s="106">
        <f t="shared" si="0"/>
        <v>0</v>
      </c>
      <c r="AY30" s="107">
        <f t="shared" si="1"/>
        <v>0</v>
      </c>
      <c r="AZ30" s="109"/>
      <c r="BA30" s="109"/>
      <c r="BB30" s="109"/>
      <c r="BC30" s="109"/>
      <c r="BD30" s="109"/>
      <c r="BE30" s="109"/>
      <c r="BF30" s="109"/>
      <c r="BG30" s="109"/>
      <c r="BH30" s="109"/>
      <c r="BI30" s="109"/>
      <c r="BJ30" s="109"/>
      <c r="BK30" s="109"/>
    </row>
    <row r="31" spans="1:63" ht="15" x14ac:dyDescent="0.25">
      <c r="A31" s="104" t="s">
        <v>382</v>
      </c>
      <c r="B31" s="104"/>
      <c r="C31" s="104"/>
      <c r="D31" s="104"/>
      <c r="E31" s="105"/>
      <c r="F31" s="104"/>
      <c r="G31" s="104"/>
      <c r="H31" s="104"/>
      <c r="I31" s="105"/>
      <c r="J31" s="104"/>
      <c r="K31" s="104"/>
      <c r="L31" s="104"/>
      <c r="M31" s="105"/>
      <c r="N31" s="104"/>
      <c r="O31" s="104"/>
      <c r="P31" s="104"/>
      <c r="Q31" s="105"/>
      <c r="R31" s="106">
        <f t="shared" si="2"/>
        <v>0</v>
      </c>
      <c r="S31" s="107">
        <f t="shared" si="3"/>
        <v>0</v>
      </c>
      <c r="T31" s="108"/>
      <c r="U31" s="108"/>
      <c r="V31" s="108"/>
      <c r="W31" s="108"/>
      <c r="X31" s="108"/>
      <c r="Y31" s="109"/>
      <c r="Z31" s="109"/>
      <c r="AA31" s="109"/>
      <c r="AB31" s="109"/>
      <c r="AC31" s="109"/>
      <c r="AD31" s="109"/>
      <c r="AE31" s="109"/>
      <c r="AG31" s="104" t="s">
        <v>382</v>
      </c>
      <c r="AH31" s="104"/>
      <c r="AI31" s="104"/>
      <c r="AJ31" s="104"/>
      <c r="AK31" s="105"/>
      <c r="AL31" s="104"/>
      <c r="AM31" s="104"/>
      <c r="AN31" s="104"/>
      <c r="AO31" s="105"/>
      <c r="AP31" s="104"/>
      <c r="AQ31" s="104"/>
      <c r="AR31" s="104"/>
      <c r="AS31" s="105"/>
      <c r="AT31" s="104"/>
      <c r="AU31" s="104"/>
      <c r="AV31" s="104"/>
      <c r="AW31" s="105"/>
      <c r="AX31" s="106">
        <f t="shared" si="0"/>
        <v>0</v>
      </c>
      <c r="AY31" s="107">
        <f t="shared" si="1"/>
        <v>0</v>
      </c>
      <c r="AZ31" s="109"/>
      <c r="BA31" s="109"/>
      <c r="BB31" s="109"/>
      <c r="BC31" s="109"/>
      <c r="BD31" s="109"/>
      <c r="BE31" s="109"/>
      <c r="BF31" s="109"/>
      <c r="BG31" s="109"/>
      <c r="BH31" s="109"/>
      <c r="BI31" s="109"/>
      <c r="BJ31" s="109"/>
      <c r="BK31" s="109"/>
    </row>
    <row r="32" spans="1:63" ht="15" x14ac:dyDescent="0.25">
      <c r="A32" s="111" t="s">
        <v>383</v>
      </c>
      <c r="B32" s="112">
        <f>SUM(B11:B31)</f>
        <v>0</v>
      </c>
      <c r="C32" s="112">
        <f t="shared" ref="C32:AE32" si="4">SUM(C11:C31)</f>
        <v>0</v>
      </c>
      <c r="D32" s="112">
        <f t="shared" si="4"/>
        <v>0</v>
      </c>
      <c r="E32" s="113">
        <f>SUM(E11:E31)</f>
        <v>0</v>
      </c>
      <c r="F32" s="112">
        <f t="shared" si="4"/>
        <v>0</v>
      </c>
      <c r="G32" s="112">
        <f t="shared" si="4"/>
        <v>0</v>
      </c>
      <c r="H32" s="112">
        <f t="shared" si="4"/>
        <v>0</v>
      </c>
      <c r="I32" s="113">
        <f>SUM(I11:I31)</f>
        <v>0</v>
      </c>
      <c r="J32" s="112">
        <f t="shared" si="4"/>
        <v>0</v>
      </c>
      <c r="K32" s="112">
        <f t="shared" si="4"/>
        <v>4.0579710144927547E-2</v>
      </c>
      <c r="L32" s="112">
        <f t="shared" si="4"/>
        <v>0.17971014492753629</v>
      </c>
      <c r="M32" s="113">
        <f>SUM(M11:M31)</f>
        <v>39253333.333333336</v>
      </c>
      <c r="N32" s="112">
        <f>SUM(N11:N31)</f>
        <v>0.25797101449275367</v>
      </c>
      <c r="O32" s="112">
        <f>SUM(O11:O31)</f>
        <v>0.29420289855072468</v>
      </c>
      <c r="P32" s="112">
        <f>SUM(P11:P31)</f>
        <v>0.227536231884058</v>
      </c>
      <c r="Q32" s="113">
        <f>SUM(Q11:Q31)</f>
        <v>88320000</v>
      </c>
      <c r="R32" s="112">
        <f t="shared" si="4"/>
        <v>1.0000000000000002</v>
      </c>
      <c r="S32" s="107">
        <f t="shared" si="4"/>
        <v>127573333.33333334</v>
      </c>
      <c r="T32" s="112">
        <f t="shared" si="4"/>
        <v>0</v>
      </c>
      <c r="U32" s="112">
        <f t="shared" si="4"/>
        <v>0</v>
      </c>
      <c r="V32" s="112">
        <f t="shared" si="4"/>
        <v>0</v>
      </c>
      <c r="W32" s="112">
        <f t="shared" si="4"/>
        <v>0</v>
      </c>
      <c r="X32" s="112">
        <f t="shared" si="4"/>
        <v>0</v>
      </c>
      <c r="Y32" s="112">
        <f t="shared" si="4"/>
        <v>0</v>
      </c>
      <c r="Z32" s="112">
        <f t="shared" si="4"/>
        <v>0</v>
      </c>
      <c r="AA32" s="112">
        <f t="shared" si="4"/>
        <v>0</v>
      </c>
      <c r="AB32" s="112">
        <f t="shared" si="4"/>
        <v>0</v>
      </c>
      <c r="AC32" s="112">
        <f t="shared" si="4"/>
        <v>0</v>
      </c>
      <c r="AD32" s="112">
        <f t="shared" si="4"/>
        <v>0</v>
      </c>
      <c r="AE32" s="112">
        <f t="shared" si="4"/>
        <v>0</v>
      </c>
      <c r="AG32" s="111" t="s">
        <v>383</v>
      </c>
      <c r="AH32" s="112">
        <f t="shared" ref="AH32:AW32" si="5">SUM(AH11:AH31)</f>
        <v>0</v>
      </c>
      <c r="AI32" s="112">
        <f t="shared" si="5"/>
        <v>0</v>
      </c>
      <c r="AJ32" s="112">
        <f t="shared" si="5"/>
        <v>0</v>
      </c>
      <c r="AK32" s="113">
        <f t="shared" si="5"/>
        <v>0</v>
      </c>
      <c r="AL32" s="112">
        <f t="shared" si="5"/>
        <v>0</v>
      </c>
      <c r="AM32" s="112">
        <f t="shared" si="5"/>
        <v>0</v>
      </c>
      <c r="AN32" s="112">
        <f t="shared" si="5"/>
        <v>0</v>
      </c>
      <c r="AO32" s="113">
        <f t="shared" si="5"/>
        <v>0</v>
      </c>
      <c r="AP32" s="112">
        <f t="shared" si="5"/>
        <v>0</v>
      </c>
      <c r="AQ32" s="112">
        <f t="shared" si="5"/>
        <v>4.0579710144927547E-2</v>
      </c>
      <c r="AR32" s="112">
        <f t="shared" si="5"/>
        <v>0.17971014492753629</v>
      </c>
      <c r="AS32" s="113">
        <f t="shared" si="5"/>
        <v>6378666.666666667</v>
      </c>
      <c r="AT32" s="112">
        <f t="shared" si="5"/>
        <v>0.25797101449275367</v>
      </c>
      <c r="AU32" s="112">
        <f t="shared" si="5"/>
        <v>0.29420289855072468</v>
      </c>
      <c r="AV32" s="112">
        <f t="shared" si="5"/>
        <v>0.227536231884058</v>
      </c>
      <c r="AW32" s="113">
        <f t="shared" si="5"/>
        <v>0</v>
      </c>
      <c r="AX32" s="114">
        <f t="shared" ref="AX32:BK32" si="6">SUM(AX11:AX31)</f>
        <v>1.0000000000000002</v>
      </c>
      <c r="AY32" s="115">
        <f t="shared" si="6"/>
        <v>6378666.666666667</v>
      </c>
      <c r="AZ32" s="112">
        <f t="shared" si="6"/>
        <v>0</v>
      </c>
      <c r="BA32" s="112">
        <f t="shared" si="6"/>
        <v>0</v>
      </c>
      <c r="BB32" s="112">
        <f t="shared" si="6"/>
        <v>0</v>
      </c>
      <c r="BC32" s="112">
        <f t="shared" si="6"/>
        <v>0</v>
      </c>
      <c r="BD32" s="112">
        <f t="shared" si="6"/>
        <v>0</v>
      </c>
      <c r="BE32" s="112">
        <f t="shared" si="6"/>
        <v>0</v>
      </c>
      <c r="BF32" s="112">
        <f t="shared" si="6"/>
        <v>0</v>
      </c>
      <c r="BG32" s="112">
        <f t="shared" si="6"/>
        <v>0</v>
      </c>
      <c r="BH32" s="112">
        <f t="shared" si="6"/>
        <v>0</v>
      </c>
      <c r="BI32" s="112">
        <f t="shared" si="6"/>
        <v>0</v>
      </c>
      <c r="BJ32" s="112">
        <f t="shared" si="6"/>
        <v>0</v>
      </c>
      <c r="BK32" s="112">
        <f t="shared" si="6"/>
        <v>0</v>
      </c>
    </row>
    <row r="35" spans="1:63" ht="31.5" customHeight="1" x14ac:dyDescent="0.25">
      <c r="A35" s="95" t="s">
        <v>342</v>
      </c>
      <c r="B35" s="771" t="s">
        <v>384</v>
      </c>
      <c r="C35" s="772"/>
      <c r="D35" s="772"/>
      <c r="E35" s="772"/>
      <c r="F35" s="772"/>
      <c r="G35" s="772"/>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2"/>
      <c r="BA35" s="772"/>
      <c r="BB35" s="772"/>
      <c r="BC35" s="772"/>
      <c r="BD35" s="772"/>
      <c r="BE35" s="772"/>
      <c r="BF35" s="772"/>
      <c r="BG35" s="772"/>
      <c r="BH35" s="772"/>
      <c r="BI35" s="772"/>
      <c r="BJ35" s="772"/>
      <c r="BK35" s="773"/>
    </row>
    <row r="36" spans="1:63" ht="18.75" customHeight="1" x14ac:dyDescent="0.25">
      <c r="A36" s="96"/>
      <c r="B36" s="96"/>
      <c r="C36" s="96"/>
      <c r="D36" s="96"/>
      <c r="E36" s="96"/>
      <c r="F36" s="96"/>
      <c r="G36" s="96"/>
      <c r="H36" s="96"/>
      <c r="I36" s="96"/>
      <c r="J36" s="96"/>
      <c r="K36" s="97"/>
      <c r="L36" s="97"/>
      <c r="M36" s="97"/>
      <c r="N36" s="97"/>
      <c r="O36" s="97"/>
      <c r="P36" s="97"/>
      <c r="Q36" s="97"/>
      <c r="R36" s="97"/>
      <c r="S36" s="97"/>
      <c r="T36" s="97"/>
      <c r="U36" s="97"/>
      <c r="V36" s="97"/>
      <c r="W36" s="97"/>
      <c r="X36" s="97"/>
      <c r="Y36" s="97"/>
      <c r="Z36" s="97"/>
      <c r="AA36" s="97"/>
      <c r="AB36" s="97"/>
      <c r="AC36" s="97"/>
      <c r="AD36" s="97"/>
      <c r="AE36" s="97"/>
      <c r="AG36" s="96"/>
      <c r="AH36" s="97"/>
      <c r="AI36" s="97"/>
      <c r="AJ36" s="97"/>
      <c r="AK36" s="97"/>
      <c r="AL36" s="97"/>
      <c r="AM36" s="97"/>
      <c r="AN36" s="97"/>
      <c r="AO36" s="97"/>
    </row>
    <row r="37" spans="1:63" ht="30" customHeight="1" x14ac:dyDescent="0.25">
      <c r="A37" s="764" t="s">
        <v>344</v>
      </c>
      <c r="B37" s="98" t="s">
        <v>141</v>
      </c>
      <c r="C37" s="98" t="s">
        <v>142</v>
      </c>
      <c r="D37" s="766" t="s">
        <v>143</v>
      </c>
      <c r="E37" s="767"/>
      <c r="F37" s="98" t="s">
        <v>144</v>
      </c>
      <c r="G37" s="98" t="s">
        <v>145</v>
      </c>
      <c r="H37" s="766" t="s">
        <v>146</v>
      </c>
      <c r="I37" s="767"/>
      <c r="J37" s="98" t="s">
        <v>147</v>
      </c>
      <c r="K37" s="98" t="s">
        <v>148</v>
      </c>
      <c r="L37" s="766" t="s">
        <v>128</v>
      </c>
      <c r="M37" s="767"/>
      <c r="N37" s="98" t="s">
        <v>149</v>
      </c>
      <c r="O37" s="98" t="s">
        <v>150</v>
      </c>
      <c r="P37" s="766" t="s">
        <v>151</v>
      </c>
      <c r="Q37" s="767"/>
      <c r="R37" s="766" t="s">
        <v>345</v>
      </c>
      <c r="S37" s="767"/>
      <c r="T37" s="766" t="s">
        <v>346</v>
      </c>
      <c r="U37" s="770"/>
      <c r="V37" s="770"/>
      <c r="W37" s="770"/>
      <c r="X37" s="770"/>
      <c r="Y37" s="767"/>
      <c r="Z37" s="766" t="s">
        <v>347</v>
      </c>
      <c r="AA37" s="770"/>
      <c r="AB37" s="770"/>
      <c r="AC37" s="770"/>
      <c r="AD37" s="770"/>
      <c r="AE37" s="767"/>
      <c r="AG37" s="764" t="s">
        <v>344</v>
      </c>
      <c r="AH37" s="98" t="s">
        <v>141</v>
      </c>
      <c r="AI37" s="98" t="s">
        <v>142</v>
      </c>
      <c r="AJ37" s="766" t="s">
        <v>143</v>
      </c>
      <c r="AK37" s="767"/>
      <c r="AL37" s="98" t="s">
        <v>144</v>
      </c>
      <c r="AM37" s="98" t="s">
        <v>145</v>
      </c>
      <c r="AN37" s="766" t="s">
        <v>146</v>
      </c>
      <c r="AO37" s="767"/>
      <c r="AP37" s="98" t="s">
        <v>147</v>
      </c>
      <c r="AQ37" s="98" t="s">
        <v>148</v>
      </c>
      <c r="AR37" s="766" t="s">
        <v>128</v>
      </c>
      <c r="AS37" s="767"/>
      <c r="AT37" s="98" t="s">
        <v>149</v>
      </c>
      <c r="AU37" s="98" t="s">
        <v>150</v>
      </c>
      <c r="AV37" s="766" t="s">
        <v>151</v>
      </c>
      <c r="AW37" s="767"/>
      <c r="AX37" s="766" t="s">
        <v>345</v>
      </c>
      <c r="AY37" s="767"/>
      <c r="AZ37" s="766" t="s">
        <v>346</v>
      </c>
      <c r="BA37" s="770"/>
      <c r="BB37" s="770"/>
      <c r="BC37" s="770"/>
      <c r="BD37" s="770"/>
      <c r="BE37" s="767"/>
      <c r="BF37" s="766" t="s">
        <v>347</v>
      </c>
      <c r="BG37" s="770"/>
      <c r="BH37" s="770"/>
      <c r="BI37" s="770"/>
      <c r="BJ37" s="770"/>
      <c r="BK37" s="767"/>
    </row>
    <row r="38" spans="1:63" ht="36" customHeight="1" x14ac:dyDescent="0.25">
      <c r="A38" s="765"/>
      <c r="B38" s="92" t="s">
        <v>348</v>
      </c>
      <c r="C38" s="92" t="s">
        <v>348</v>
      </c>
      <c r="D38" s="92" t="s">
        <v>348</v>
      </c>
      <c r="E38" s="92" t="s">
        <v>349</v>
      </c>
      <c r="F38" s="92" t="s">
        <v>348</v>
      </c>
      <c r="G38" s="92" t="s">
        <v>348</v>
      </c>
      <c r="H38" s="92" t="s">
        <v>348</v>
      </c>
      <c r="I38" s="92" t="s">
        <v>349</v>
      </c>
      <c r="J38" s="92" t="s">
        <v>348</v>
      </c>
      <c r="K38" s="92" t="s">
        <v>348</v>
      </c>
      <c r="L38" s="92" t="s">
        <v>348</v>
      </c>
      <c r="M38" s="92" t="s">
        <v>349</v>
      </c>
      <c r="N38" s="92" t="s">
        <v>348</v>
      </c>
      <c r="O38" s="92" t="s">
        <v>348</v>
      </c>
      <c r="P38" s="92" t="s">
        <v>348</v>
      </c>
      <c r="Q38" s="92" t="s">
        <v>349</v>
      </c>
      <c r="R38" s="92" t="s">
        <v>348</v>
      </c>
      <c r="S38" s="92" t="s">
        <v>349</v>
      </c>
      <c r="T38" s="99" t="s">
        <v>350</v>
      </c>
      <c r="U38" s="99" t="s">
        <v>351</v>
      </c>
      <c r="V38" s="99" t="s">
        <v>352</v>
      </c>
      <c r="W38" s="99" t="s">
        <v>353</v>
      </c>
      <c r="X38" s="100" t="s">
        <v>354</v>
      </c>
      <c r="Y38" s="99" t="s">
        <v>355</v>
      </c>
      <c r="Z38" s="92" t="s">
        <v>356</v>
      </c>
      <c r="AA38" s="101" t="s">
        <v>357</v>
      </c>
      <c r="AB38" s="92" t="s">
        <v>358</v>
      </c>
      <c r="AC38" s="92" t="s">
        <v>359</v>
      </c>
      <c r="AD38" s="92" t="s">
        <v>360</v>
      </c>
      <c r="AE38" s="92" t="s">
        <v>361</v>
      </c>
      <c r="AG38" s="765"/>
      <c r="AH38" s="92" t="s">
        <v>348</v>
      </c>
      <c r="AI38" s="92" t="s">
        <v>348</v>
      </c>
      <c r="AJ38" s="92" t="s">
        <v>348</v>
      </c>
      <c r="AK38" s="92" t="s">
        <v>349</v>
      </c>
      <c r="AL38" s="92" t="s">
        <v>348</v>
      </c>
      <c r="AM38" s="92" t="s">
        <v>348</v>
      </c>
      <c r="AN38" s="92" t="s">
        <v>348</v>
      </c>
      <c r="AO38" s="92" t="s">
        <v>349</v>
      </c>
      <c r="AP38" s="92" t="s">
        <v>348</v>
      </c>
      <c r="AQ38" s="92" t="s">
        <v>348</v>
      </c>
      <c r="AR38" s="92" t="s">
        <v>348</v>
      </c>
      <c r="AS38" s="92" t="s">
        <v>349</v>
      </c>
      <c r="AT38" s="92" t="s">
        <v>348</v>
      </c>
      <c r="AU38" s="92" t="s">
        <v>348</v>
      </c>
      <c r="AV38" s="92" t="s">
        <v>348</v>
      </c>
      <c r="AW38" s="92" t="s">
        <v>349</v>
      </c>
      <c r="AX38" s="92" t="s">
        <v>348</v>
      </c>
      <c r="AY38" s="92" t="s">
        <v>349</v>
      </c>
      <c r="AZ38" s="99" t="s">
        <v>350</v>
      </c>
      <c r="BA38" s="99" t="s">
        <v>351</v>
      </c>
      <c r="BB38" s="99" t="s">
        <v>352</v>
      </c>
      <c r="BC38" s="99" t="s">
        <v>353</v>
      </c>
      <c r="BD38" s="100" t="s">
        <v>354</v>
      </c>
      <c r="BE38" s="99" t="s">
        <v>355</v>
      </c>
      <c r="BF38" s="102" t="s">
        <v>356</v>
      </c>
      <c r="BG38" s="103" t="s">
        <v>357</v>
      </c>
      <c r="BH38" s="102" t="s">
        <v>358</v>
      </c>
      <c r="BI38" s="102" t="s">
        <v>359</v>
      </c>
      <c r="BJ38" s="102" t="s">
        <v>360</v>
      </c>
      <c r="BK38" s="102" t="s">
        <v>361</v>
      </c>
    </row>
    <row r="39" spans="1:63" ht="15" x14ac:dyDescent="0.25">
      <c r="A39" s="104" t="s">
        <v>362</v>
      </c>
      <c r="B39" s="104"/>
      <c r="C39" s="104"/>
      <c r="D39" s="104"/>
      <c r="E39" s="105"/>
      <c r="F39" s="104"/>
      <c r="G39" s="104"/>
      <c r="H39" s="104"/>
      <c r="I39" s="105"/>
      <c r="J39" s="432">
        <f>+Meta.4!J35</f>
        <v>0</v>
      </c>
      <c r="K39" s="432">
        <f>+Meta.4!K35</f>
        <v>0.20833333333333334</v>
      </c>
      <c r="L39" s="432">
        <f>+Meta.4!L35</f>
        <v>0.2416666666666667</v>
      </c>
      <c r="M39" s="105">
        <f>+K90+L90</f>
        <v>9813325.333333334</v>
      </c>
      <c r="N39" s="432">
        <f>+Meta.4!M35</f>
        <v>0.35000000000000003</v>
      </c>
      <c r="O39" s="432">
        <f>+Meta.4!N35</f>
        <v>0.1</v>
      </c>
      <c r="P39" s="432">
        <f>+Meta.4!O35</f>
        <v>0.1</v>
      </c>
      <c r="Q39" s="105">
        <f>+M90+N90+O90</f>
        <v>22080000</v>
      </c>
      <c r="R39" s="106">
        <f>B39+C39+D39+F39+G39+H39+J39+K39+L39+N39+O39+P39</f>
        <v>1</v>
      </c>
      <c r="S39" s="107">
        <f>+E39+I39+M39+Q39</f>
        <v>31893325.333333336</v>
      </c>
      <c r="T39" s="108"/>
      <c r="U39" s="108"/>
      <c r="V39" s="108"/>
      <c r="W39" s="108"/>
      <c r="X39" s="108"/>
      <c r="Y39" s="109"/>
      <c r="Z39" s="109"/>
      <c r="AA39" s="109"/>
      <c r="AB39" s="109"/>
      <c r="AC39" s="109"/>
      <c r="AD39" s="109"/>
      <c r="AE39" s="110"/>
      <c r="AG39" s="104" t="s">
        <v>362</v>
      </c>
      <c r="AH39" s="104"/>
      <c r="AI39" s="104"/>
      <c r="AJ39" s="104"/>
      <c r="AK39" s="105"/>
      <c r="AL39" s="104"/>
      <c r="AM39" s="104"/>
      <c r="AN39" s="104"/>
      <c r="AO39" s="105"/>
      <c r="AP39" s="432">
        <f>+Meta.4!J36</f>
        <v>0</v>
      </c>
      <c r="AQ39" s="432">
        <f>+Meta.4!K36</f>
        <v>0.20833333333333334</v>
      </c>
      <c r="AR39" s="432">
        <f>+Meta.4!L36</f>
        <v>0.2416666666666667</v>
      </c>
      <c r="AS39" s="105">
        <f>+'8198.SCPI'!AW15+'8198.SCPI'!AW17+'8198.SCPI'!AW19+'8198.SCPI'!AW21+'8198.SCPI'!AW23+'8198.SCPI'!AW25+'8198.SCPI'!AW27+'8198.SCPI'!AW29</f>
        <v>1594666.6666666667</v>
      </c>
      <c r="AT39" s="432">
        <f>+Meta.4!M36</f>
        <v>0</v>
      </c>
      <c r="AU39" s="432">
        <f>+Meta.4!N36</f>
        <v>0</v>
      </c>
      <c r="AV39" s="432">
        <f>+Meta.4!O36</f>
        <v>0</v>
      </c>
      <c r="AW39" s="105"/>
      <c r="AX39" s="452">
        <f>AH39+AI39+AJ39+AL39+AM39+AN39+AP39+AQ39+AR39+AT39+AU39+AV39</f>
        <v>0.45000000000000007</v>
      </c>
      <c r="AY39" s="107">
        <f>+AK39+AO39+AS39+AW39</f>
        <v>1594666.6666666667</v>
      </c>
      <c r="AZ39" s="109"/>
      <c r="BA39" s="109"/>
      <c r="BB39" s="109"/>
      <c r="BC39" s="109"/>
      <c r="BD39" s="109"/>
      <c r="BE39" s="109"/>
      <c r="BF39" s="109"/>
      <c r="BG39" s="109"/>
      <c r="BH39" s="109"/>
      <c r="BI39" s="109"/>
      <c r="BJ39" s="109"/>
      <c r="BK39" s="110"/>
    </row>
    <row r="40" spans="1:63" ht="15" x14ac:dyDescent="0.25">
      <c r="A40" s="104" t="s">
        <v>363</v>
      </c>
      <c r="B40" s="104"/>
      <c r="C40" s="104"/>
      <c r="D40" s="104"/>
      <c r="E40" s="105"/>
      <c r="F40" s="104"/>
      <c r="G40" s="104"/>
      <c r="H40" s="104"/>
      <c r="I40" s="105"/>
      <c r="J40" s="104"/>
      <c r="K40" s="104">
        <v>0</v>
      </c>
      <c r="L40" s="104"/>
      <c r="M40" s="105"/>
      <c r="N40" s="104"/>
      <c r="O40" s="104"/>
      <c r="P40" s="104"/>
      <c r="Q40" s="105"/>
      <c r="R40" s="106">
        <f>B40+C40+D40+F40+G40+H40+J40+K40+L40+N40+O40+P40</f>
        <v>0</v>
      </c>
      <c r="S40" s="107">
        <f>+E40+I40+M40+Q40</f>
        <v>0</v>
      </c>
      <c r="T40" s="108"/>
      <c r="U40" s="108"/>
      <c r="V40" s="108"/>
      <c r="W40" s="108"/>
      <c r="X40" s="108"/>
      <c r="Y40" s="109"/>
      <c r="Z40" s="109"/>
      <c r="AA40" s="109"/>
      <c r="AB40" s="109"/>
      <c r="AC40" s="109"/>
      <c r="AD40" s="109"/>
      <c r="AE40" s="109"/>
      <c r="AG40" s="104" t="s">
        <v>363</v>
      </c>
      <c r="AH40" s="104"/>
      <c r="AI40" s="104"/>
      <c r="AJ40" s="104"/>
      <c r="AK40" s="105"/>
      <c r="AL40" s="104"/>
      <c r="AM40" s="104"/>
      <c r="AN40" s="104"/>
      <c r="AO40" s="105"/>
      <c r="AP40" s="104"/>
      <c r="AQ40" s="104"/>
      <c r="AR40" s="104"/>
      <c r="AS40" s="105"/>
      <c r="AT40" s="104"/>
      <c r="AU40" s="104"/>
      <c r="AV40" s="104"/>
      <c r="AW40" s="105"/>
      <c r="AX40" s="106">
        <f t="shared" ref="AX40:AX59" si="7">AH40+AI40+AJ40+AL40+AM40+AN40+AP40+AQ40+AR40+AT40+AU40+AV40</f>
        <v>0</v>
      </c>
      <c r="AY40" s="107">
        <f t="shared" ref="AY40:AY59" si="8">+AK40+AO40+AS40+AW40</f>
        <v>0</v>
      </c>
      <c r="AZ40" s="109"/>
      <c r="BA40" s="109"/>
      <c r="BB40" s="109"/>
      <c r="BC40" s="109"/>
      <c r="BD40" s="109"/>
      <c r="BE40" s="109"/>
      <c r="BF40" s="109"/>
      <c r="BG40" s="109"/>
      <c r="BH40" s="109"/>
      <c r="BI40" s="109"/>
      <c r="BJ40" s="109"/>
      <c r="BK40" s="109"/>
    </row>
    <row r="41" spans="1:63" ht="15" x14ac:dyDescent="0.25">
      <c r="A41" s="104" t="s">
        <v>364</v>
      </c>
      <c r="B41" s="104"/>
      <c r="C41" s="104"/>
      <c r="D41" s="104"/>
      <c r="E41" s="105"/>
      <c r="F41" s="104"/>
      <c r="G41" s="104"/>
      <c r="H41" s="104"/>
      <c r="I41" s="105"/>
      <c r="J41" s="104"/>
      <c r="K41" s="104">
        <v>0</v>
      </c>
      <c r="L41" s="104"/>
      <c r="M41" s="105"/>
      <c r="N41" s="104"/>
      <c r="O41" s="104"/>
      <c r="P41" s="104"/>
      <c r="Q41" s="105"/>
      <c r="R41" s="106">
        <f t="shared" ref="R41:R59" si="9">B41+C41+D41+F41+G41+H41+J41+K41+L41+N41+O41+P41</f>
        <v>0</v>
      </c>
      <c r="S41" s="107">
        <f t="shared" ref="S41:S59" si="10">+E41+I41+M41+Q41</f>
        <v>0</v>
      </c>
      <c r="T41" s="108"/>
      <c r="U41" s="108"/>
      <c r="V41" s="108"/>
      <c r="W41" s="108"/>
      <c r="X41" s="108"/>
      <c r="Y41" s="109"/>
      <c r="Z41" s="109"/>
      <c r="AA41" s="109"/>
      <c r="AB41" s="109"/>
      <c r="AC41" s="109"/>
      <c r="AD41" s="109"/>
      <c r="AE41" s="109"/>
      <c r="AG41" s="104" t="s">
        <v>364</v>
      </c>
      <c r="AH41" s="104"/>
      <c r="AI41" s="104"/>
      <c r="AJ41" s="104"/>
      <c r="AK41" s="105"/>
      <c r="AL41" s="104"/>
      <c r="AM41" s="104"/>
      <c r="AN41" s="104"/>
      <c r="AO41" s="105"/>
      <c r="AP41" s="104"/>
      <c r="AQ41" s="104"/>
      <c r="AR41" s="104"/>
      <c r="AS41" s="105"/>
      <c r="AT41" s="104"/>
      <c r="AU41" s="104"/>
      <c r="AV41" s="104"/>
      <c r="AW41" s="105"/>
      <c r="AX41" s="106">
        <f t="shared" si="7"/>
        <v>0</v>
      </c>
      <c r="AY41" s="107">
        <f t="shared" si="8"/>
        <v>0</v>
      </c>
      <c r="AZ41" s="109"/>
      <c r="BA41" s="109"/>
      <c r="BB41" s="109"/>
      <c r="BC41" s="109"/>
      <c r="BD41" s="109"/>
      <c r="BE41" s="109"/>
      <c r="BF41" s="109"/>
      <c r="BG41" s="109"/>
      <c r="BH41" s="109"/>
      <c r="BI41" s="109"/>
      <c r="BJ41" s="109"/>
      <c r="BK41" s="109"/>
    </row>
    <row r="42" spans="1:63" ht="15" x14ac:dyDescent="0.25">
      <c r="A42" s="104" t="s">
        <v>365</v>
      </c>
      <c r="B42" s="104"/>
      <c r="C42" s="104"/>
      <c r="D42" s="104"/>
      <c r="E42" s="105"/>
      <c r="F42" s="104"/>
      <c r="G42" s="104"/>
      <c r="H42" s="104"/>
      <c r="I42" s="105"/>
      <c r="J42" s="104"/>
      <c r="K42" s="104">
        <v>0</v>
      </c>
      <c r="L42" s="104"/>
      <c r="M42" s="105"/>
      <c r="N42" s="104"/>
      <c r="O42" s="104"/>
      <c r="P42" s="104"/>
      <c r="Q42" s="105"/>
      <c r="R42" s="106">
        <f t="shared" si="9"/>
        <v>0</v>
      </c>
      <c r="S42" s="107">
        <f t="shared" si="10"/>
        <v>0</v>
      </c>
      <c r="T42" s="108"/>
      <c r="U42" s="108"/>
      <c r="V42" s="108"/>
      <c r="W42" s="108"/>
      <c r="X42" s="108"/>
      <c r="Y42" s="109"/>
      <c r="Z42" s="109"/>
      <c r="AA42" s="109"/>
      <c r="AB42" s="109"/>
      <c r="AC42" s="109"/>
      <c r="AD42" s="109"/>
      <c r="AE42" s="109"/>
      <c r="AG42" s="104" t="s">
        <v>365</v>
      </c>
      <c r="AH42" s="104"/>
      <c r="AI42" s="104"/>
      <c r="AJ42" s="104"/>
      <c r="AK42" s="105"/>
      <c r="AL42" s="104"/>
      <c r="AM42" s="104"/>
      <c r="AN42" s="104"/>
      <c r="AO42" s="105"/>
      <c r="AP42" s="104"/>
      <c r="AQ42" s="104"/>
      <c r="AR42" s="104"/>
      <c r="AS42" s="105"/>
      <c r="AT42" s="104"/>
      <c r="AU42" s="104"/>
      <c r="AV42" s="104"/>
      <c r="AW42" s="105"/>
      <c r="AX42" s="106">
        <f t="shared" si="7"/>
        <v>0</v>
      </c>
      <c r="AY42" s="107">
        <f t="shared" si="8"/>
        <v>0</v>
      </c>
      <c r="AZ42" s="109"/>
      <c r="BA42" s="109"/>
      <c r="BB42" s="109"/>
      <c r="BC42" s="109"/>
      <c r="BD42" s="109"/>
      <c r="BE42" s="109"/>
      <c r="BF42" s="109"/>
      <c r="BG42" s="109"/>
      <c r="BH42" s="109"/>
      <c r="BI42" s="109"/>
      <c r="BJ42" s="109"/>
      <c r="BK42" s="109"/>
    </row>
    <row r="43" spans="1:63" ht="15" x14ac:dyDescent="0.25">
      <c r="A43" s="104" t="s">
        <v>366</v>
      </c>
      <c r="B43" s="104"/>
      <c r="C43" s="104"/>
      <c r="D43" s="104"/>
      <c r="E43" s="105"/>
      <c r="F43" s="104"/>
      <c r="G43" s="104"/>
      <c r="H43" s="104"/>
      <c r="I43" s="105"/>
      <c r="J43" s="104"/>
      <c r="K43" s="104">
        <v>0</v>
      </c>
      <c r="L43" s="104"/>
      <c r="M43" s="105"/>
      <c r="N43" s="104"/>
      <c r="O43" s="104"/>
      <c r="P43" s="104"/>
      <c r="Q43" s="105"/>
      <c r="R43" s="106">
        <f t="shared" si="9"/>
        <v>0</v>
      </c>
      <c r="S43" s="107">
        <f t="shared" si="10"/>
        <v>0</v>
      </c>
      <c r="T43" s="108"/>
      <c r="U43" s="108"/>
      <c r="V43" s="108"/>
      <c r="W43" s="108"/>
      <c r="X43" s="108"/>
      <c r="Y43" s="109"/>
      <c r="Z43" s="109"/>
      <c r="AA43" s="109"/>
      <c r="AB43" s="109"/>
      <c r="AC43" s="109"/>
      <c r="AD43" s="109"/>
      <c r="AE43" s="109"/>
      <c r="AG43" s="104" t="s">
        <v>366</v>
      </c>
      <c r="AH43" s="104"/>
      <c r="AI43" s="104"/>
      <c r="AJ43" s="104"/>
      <c r="AK43" s="105"/>
      <c r="AL43" s="104"/>
      <c r="AM43" s="104"/>
      <c r="AN43" s="104"/>
      <c r="AO43" s="105"/>
      <c r="AP43" s="104"/>
      <c r="AQ43" s="104"/>
      <c r="AR43" s="104"/>
      <c r="AS43" s="105"/>
      <c r="AT43" s="104"/>
      <c r="AU43" s="104"/>
      <c r="AV43" s="104"/>
      <c r="AW43" s="105"/>
      <c r="AX43" s="106">
        <f t="shared" si="7"/>
        <v>0</v>
      </c>
      <c r="AY43" s="107">
        <f t="shared" si="8"/>
        <v>0</v>
      </c>
      <c r="AZ43" s="109"/>
      <c r="BA43" s="109"/>
      <c r="BB43" s="109"/>
      <c r="BC43" s="109"/>
      <c r="BD43" s="109"/>
      <c r="BE43" s="109"/>
      <c r="BF43" s="109"/>
      <c r="BG43" s="109"/>
      <c r="BH43" s="109"/>
      <c r="BI43" s="109"/>
      <c r="BJ43" s="109"/>
      <c r="BK43" s="109"/>
    </row>
    <row r="44" spans="1:63" ht="15" x14ac:dyDescent="0.25">
      <c r="A44" s="104" t="s">
        <v>367</v>
      </c>
      <c r="B44" s="104"/>
      <c r="C44" s="104"/>
      <c r="D44" s="104"/>
      <c r="E44" s="105"/>
      <c r="F44" s="104"/>
      <c r="G44" s="104"/>
      <c r="H44" s="104"/>
      <c r="I44" s="105"/>
      <c r="J44" s="104"/>
      <c r="K44" s="104">
        <v>0</v>
      </c>
      <c r="L44" s="104"/>
      <c r="M44" s="105"/>
      <c r="N44" s="104"/>
      <c r="O44" s="104"/>
      <c r="P44" s="104"/>
      <c r="Q44" s="105"/>
      <c r="R44" s="106">
        <f t="shared" si="9"/>
        <v>0</v>
      </c>
      <c r="S44" s="107">
        <f t="shared" si="10"/>
        <v>0</v>
      </c>
      <c r="T44" s="108"/>
      <c r="U44" s="108"/>
      <c r="V44" s="108"/>
      <c r="W44" s="108"/>
      <c r="X44" s="108"/>
      <c r="Y44" s="109"/>
      <c r="Z44" s="109"/>
      <c r="AA44" s="109"/>
      <c r="AB44" s="109"/>
      <c r="AC44" s="109"/>
      <c r="AD44" s="109"/>
      <c r="AE44" s="109"/>
      <c r="AG44" s="104" t="s">
        <v>367</v>
      </c>
      <c r="AH44" s="104"/>
      <c r="AI44" s="104"/>
      <c r="AJ44" s="104"/>
      <c r="AK44" s="105"/>
      <c r="AL44" s="104"/>
      <c r="AM44" s="104"/>
      <c r="AN44" s="104"/>
      <c r="AO44" s="105"/>
      <c r="AP44" s="104"/>
      <c r="AQ44" s="104"/>
      <c r="AR44" s="104"/>
      <c r="AS44" s="105"/>
      <c r="AT44" s="104"/>
      <c r="AU44" s="104"/>
      <c r="AV44" s="104"/>
      <c r="AW44" s="105"/>
      <c r="AX44" s="106">
        <f t="shared" si="7"/>
        <v>0</v>
      </c>
      <c r="AY44" s="107">
        <f t="shared" si="8"/>
        <v>0</v>
      </c>
      <c r="AZ44" s="109"/>
      <c r="BA44" s="109"/>
      <c r="BB44" s="109"/>
      <c r="BC44" s="109"/>
      <c r="BD44" s="109"/>
      <c r="BE44" s="109"/>
      <c r="BF44" s="109"/>
      <c r="BG44" s="109"/>
      <c r="BH44" s="109"/>
      <c r="BI44" s="109"/>
      <c r="BJ44" s="109"/>
      <c r="BK44" s="109"/>
    </row>
    <row r="45" spans="1:63" ht="15" x14ac:dyDescent="0.25">
      <c r="A45" s="104" t="s">
        <v>368</v>
      </c>
      <c r="B45" s="104"/>
      <c r="C45" s="104"/>
      <c r="D45" s="104"/>
      <c r="E45" s="105"/>
      <c r="F45" s="104"/>
      <c r="G45" s="104"/>
      <c r="H45" s="104"/>
      <c r="I45" s="105"/>
      <c r="J45" s="104"/>
      <c r="K45" s="104">
        <v>0</v>
      </c>
      <c r="L45" s="104"/>
      <c r="M45" s="105"/>
      <c r="N45" s="104"/>
      <c r="O45" s="104"/>
      <c r="P45" s="104"/>
      <c r="Q45" s="105"/>
      <c r="R45" s="106">
        <f t="shared" si="9"/>
        <v>0</v>
      </c>
      <c r="S45" s="107">
        <f t="shared" si="10"/>
        <v>0</v>
      </c>
      <c r="T45" s="108"/>
      <c r="U45" s="108"/>
      <c r="V45" s="108"/>
      <c r="W45" s="108"/>
      <c r="X45" s="108"/>
      <c r="Y45" s="109"/>
      <c r="Z45" s="109"/>
      <c r="AA45" s="109"/>
      <c r="AB45" s="109"/>
      <c r="AC45" s="109"/>
      <c r="AD45" s="109"/>
      <c r="AE45" s="109"/>
      <c r="AG45" s="104" t="s">
        <v>368</v>
      </c>
      <c r="AH45" s="104"/>
      <c r="AI45" s="104"/>
      <c r="AJ45" s="104"/>
      <c r="AK45" s="105"/>
      <c r="AL45" s="104"/>
      <c r="AM45" s="104"/>
      <c r="AN45" s="104"/>
      <c r="AO45" s="105"/>
      <c r="AP45" s="104"/>
      <c r="AQ45" s="104"/>
      <c r="AR45" s="104"/>
      <c r="AS45" s="105"/>
      <c r="AT45" s="104"/>
      <c r="AU45" s="104"/>
      <c r="AV45" s="104"/>
      <c r="AW45" s="105"/>
      <c r="AX45" s="106">
        <f t="shared" si="7"/>
        <v>0</v>
      </c>
      <c r="AY45" s="107">
        <f t="shared" si="8"/>
        <v>0</v>
      </c>
      <c r="AZ45" s="109"/>
      <c r="BA45" s="109"/>
      <c r="BB45" s="109"/>
      <c r="BC45" s="109"/>
      <c r="BD45" s="109"/>
      <c r="BE45" s="109"/>
      <c r="BF45" s="109"/>
      <c r="BG45" s="109"/>
      <c r="BH45" s="109"/>
      <c r="BI45" s="109"/>
      <c r="BJ45" s="109"/>
      <c r="BK45" s="109"/>
    </row>
    <row r="46" spans="1:63" ht="15" x14ac:dyDescent="0.25">
      <c r="A46" s="104" t="s">
        <v>369</v>
      </c>
      <c r="B46" s="104"/>
      <c r="C46" s="104"/>
      <c r="D46" s="104"/>
      <c r="E46" s="105"/>
      <c r="F46" s="104"/>
      <c r="G46" s="104"/>
      <c r="H46" s="104"/>
      <c r="I46" s="105"/>
      <c r="J46" s="104"/>
      <c r="K46" s="104">
        <v>0</v>
      </c>
      <c r="L46" s="104"/>
      <c r="M46" s="105"/>
      <c r="N46" s="104"/>
      <c r="O46" s="104"/>
      <c r="P46" s="104"/>
      <c r="Q46" s="105"/>
      <c r="R46" s="106">
        <f t="shared" si="9"/>
        <v>0</v>
      </c>
      <c r="S46" s="107">
        <f t="shared" si="10"/>
        <v>0</v>
      </c>
      <c r="T46" s="108"/>
      <c r="U46" s="108"/>
      <c r="V46" s="108"/>
      <c r="W46" s="108"/>
      <c r="X46" s="108"/>
      <c r="Y46" s="109"/>
      <c r="Z46" s="109"/>
      <c r="AA46" s="109"/>
      <c r="AB46" s="109"/>
      <c r="AC46" s="109"/>
      <c r="AD46" s="109"/>
      <c r="AE46" s="109"/>
      <c r="AG46" s="104" t="s">
        <v>369</v>
      </c>
      <c r="AH46" s="104"/>
      <c r="AI46" s="104"/>
      <c r="AJ46" s="104"/>
      <c r="AK46" s="105"/>
      <c r="AL46" s="104"/>
      <c r="AM46" s="104"/>
      <c r="AN46" s="104"/>
      <c r="AO46" s="105"/>
      <c r="AP46" s="104"/>
      <c r="AQ46" s="104"/>
      <c r="AR46" s="104"/>
      <c r="AS46" s="105"/>
      <c r="AT46" s="104"/>
      <c r="AU46" s="104"/>
      <c r="AV46" s="104"/>
      <c r="AW46" s="105"/>
      <c r="AX46" s="106">
        <f t="shared" si="7"/>
        <v>0</v>
      </c>
      <c r="AY46" s="107">
        <f t="shared" si="8"/>
        <v>0</v>
      </c>
      <c r="AZ46" s="109"/>
      <c r="BA46" s="109"/>
      <c r="BB46" s="109"/>
      <c r="BC46" s="109"/>
      <c r="BD46" s="109"/>
      <c r="BE46" s="109"/>
      <c r="BF46" s="109"/>
      <c r="BG46" s="109"/>
      <c r="BH46" s="109"/>
      <c r="BI46" s="109"/>
      <c r="BJ46" s="109"/>
      <c r="BK46" s="109"/>
    </row>
    <row r="47" spans="1:63" ht="15" x14ac:dyDescent="0.25">
      <c r="A47" s="104" t="s">
        <v>370</v>
      </c>
      <c r="B47" s="104"/>
      <c r="C47" s="104"/>
      <c r="D47" s="104"/>
      <c r="E47" s="105"/>
      <c r="F47" s="104"/>
      <c r="G47" s="104"/>
      <c r="H47" s="104"/>
      <c r="I47" s="105"/>
      <c r="J47" s="104"/>
      <c r="K47" s="104">
        <v>0</v>
      </c>
      <c r="L47" s="104"/>
      <c r="M47" s="105"/>
      <c r="N47" s="104"/>
      <c r="O47" s="104"/>
      <c r="P47" s="104"/>
      <c r="Q47" s="105"/>
      <c r="R47" s="106">
        <f t="shared" si="9"/>
        <v>0</v>
      </c>
      <c r="S47" s="107">
        <f t="shared" si="10"/>
        <v>0</v>
      </c>
      <c r="T47" s="108"/>
      <c r="U47" s="108"/>
      <c r="V47" s="108"/>
      <c r="W47" s="108"/>
      <c r="X47" s="108"/>
      <c r="Y47" s="109"/>
      <c r="Z47" s="109"/>
      <c r="AA47" s="109"/>
      <c r="AB47" s="109"/>
      <c r="AC47" s="109"/>
      <c r="AD47" s="109"/>
      <c r="AE47" s="109"/>
      <c r="AG47" s="104" t="s">
        <v>370</v>
      </c>
      <c r="AH47" s="104"/>
      <c r="AI47" s="104"/>
      <c r="AJ47" s="104"/>
      <c r="AK47" s="105"/>
      <c r="AL47" s="104"/>
      <c r="AM47" s="104"/>
      <c r="AN47" s="104"/>
      <c r="AO47" s="105"/>
      <c r="AP47" s="104"/>
      <c r="AQ47" s="104"/>
      <c r="AR47" s="104"/>
      <c r="AS47" s="105"/>
      <c r="AT47" s="104"/>
      <c r="AU47" s="104"/>
      <c r="AV47" s="104"/>
      <c r="AW47" s="105"/>
      <c r="AX47" s="106">
        <f t="shared" si="7"/>
        <v>0</v>
      </c>
      <c r="AY47" s="107">
        <f t="shared" si="8"/>
        <v>0</v>
      </c>
      <c r="AZ47" s="109"/>
      <c r="BA47" s="109"/>
      <c r="BB47" s="109"/>
      <c r="BC47" s="109"/>
      <c r="BD47" s="109"/>
      <c r="BE47" s="109"/>
      <c r="BF47" s="109"/>
      <c r="BG47" s="109"/>
      <c r="BH47" s="109"/>
      <c r="BI47" s="104"/>
      <c r="BJ47" s="104"/>
      <c r="BK47" s="104"/>
    </row>
    <row r="48" spans="1:63" ht="15" x14ac:dyDescent="0.25">
      <c r="A48" s="104" t="s">
        <v>371</v>
      </c>
      <c r="B48" s="104"/>
      <c r="C48" s="104"/>
      <c r="D48" s="104"/>
      <c r="E48" s="105"/>
      <c r="F48" s="104"/>
      <c r="G48" s="104"/>
      <c r="H48" s="104"/>
      <c r="I48" s="105"/>
      <c r="J48" s="104"/>
      <c r="K48" s="104">
        <v>0</v>
      </c>
      <c r="L48" s="104"/>
      <c r="M48" s="105"/>
      <c r="N48" s="104"/>
      <c r="O48" s="104"/>
      <c r="P48" s="104"/>
      <c r="Q48" s="105"/>
      <c r="R48" s="106">
        <f t="shared" si="9"/>
        <v>0</v>
      </c>
      <c r="S48" s="107">
        <f t="shared" si="10"/>
        <v>0</v>
      </c>
      <c r="T48" s="108"/>
      <c r="U48" s="108"/>
      <c r="V48" s="108"/>
      <c r="W48" s="108"/>
      <c r="X48" s="108"/>
      <c r="Y48" s="109"/>
      <c r="Z48" s="109"/>
      <c r="AA48" s="109"/>
      <c r="AB48" s="109"/>
      <c r="AC48" s="109"/>
      <c r="AD48" s="109"/>
      <c r="AE48" s="109"/>
      <c r="AG48" s="104" t="s">
        <v>371</v>
      </c>
      <c r="AH48" s="104"/>
      <c r="AI48" s="104"/>
      <c r="AJ48" s="104"/>
      <c r="AK48" s="105"/>
      <c r="AL48" s="104"/>
      <c r="AM48" s="104"/>
      <c r="AN48" s="104"/>
      <c r="AO48" s="105"/>
      <c r="AP48" s="104"/>
      <c r="AQ48" s="104"/>
      <c r="AR48" s="104"/>
      <c r="AS48" s="105"/>
      <c r="AT48" s="104"/>
      <c r="AU48" s="104"/>
      <c r="AV48" s="104"/>
      <c r="AW48" s="105"/>
      <c r="AX48" s="106">
        <f t="shared" si="7"/>
        <v>0</v>
      </c>
      <c r="AY48" s="107">
        <f t="shared" si="8"/>
        <v>0</v>
      </c>
      <c r="AZ48" s="109"/>
      <c r="BA48" s="109"/>
      <c r="BB48" s="109"/>
      <c r="BC48" s="109"/>
      <c r="BD48" s="109"/>
      <c r="BE48" s="109"/>
      <c r="BF48" s="109"/>
      <c r="BG48" s="109"/>
      <c r="BH48" s="109"/>
      <c r="BI48" s="104"/>
      <c r="BJ48" s="104"/>
      <c r="BK48" s="104"/>
    </row>
    <row r="49" spans="1:63" ht="15" x14ac:dyDescent="0.25">
      <c r="A49" s="104" t="s">
        <v>372</v>
      </c>
      <c r="B49" s="104"/>
      <c r="C49" s="104"/>
      <c r="D49" s="104"/>
      <c r="E49" s="105"/>
      <c r="F49" s="104"/>
      <c r="G49" s="104"/>
      <c r="H49" s="104"/>
      <c r="I49" s="105"/>
      <c r="J49" s="104"/>
      <c r="K49" s="104">
        <v>0</v>
      </c>
      <c r="L49" s="104"/>
      <c r="M49" s="105"/>
      <c r="N49" s="104"/>
      <c r="O49" s="104"/>
      <c r="P49" s="104"/>
      <c r="Q49" s="105"/>
      <c r="R49" s="106">
        <f t="shared" si="9"/>
        <v>0</v>
      </c>
      <c r="S49" s="107">
        <f t="shared" si="10"/>
        <v>0</v>
      </c>
      <c r="T49" s="108"/>
      <c r="U49" s="108"/>
      <c r="V49" s="108"/>
      <c r="W49" s="108"/>
      <c r="X49" s="108"/>
      <c r="Y49" s="109"/>
      <c r="Z49" s="109"/>
      <c r="AA49" s="109"/>
      <c r="AB49" s="109"/>
      <c r="AC49" s="109"/>
      <c r="AD49" s="109"/>
      <c r="AE49" s="109"/>
      <c r="AG49" s="104" t="s">
        <v>372</v>
      </c>
      <c r="AH49" s="104"/>
      <c r="AI49" s="104"/>
      <c r="AJ49" s="104"/>
      <c r="AK49" s="105"/>
      <c r="AL49" s="104"/>
      <c r="AM49" s="104"/>
      <c r="AN49" s="104"/>
      <c r="AO49" s="105"/>
      <c r="AP49" s="104"/>
      <c r="AQ49" s="104"/>
      <c r="AR49" s="104"/>
      <c r="AS49" s="105"/>
      <c r="AT49" s="104"/>
      <c r="AU49" s="104"/>
      <c r="AV49" s="104"/>
      <c r="AW49" s="105"/>
      <c r="AX49" s="106">
        <f t="shared" si="7"/>
        <v>0</v>
      </c>
      <c r="AY49" s="107">
        <f t="shared" si="8"/>
        <v>0</v>
      </c>
      <c r="AZ49" s="109"/>
      <c r="BA49" s="109"/>
      <c r="BB49" s="109"/>
      <c r="BC49" s="109"/>
      <c r="BD49" s="109"/>
      <c r="BE49" s="109"/>
      <c r="BF49" s="109"/>
      <c r="BG49" s="109"/>
      <c r="BH49" s="109"/>
      <c r="BI49" s="104"/>
      <c r="BJ49" s="104"/>
      <c r="BK49" s="104"/>
    </row>
    <row r="50" spans="1:63" ht="15" x14ac:dyDescent="0.25">
      <c r="A50" s="104" t="s">
        <v>373</v>
      </c>
      <c r="B50" s="104"/>
      <c r="C50" s="104"/>
      <c r="D50" s="104"/>
      <c r="E50" s="105"/>
      <c r="F50" s="104"/>
      <c r="G50" s="104"/>
      <c r="H50" s="104"/>
      <c r="I50" s="105"/>
      <c r="J50" s="104"/>
      <c r="K50" s="104">
        <v>0</v>
      </c>
      <c r="L50" s="104"/>
      <c r="M50" s="105"/>
      <c r="N50" s="104"/>
      <c r="O50" s="104"/>
      <c r="P50" s="104"/>
      <c r="Q50" s="105"/>
      <c r="R50" s="106">
        <f t="shared" si="9"/>
        <v>0</v>
      </c>
      <c r="S50" s="107">
        <f t="shared" si="10"/>
        <v>0</v>
      </c>
      <c r="T50" s="108"/>
      <c r="U50" s="108"/>
      <c r="V50" s="108"/>
      <c r="W50" s="108"/>
      <c r="X50" s="108"/>
      <c r="Y50" s="109"/>
      <c r="Z50" s="109"/>
      <c r="AA50" s="109"/>
      <c r="AB50" s="109"/>
      <c r="AC50" s="109"/>
      <c r="AD50" s="109"/>
      <c r="AE50" s="109"/>
      <c r="AG50" s="104" t="s">
        <v>373</v>
      </c>
      <c r="AH50" s="104"/>
      <c r="AI50" s="104"/>
      <c r="AJ50" s="104"/>
      <c r="AK50" s="105"/>
      <c r="AL50" s="104"/>
      <c r="AM50" s="104"/>
      <c r="AN50" s="104"/>
      <c r="AO50" s="105"/>
      <c r="AP50" s="104"/>
      <c r="AQ50" s="104"/>
      <c r="AR50" s="104"/>
      <c r="AS50" s="105"/>
      <c r="AT50" s="104"/>
      <c r="AU50" s="104"/>
      <c r="AV50" s="104"/>
      <c r="AW50" s="105"/>
      <c r="AX50" s="106">
        <f t="shared" si="7"/>
        <v>0</v>
      </c>
      <c r="AY50" s="107">
        <f t="shared" si="8"/>
        <v>0</v>
      </c>
      <c r="AZ50" s="109"/>
      <c r="BA50" s="109"/>
      <c r="BB50" s="109"/>
      <c r="BC50" s="109"/>
      <c r="BD50" s="109"/>
      <c r="BE50" s="109"/>
      <c r="BF50" s="109"/>
      <c r="BG50" s="109"/>
      <c r="BH50" s="109"/>
      <c r="BI50" s="109"/>
      <c r="BJ50" s="109"/>
      <c r="BK50" s="109"/>
    </row>
    <row r="51" spans="1:63" ht="15" x14ac:dyDescent="0.25">
      <c r="A51" s="104" t="s">
        <v>374</v>
      </c>
      <c r="B51" s="104"/>
      <c r="C51" s="104"/>
      <c r="D51" s="104"/>
      <c r="E51" s="105"/>
      <c r="F51" s="104"/>
      <c r="G51" s="104"/>
      <c r="H51" s="104"/>
      <c r="I51" s="105"/>
      <c r="J51" s="104"/>
      <c r="K51" s="104">
        <v>0</v>
      </c>
      <c r="L51" s="104"/>
      <c r="M51" s="105"/>
      <c r="N51" s="104"/>
      <c r="O51" s="104"/>
      <c r="P51" s="104"/>
      <c r="Q51" s="105"/>
      <c r="R51" s="106">
        <f t="shared" si="9"/>
        <v>0</v>
      </c>
      <c r="S51" s="107">
        <f t="shared" si="10"/>
        <v>0</v>
      </c>
      <c r="T51" s="108"/>
      <c r="U51" s="108"/>
      <c r="V51" s="108"/>
      <c r="W51" s="108"/>
      <c r="X51" s="108"/>
      <c r="Y51" s="109"/>
      <c r="Z51" s="109"/>
      <c r="AA51" s="109"/>
      <c r="AB51" s="109"/>
      <c r="AC51" s="109"/>
      <c r="AD51" s="109"/>
      <c r="AE51" s="109"/>
      <c r="AG51" s="104" t="s">
        <v>374</v>
      </c>
      <c r="AH51" s="104"/>
      <c r="AI51" s="104"/>
      <c r="AJ51" s="104"/>
      <c r="AK51" s="105"/>
      <c r="AL51" s="104"/>
      <c r="AM51" s="104"/>
      <c r="AN51" s="104"/>
      <c r="AO51" s="105"/>
      <c r="AP51" s="104"/>
      <c r="AQ51" s="104"/>
      <c r="AR51" s="104"/>
      <c r="AS51" s="105"/>
      <c r="AT51" s="104"/>
      <c r="AU51" s="104"/>
      <c r="AV51" s="104"/>
      <c r="AW51" s="105"/>
      <c r="AX51" s="106">
        <f t="shared" si="7"/>
        <v>0</v>
      </c>
      <c r="AY51" s="107">
        <f t="shared" si="8"/>
        <v>0</v>
      </c>
      <c r="AZ51" s="109"/>
      <c r="BA51" s="109"/>
      <c r="BB51" s="109"/>
      <c r="BC51" s="109"/>
      <c r="BD51" s="109"/>
      <c r="BE51" s="109"/>
      <c r="BF51" s="109"/>
      <c r="BG51" s="109"/>
      <c r="BH51" s="109"/>
      <c r="BI51" s="109"/>
      <c r="BJ51" s="109"/>
      <c r="BK51" s="109"/>
    </row>
    <row r="52" spans="1:63" ht="15" x14ac:dyDescent="0.25">
      <c r="A52" s="104" t="s">
        <v>375</v>
      </c>
      <c r="B52" s="104"/>
      <c r="C52" s="104"/>
      <c r="D52" s="104"/>
      <c r="E52" s="105"/>
      <c r="F52" s="104"/>
      <c r="G52" s="104"/>
      <c r="H52" s="104"/>
      <c r="I52" s="105"/>
      <c r="J52" s="104"/>
      <c r="K52" s="104">
        <v>0</v>
      </c>
      <c r="L52" s="104"/>
      <c r="M52" s="105"/>
      <c r="N52" s="104"/>
      <c r="O52" s="104"/>
      <c r="P52" s="104"/>
      <c r="Q52" s="105"/>
      <c r="R52" s="106">
        <f t="shared" si="9"/>
        <v>0</v>
      </c>
      <c r="S52" s="107">
        <f t="shared" si="10"/>
        <v>0</v>
      </c>
      <c r="T52" s="108"/>
      <c r="U52" s="108"/>
      <c r="V52" s="108"/>
      <c r="W52" s="108"/>
      <c r="X52" s="108"/>
      <c r="Y52" s="109"/>
      <c r="Z52" s="109"/>
      <c r="AA52" s="109"/>
      <c r="AB52" s="109"/>
      <c r="AC52" s="109"/>
      <c r="AD52" s="109"/>
      <c r="AE52" s="109"/>
      <c r="AG52" s="104" t="s">
        <v>375</v>
      </c>
      <c r="AH52" s="104"/>
      <c r="AI52" s="104"/>
      <c r="AJ52" s="104"/>
      <c r="AK52" s="105"/>
      <c r="AL52" s="104"/>
      <c r="AM52" s="104"/>
      <c r="AN52" s="104"/>
      <c r="AO52" s="105"/>
      <c r="AP52" s="104"/>
      <c r="AQ52" s="104"/>
      <c r="AR52" s="104"/>
      <c r="AS52" s="105"/>
      <c r="AT52" s="104"/>
      <c r="AU52" s="104"/>
      <c r="AV52" s="104"/>
      <c r="AW52" s="105"/>
      <c r="AX52" s="106">
        <f t="shared" si="7"/>
        <v>0</v>
      </c>
      <c r="AY52" s="107">
        <f t="shared" si="8"/>
        <v>0</v>
      </c>
      <c r="AZ52" s="109"/>
      <c r="BA52" s="109"/>
      <c r="BB52" s="109"/>
      <c r="BC52" s="109"/>
      <c r="BD52" s="109"/>
      <c r="BE52" s="109"/>
      <c r="BF52" s="109"/>
      <c r="BG52" s="109"/>
      <c r="BH52" s="109"/>
      <c r="BI52" s="109"/>
      <c r="BJ52" s="109"/>
      <c r="BK52" s="109"/>
    </row>
    <row r="53" spans="1:63" ht="15" x14ac:dyDescent="0.25">
      <c r="A53" s="104" t="s">
        <v>376</v>
      </c>
      <c r="B53" s="104"/>
      <c r="C53" s="104"/>
      <c r="D53" s="104"/>
      <c r="E53" s="105"/>
      <c r="F53" s="104"/>
      <c r="G53" s="104"/>
      <c r="H53" s="104"/>
      <c r="I53" s="105"/>
      <c r="J53" s="104"/>
      <c r="K53" s="104">
        <v>0</v>
      </c>
      <c r="L53" s="104"/>
      <c r="M53" s="105"/>
      <c r="N53" s="104"/>
      <c r="O53" s="104"/>
      <c r="P53" s="104"/>
      <c r="Q53" s="105"/>
      <c r="R53" s="106">
        <f t="shared" si="9"/>
        <v>0</v>
      </c>
      <c r="S53" s="107">
        <f t="shared" si="10"/>
        <v>0</v>
      </c>
      <c r="T53" s="108"/>
      <c r="U53" s="108"/>
      <c r="V53" s="108"/>
      <c r="W53" s="108"/>
      <c r="X53" s="108"/>
      <c r="Y53" s="109"/>
      <c r="Z53" s="109"/>
      <c r="AA53" s="109"/>
      <c r="AB53" s="109"/>
      <c r="AC53" s="109"/>
      <c r="AD53" s="109"/>
      <c r="AE53" s="109"/>
      <c r="AG53" s="104" t="s">
        <v>376</v>
      </c>
      <c r="AH53" s="104"/>
      <c r="AI53" s="104"/>
      <c r="AJ53" s="104"/>
      <c r="AK53" s="105"/>
      <c r="AL53" s="104"/>
      <c r="AM53" s="104"/>
      <c r="AN53" s="104"/>
      <c r="AO53" s="105"/>
      <c r="AP53" s="104"/>
      <c r="AQ53" s="104"/>
      <c r="AR53" s="104"/>
      <c r="AS53" s="105"/>
      <c r="AT53" s="104"/>
      <c r="AU53" s="104"/>
      <c r="AV53" s="104"/>
      <c r="AW53" s="105"/>
      <c r="AX53" s="106">
        <f t="shared" si="7"/>
        <v>0</v>
      </c>
      <c r="AY53" s="107">
        <f t="shared" si="8"/>
        <v>0</v>
      </c>
      <c r="AZ53" s="109"/>
      <c r="BA53" s="109"/>
      <c r="BB53" s="109"/>
      <c r="BC53" s="109"/>
      <c r="BD53" s="109"/>
      <c r="BE53" s="109"/>
      <c r="BF53" s="109"/>
      <c r="BG53" s="109"/>
      <c r="BH53" s="109"/>
      <c r="BI53" s="109"/>
      <c r="BJ53" s="109"/>
      <c r="BK53" s="109"/>
    </row>
    <row r="54" spans="1:63" ht="15" x14ac:dyDescent="0.25">
      <c r="A54" s="104" t="s">
        <v>377</v>
      </c>
      <c r="B54" s="104"/>
      <c r="C54" s="104"/>
      <c r="D54" s="104"/>
      <c r="E54" s="105"/>
      <c r="F54" s="104"/>
      <c r="G54" s="104"/>
      <c r="H54" s="104"/>
      <c r="I54" s="105"/>
      <c r="J54" s="104"/>
      <c r="K54" s="104">
        <v>0</v>
      </c>
      <c r="L54" s="104"/>
      <c r="M54" s="105"/>
      <c r="N54" s="104"/>
      <c r="O54" s="104"/>
      <c r="P54" s="104"/>
      <c r="Q54" s="105"/>
      <c r="R54" s="106">
        <f t="shared" si="9"/>
        <v>0</v>
      </c>
      <c r="S54" s="107">
        <f t="shared" si="10"/>
        <v>0</v>
      </c>
      <c r="T54" s="108"/>
      <c r="U54" s="108"/>
      <c r="V54" s="108"/>
      <c r="W54" s="108"/>
      <c r="X54" s="108"/>
      <c r="Y54" s="109"/>
      <c r="Z54" s="109"/>
      <c r="AA54" s="109"/>
      <c r="AB54" s="109"/>
      <c r="AC54" s="109"/>
      <c r="AD54" s="109"/>
      <c r="AE54" s="109"/>
      <c r="AG54" s="104" t="s">
        <v>377</v>
      </c>
      <c r="AH54" s="104"/>
      <c r="AI54" s="104"/>
      <c r="AJ54" s="104"/>
      <c r="AK54" s="105"/>
      <c r="AL54" s="104"/>
      <c r="AM54" s="104"/>
      <c r="AN54" s="104"/>
      <c r="AO54" s="105"/>
      <c r="AP54" s="104"/>
      <c r="AQ54" s="104"/>
      <c r="AR54" s="104"/>
      <c r="AS54" s="105"/>
      <c r="AT54" s="104"/>
      <c r="AU54" s="104"/>
      <c r="AV54" s="104"/>
      <c r="AW54" s="105"/>
      <c r="AX54" s="106">
        <f t="shared" si="7"/>
        <v>0</v>
      </c>
      <c r="AY54" s="107">
        <f t="shared" si="8"/>
        <v>0</v>
      </c>
      <c r="AZ54" s="109"/>
      <c r="BA54" s="109"/>
      <c r="BB54" s="109"/>
      <c r="BC54" s="109"/>
      <c r="BD54" s="109"/>
      <c r="BE54" s="109"/>
      <c r="BF54" s="109"/>
      <c r="BG54" s="109"/>
      <c r="BH54" s="109"/>
      <c r="BI54" s="109"/>
      <c r="BJ54" s="109"/>
      <c r="BK54" s="109"/>
    </row>
    <row r="55" spans="1:63" ht="15" x14ac:dyDescent="0.25">
      <c r="A55" s="104" t="s">
        <v>378</v>
      </c>
      <c r="B55" s="104"/>
      <c r="C55" s="104"/>
      <c r="D55" s="104"/>
      <c r="E55" s="105"/>
      <c r="F55" s="104"/>
      <c r="G55" s="104"/>
      <c r="H55" s="104"/>
      <c r="I55" s="105"/>
      <c r="J55" s="104"/>
      <c r="K55" s="104">
        <v>0</v>
      </c>
      <c r="L55" s="104"/>
      <c r="M55" s="105"/>
      <c r="N55" s="104"/>
      <c r="O55" s="104"/>
      <c r="P55" s="104"/>
      <c r="Q55" s="105"/>
      <c r="R55" s="106">
        <f t="shared" si="9"/>
        <v>0</v>
      </c>
      <c r="S55" s="107">
        <f t="shared" si="10"/>
        <v>0</v>
      </c>
      <c r="T55" s="108"/>
      <c r="U55" s="108"/>
      <c r="V55" s="108"/>
      <c r="W55" s="108"/>
      <c r="X55" s="108"/>
      <c r="Y55" s="109"/>
      <c r="Z55" s="109"/>
      <c r="AA55" s="109"/>
      <c r="AB55" s="109"/>
      <c r="AC55" s="109"/>
      <c r="AD55" s="109"/>
      <c r="AE55" s="109"/>
      <c r="AG55" s="104" t="s">
        <v>378</v>
      </c>
      <c r="AH55" s="104"/>
      <c r="AI55" s="104"/>
      <c r="AJ55" s="104"/>
      <c r="AK55" s="105"/>
      <c r="AL55" s="104"/>
      <c r="AM55" s="104"/>
      <c r="AN55" s="104"/>
      <c r="AO55" s="105"/>
      <c r="AP55" s="104"/>
      <c r="AQ55" s="104"/>
      <c r="AR55" s="104"/>
      <c r="AS55" s="105"/>
      <c r="AT55" s="104"/>
      <c r="AU55" s="104"/>
      <c r="AV55" s="104"/>
      <c r="AW55" s="105"/>
      <c r="AX55" s="106">
        <f t="shared" si="7"/>
        <v>0</v>
      </c>
      <c r="AY55" s="107">
        <f t="shared" si="8"/>
        <v>0</v>
      </c>
      <c r="AZ55" s="109"/>
      <c r="BA55" s="109"/>
      <c r="BB55" s="109"/>
      <c r="BC55" s="109"/>
      <c r="BD55" s="109"/>
      <c r="BE55" s="109"/>
      <c r="BF55" s="109"/>
      <c r="BG55" s="109"/>
      <c r="BH55" s="109"/>
      <c r="BI55" s="109"/>
      <c r="BJ55" s="109"/>
      <c r="BK55" s="109"/>
    </row>
    <row r="56" spans="1:63" ht="15" x14ac:dyDescent="0.25">
      <c r="A56" s="104" t="s">
        <v>379</v>
      </c>
      <c r="B56" s="104"/>
      <c r="C56" s="104"/>
      <c r="D56" s="104"/>
      <c r="E56" s="105"/>
      <c r="F56" s="104"/>
      <c r="G56" s="104"/>
      <c r="H56" s="104"/>
      <c r="I56" s="105"/>
      <c r="J56" s="104"/>
      <c r="K56" s="104">
        <v>0</v>
      </c>
      <c r="L56" s="104"/>
      <c r="M56" s="105"/>
      <c r="N56" s="104"/>
      <c r="O56" s="104"/>
      <c r="P56" s="104"/>
      <c r="Q56" s="105"/>
      <c r="R56" s="106">
        <f t="shared" si="9"/>
        <v>0</v>
      </c>
      <c r="S56" s="107">
        <f t="shared" si="10"/>
        <v>0</v>
      </c>
      <c r="T56" s="108"/>
      <c r="U56" s="108"/>
      <c r="V56" s="108"/>
      <c r="W56" s="108"/>
      <c r="X56" s="108"/>
      <c r="Y56" s="109"/>
      <c r="Z56" s="109"/>
      <c r="AA56" s="109"/>
      <c r="AB56" s="109"/>
      <c r="AC56" s="109"/>
      <c r="AD56" s="109"/>
      <c r="AE56" s="109"/>
      <c r="AG56" s="104" t="s">
        <v>379</v>
      </c>
      <c r="AH56" s="104"/>
      <c r="AI56" s="104"/>
      <c r="AJ56" s="104"/>
      <c r="AK56" s="105"/>
      <c r="AL56" s="104"/>
      <c r="AM56" s="104"/>
      <c r="AN56" s="104"/>
      <c r="AO56" s="105"/>
      <c r="AP56" s="104"/>
      <c r="AQ56" s="104"/>
      <c r="AR56" s="104"/>
      <c r="AS56" s="105"/>
      <c r="AT56" s="104"/>
      <c r="AU56" s="104"/>
      <c r="AV56" s="104"/>
      <c r="AW56" s="105"/>
      <c r="AX56" s="106">
        <f t="shared" si="7"/>
        <v>0</v>
      </c>
      <c r="AY56" s="107">
        <f t="shared" si="8"/>
        <v>0</v>
      </c>
      <c r="AZ56" s="109"/>
      <c r="BA56" s="109"/>
      <c r="BB56" s="109"/>
      <c r="BC56" s="109"/>
      <c r="BD56" s="109"/>
      <c r="BE56" s="109"/>
      <c r="BF56" s="109"/>
      <c r="BG56" s="109"/>
      <c r="BH56" s="109"/>
      <c r="BI56" s="109"/>
      <c r="BJ56" s="109"/>
      <c r="BK56" s="109"/>
    </row>
    <row r="57" spans="1:63" ht="15" x14ac:dyDescent="0.25">
      <c r="A57" s="104" t="s">
        <v>380</v>
      </c>
      <c r="B57" s="104"/>
      <c r="C57" s="104"/>
      <c r="D57" s="104"/>
      <c r="E57" s="105"/>
      <c r="F57" s="104"/>
      <c r="G57" s="104"/>
      <c r="H57" s="104"/>
      <c r="I57" s="105"/>
      <c r="J57" s="104"/>
      <c r="K57" s="104">
        <v>0</v>
      </c>
      <c r="L57" s="104"/>
      <c r="M57" s="105"/>
      <c r="N57" s="104"/>
      <c r="O57" s="104"/>
      <c r="P57" s="104"/>
      <c r="Q57" s="105"/>
      <c r="R57" s="106">
        <f t="shared" si="9"/>
        <v>0</v>
      </c>
      <c r="S57" s="107">
        <f t="shared" si="10"/>
        <v>0</v>
      </c>
      <c r="T57" s="108"/>
      <c r="U57" s="108"/>
      <c r="V57" s="108"/>
      <c r="W57" s="108"/>
      <c r="X57" s="108"/>
      <c r="Y57" s="109"/>
      <c r="Z57" s="109"/>
      <c r="AA57" s="109"/>
      <c r="AB57" s="109"/>
      <c r="AC57" s="109"/>
      <c r="AD57" s="109"/>
      <c r="AE57" s="109"/>
      <c r="AG57" s="104" t="s">
        <v>380</v>
      </c>
      <c r="AH57" s="104"/>
      <c r="AI57" s="104"/>
      <c r="AJ57" s="104"/>
      <c r="AK57" s="105"/>
      <c r="AL57" s="104"/>
      <c r="AM57" s="104"/>
      <c r="AN57" s="104"/>
      <c r="AO57" s="105"/>
      <c r="AP57" s="104"/>
      <c r="AQ57" s="104"/>
      <c r="AR57" s="104"/>
      <c r="AS57" s="105"/>
      <c r="AT57" s="104"/>
      <c r="AU57" s="104"/>
      <c r="AV57" s="104"/>
      <c r="AW57" s="105"/>
      <c r="AX57" s="106">
        <f t="shared" si="7"/>
        <v>0</v>
      </c>
      <c r="AY57" s="107">
        <f t="shared" si="8"/>
        <v>0</v>
      </c>
      <c r="AZ57" s="109"/>
      <c r="BA57" s="109"/>
      <c r="BB57" s="109"/>
      <c r="BC57" s="109"/>
      <c r="BD57" s="109"/>
      <c r="BE57" s="109"/>
      <c r="BF57" s="109"/>
      <c r="BG57" s="109"/>
      <c r="BH57" s="109"/>
      <c r="BI57" s="109"/>
      <c r="BJ57" s="109"/>
      <c r="BK57" s="109"/>
    </row>
    <row r="58" spans="1:63" ht="15" x14ac:dyDescent="0.25">
      <c r="A58" s="104" t="s">
        <v>381</v>
      </c>
      <c r="B58" s="104"/>
      <c r="C58" s="104"/>
      <c r="D58" s="104"/>
      <c r="E58" s="105"/>
      <c r="F58" s="104"/>
      <c r="G58" s="104"/>
      <c r="H58" s="104"/>
      <c r="I58" s="105"/>
      <c r="J58" s="104"/>
      <c r="K58" s="104">
        <v>0</v>
      </c>
      <c r="L58" s="104"/>
      <c r="M58" s="105"/>
      <c r="N58" s="104"/>
      <c r="O58" s="104"/>
      <c r="P58" s="104"/>
      <c r="Q58" s="105"/>
      <c r="R58" s="106">
        <f t="shared" si="9"/>
        <v>0</v>
      </c>
      <c r="S58" s="107">
        <f t="shared" si="10"/>
        <v>0</v>
      </c>
      <c r="T58" s="108"/>
      <c r="U58" s="108"/>
      <c r="V58" s="108"/>
      <c r="W58" s="108"/>
      <c r="X58" s="108"/>
      <c r="Y58" s="109"/>
      <c r="Z58" s="109"/>
      <c r="AA58" s="109"/>
      <c r="AB58" s="109"/>
      <c r="AC58" s="109"/>
      <c r="AD58" s="109"/>
      <c r="AE58" s="109"/>
      <c r="AG58" s="104" t="s">
        <v>381</v>
      </c>
      <c r="AH58" s="104"/>
      <c r="AI58" s="104"/>
      <c r="AJ58" s="104"/>
      <c r="AK58" s="105"/>
      <c r="AL58" s="104"/>
      <c r="AM58" s="104"/>
      <c r="AN58" s="104"/>
      <c r="AO58" s="105"/>
      <c r="AP58" s="104"/>
      <c r="AQ58" s="104"/>
      <c r="AR58" s="104"/>
      <c r="AS58" s="105"/>
      <c r="AT58" s="104"/>
      <c r="AU58" s="104"/>
      <c r="AV58" s="104"/>
      <c r="AW58" s="105"/>
      <c r="AX58" s="106">
        <f t="shared" si="7"/>
        <v>0</v>
      </c>
      <c r="AY58" s="107">
        <f t="shared" si="8"/>
        <v>0</v>
      </c>
      <c r="AZ58" s="109"/>
      <c r="BA58" s="109"/>
      <c r="BB58" s="109"/>
      <c r="BC58" s="109"/>
      <c r="BD58" s="109"/>
      <c r="BE58" s="109"/>
      <c r="BF58" s="109"/>
      <c r="BG58" s="109"/>
      <c r="BH58" s="109"/>
      <c r="BI58" s="109"/>
      <c r="BJ58" s="109"/>
      <c r="BK58" s="109"/>
    </row>
    <row r="59" spans="1:63" ht="15" x14ac:dyDescent="0.25">
      <c r="A59" s="104" t="s">
        <v>382</v>
      </c>
      <c r="B59" s="104"/>
      <c r="C59" s="104"/>
      <c r="D59" s="104"/>
      <c r="E59" s="105"/>
      <c r="F59" s="104"/>
      <c r="G59" s="104"/>
      <c r="H59" s="104"/>
      <c r="I59" s="105"/>
      <c r="J59" s="104"/>
      <c r="K59" s="104">
        <v>0</v>
      </c>
      <c r="L59" s="104"/>
      <c r="M59" s="105"/>
      <c r="N59" s="104"/>
      <c r="O59" s="104"/>
      <c r="P59" s="104"/>
      <c r="Q59" s="105"/>
      <c r="R59" s="106">
        <f t="shared" si="9"/>
        <v>0</v>
      </c>
      <c r="S59" s="107">
        <f t="shared" si="10"/>
        <v>0</v>
      </c>
      <c r="T59" s="108"/>
      <c r="U59" s="108"/>
      <c r="V59" s="108"/>
      <c r="W59" s="108"/>
      <c r="X59" s="108"/>
      <c r="Y59" s="109"/>
      <c r="Z59" s="109"/>
      <c r="AA59" s="109"/>
      <c r="AB59" s="109"/>
      <c r="AC59" s="109"/>
      <c r="AD59" s="109"/>
      <c r="AE59" s="109"/>
      <c r="AG59" s="104" t="s">
        <v>382</v>
      </c>
      <c r="AH59" s="104"/>
      <c r="AI59" s="104"/>
      <c r="AJ59" s="104"/>
      <c r="AK59" s="105"/>
      <c r="AL59" s="104"/>
      <c r="AM59" s="104"/>
      <c r="AN59" s="104"/>
      <c r="AO59" s="105"/>
      <c r="AP59" s="104"/>
      <c r="AQ59" s="104"/>
      <c r="AR59" s="104"/>
      <c r="AS59" s="105"/>
      <c r="AT59" s="104"/>
      <c r="AU59" s="104"/>
      <c r="AV59" s="104"/>
      <c r="AW59" s="105"/>
      <c r="AX59" s="106">
        <f t="shared" si="7"/>
        <v>0</v>
      </c>
      <c r="AY59" s="107">
        <f t="shared" si="8"/>
        <v>0</v>
      </c>
      <c r="AZ59" s="109"/>
      <c r="BA59" s="109"/>
      <c r="BB59" s="109"/>
      <c r="BC59" s="109"/>
      <c r="BD59" s="109"/>
      <c r="BE59" s="109"/>
      <c r="BF59" s="109"/>
      <c r="BG59" s="109"/>
      <c r="BH59" s="109"/>
      <c r="BI59" s="109"/>
      <c r="BJ59" s="109"/>
      <c r="BK59" s="109"/>
    </row>
    <row r="60" spans="1:63" ht="15" x14ac:dyDescent="0.25">
      <c r="A60" s="111" t="s">
        <v>383</v>
      </c>
      <c r="B60" s="112">
        <f t="shared" ref="B60:L60" si="11">SUM(B39:B59)</f>
        <v>0</v>
      </c>
      <c r="C60" s="112">
        <f t="shared" si="11"/>
        <v>0</v>
      </c>
      <c r="D60" s="112">
        <f t="shared" si="11"/>
        <v>0</v>
      </c>
      <c r="E60" s="113">
        <f t="shared" si="11"/>
        <v>0</v>
      </c>
      <c r="F60" s="112">
        <f t="shared" si="11"/>
        <v>0</v>
      </c>
      <c r="G60" s="112">
        <f t="shared" si="11"/>
        <v>0</v>
      </c>
      <c r="H60" s="112">
        <f t="shared" si="11"/>
        <v>0</v>
      </c>
      <c r="I60" s="113">
        <f t="shared" si="11"/>
        <v>0</v>
      </c>
      <c r="J60" s="112">
        <f t="shared" si="11"/>
        <v>0</v>
      </c>
      <c r="K60" s="112">
        <f t="shared" si="11"/>
        <v>0.20833333333333334</v>
      </c>
      <c r="L60" s="112">
        <f t="shared" si="11"/>
        <v>0.2416666666666667</v>
      </c>
      <c r="M60" s="113">
        <f>SUM(M39:M59)</f>
        <v>9813325.333333334</v>
      </c>
      <c r="N60" s="112">
        <f>SUM(N39:N59)</f>
        <v>0.35000000000000003</v>
      </c>
      <c r="O60" s="112">
        <f>SUM(O39:O59)</f>
        <v>0.1</v>
      </c>
      <c r="P60" s="112">
        <f>SUM(P39:P59)</f>
        <v>0.1</v>
      </c>
      <c r="Q60" s="113">
        <f>SUM(Q39:Q59)</f>
        <v>22080000</v>
      </c>
      <c r="R60" s="112">
        <f t="shared" ref="R60:AE60" si="12">SUM(R39:R59)</f>
        <v>1</v>
      </c>
      <c r="S60" s="107">
        <f t="shared" si="12"/>
        <v>31893325.333333336</v>
      </c>
      <c r="T60" s="112">
        <f t="shared" si="12"/>
        <v>0</v>
      </c>
      <c r="U60" s="112">
        <f t="shared" si="12"/>
        <v>0</v>
      </c>
      <c r="V60" s="112">
        <f t="shared" si="12"/>
        <v>0</v>
      </c>
      <c r="W60" s="112">
        <f t="shared" si="12"/>
        <v>0</v>
      </c>
      <c r="X60" s="112">
        <f t="shared" si="12"/>
        <v>0</v>
      </c>
      <c r="Y60" s="112">
        <f t="shared" si="12"/>
        <v>0</v>
      </c>
      <c r="Z60" s="112">
        <f t="shared" si="12"/>
        <v>0</v>
      </c>
      <c r="AA60" s="112">
        <f t="shared" si="12"/>
        <v>0</v>
      </c>
      <c r="AB60" s="112">
        <f t="shared" si="12"/>
        <v>0</v>
      </c>
      <c r="AC60" s="112">
        <f t="shared" si="12"/>
        <v>0</v>
      </c>
      <c r="AD60" s="112">
        <f t="shared" si="12"/>
        <v>0</v>
      </c>
      <c r="AE60" s="112">
        <f t="shared" si="12"/>
        <v>0</v>
      </c>
      <c r="AG60" s="111" t="s">
        <v>383</v>
      </c>
      <c r="AH60" s="112">
        <f t="shared" ref="AH60:AW60" si="13">SUM(AH39:AH59)</f>
        <v>0</v>
      </c>
      <c r="AI60" s="112">
        <f t="shared" si="13"/>
        <v>0</v>
      </c>
      <c r="AJ60" s="112">
        <f t="shared" si="13"/>
        <v>0</v>
      </c>
      <c r="AK60" s="113">
        <f t="shared" si="13"/>
        <v>0</v>
      </c>
      <c r="AL60" s="112">
        <f t="shared" si="13"/>
        <v>0</v>
      </c>
      <c r="AM60" s="112">
        <f t="shared" si="13"/>
        <v>0</v>
      </c>
      <c r="AN60" s="112">
        <f t="shared" si="13"/>
        <v>0</v>
      </c>
      <c r="AO60" s="113">
        <f t="shared" si="13"/>
        <v>0</v>
      </c>
      <c r="AP60" s="112">
        <f t="shared" si="13"/>
        <v>0</v>
      </c>
      <c r="AQ60" s="112">
        <f t="shared" si="13"/>
        <v>0.20833333333333334</v>
      </c>
      <c r="AR60" s="112">
        <f t="shared" si="13"/>
        <v>0.2416666666666667</v>
      </c>
      <c r="AS60" s="113">
        <f t="shared" si="13"/>
        <v>1594666.6666666667</v>
      </c>
      <c r="AT60" s="112">
        <f t="shared" si="13"/>
        <v>0</v>
      </c>
      <c r="AU60" s="112">
        <f t="shared" si="13"/>
        <v>0</v>
      </c>
      <c r="AV60" s="112">
        <f t="shared" si="13"/>
        <v>0</v>
      </c>
      <c r="AW60" s="113">
        <f t="shared" si="13"/>
        <v>0</v>
      </c>
      <c r="AX60" s="114">
        <f t="shared" ref="AX60:BK60" si="14">SUM(AX39:AX59)</f>
        <v>0.45000000000000007</v>
      </c>
      <c r="AY60" s="115">
        <f t="shared" si="14"/>
        <v>1594666.6666666667</v>
      </c>
      <c r="AZ60" s="112">
        <f t="shared" si="14"/>
        <v>0</v>
      </c>
      <c r="BA60" s="112">
        <f t="shared" si="14"/>
        <v>0</v>
      </c>
      <c r="BB60" s="112">
        <f t="shared" si="14"/>
        <v>0</v>
      </c>
      <c r="BC60" s="112">
        <f t="shared" si="14"/>
        <v>0</v>
      </c>
      <c r="BD60" s="112">
        <f t="shared" si="14"/>
        <v>0</v>
      </c>
      <c r="BE60" s="112">
        <f t="shared" si="14"/>
        <v>0</v>
      </c>
      <c r="BF60" s="112">
        <f t="shared" si="14"/>
        <v>0</v>
      </c>
      <c r="BG60" s="112">
        <f t="shared" si="14"/>
        <v>0</v>
      </c>
      <c r="BH60" s="112">
        <f t="shared" si="14"/>
        <v>0</v>
      </c>
      <c r="BI60" s="112">
        <f t="shared" si="14"/>
        <v>0</v>
      </c>
      <c r="BJ60" s="112">
        <f t="shared" si="14"/>
        <v>0</v>
      </c>
      <c r="BK60" s="112">
        <f t="shared" si="14"/>
        <v>0</v>
      </c>
    </row>
    <row r="62" spans="1:63" ht="15" thickBot="1" x14ac:dyDescent="0.3"/>
    <row r="63" spans="1:63" ht="31.9" customHeight="1" thickBot="1" x14ac:dyDescent="0.3">
      <c r="A63" s="778" t="s">
        <v>748</v>
      </c>
      <c r="B63" s="779"/>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779"/>
      <c r="AV63" s="779"/>
      <c r="AW63" s="779"/>
      <c r="AX63" s="779"/>
      <c r="AY63" s="779"/>
      <c r="AZ63" s="779"/>
      <c r="BA63" s="779"/>
      <c r="BB63" s="779"/>
      <c r="BC63" s="779"/>
      <c r="BD63" s="779"/>
      <c r="BE63" s="779"/>
      <c r="BF63" s="779"/>
      <c r="BG63" s="779"/>
      <c r="BH63" s="779"/>
      <c r="BI63" s="779"/>
      <c r="BJ63" s="779"/>
      <c r="BK63" s="780"/>
    </row>
    <row r="64" spans="1:63" ht="30" customHeight="1" x14ac:dyDescent="0.25">
      <c r="A64" s="783" t="s">
        <v>344</v>
      </c>
      <c r="B64" s="454" t="s">
        <v>141</v>
      </c>
      <c r="C64" s="454" t="s">
        <v>142</v>
      </c>
      <c r="D64" s="774" t="s">
        <v>143</v>
      </c>
      <c r="E64" s="775"/>
      <c r="F64" s="454" t="s">
        <v>144</v>
      </c>
      <c r="G64" s="454" t="s">
        <v>145</v>
      </c>
      <c r="H64" s="774" t="s">
        <v>146</v>
      </c>
      <c r="I64" s="775"/>
      <c r="J64" s="454" t="s">
        <v>147</v>
      </c>
      <c r="K64" s="454" t="s">
        <v>148</v>
      </c>
      <c r="L64" s="774" t="s">
        <v>128</v>
      </c>
      <c r="M64" s="775"/>
      <c r="N64" s="454" t="s">
        <v>149</v>
      </c>
      <c r="O64" s="454" t="s">
        <v>150</v>
      </c>
      <c r="P64" s="774" t="s">
        <v>151</v>
      </c>
      <c r="Q64" s="775"/>
      <c r="R64" s="774" t="s">
        <v>345</v>
      </c>
      <c r="S64" s="775"/>
      <c r="T64" s="774" t="s">
        <v>346</v>
      </c>
      <c r="U64" s="776"/>
      <c r="V64" s="776"/>
      <c r="W64" s="776"/>
      <c r="X64" s="776"/>
      <c r="Y64" s="775"/>
      <c r="Z64" s="774" t="s">
        <v>347</v>
      </c>
      <c r="AA64" s="776"/>
      <c r="AB64" s="776"/>
      <c r="AC64" s="776"/>
      <c r="AD64" s="776"/>
      <c r="AE64" s="775"/>
      <c r="AF64" s="462"/>
      <c r="AG64" s="781" t="s">
        <v>344</v>
      </c>
      <c r="AH64" s="454" t="s">
        <v>141</v>
      </c>
      <c r="AI64" s="454" t="s">
        <v>142</v>
      </c>
      <c r="AJ64" s="774" t="s">
        <v>143</v>
      </c>
      <c r="AK64" s="775"/>
      <c r="AL64" s="454" t="s">
        <v>144</v>
      </c>
      <c r="AM64" s="454" t="s">
        <v>145</v>
      </c>
      <c r="AN64" s="774" t="s">
        <v>146</v>
      </c>
      <c r="AO64" s="775"/>
      <c r="AP64" s="454" t="s">
        <v>147</v>
      </c>
      <c r="AQ64" s="454" t="s">
        <v>148</v>
      </c>
      <c r="AR64" s="774" t="s">
        <v>128</v>
      </c>
      <c r="AS64" s="775"/>
      <c r="AT64" s="454" t="s">
        <v>149</v>
      </c>
      <c r="AU64" s="454" t="s">
        <v>150</v>
      </c>
      <c r="AV64" s="774" t="s">
        <v>151</v>
      </c>
      <c r="AW64" s="775"/>
      <c r="AX64" s="774" t="s">
        <v>345</v>
      </c>
      <c r="AY64" s="775"/>
      <c r="AZ64" s="774" t="s">
        <v>346</v>
      </c>
      <c r="BA64" s="776"/>
      <c r="BB64" s="776"/>
      <c r="BC64" s="776"/>
      <c r="BD64" s="776"/>
      <c r="BE64" s="775"/>
      <c r="BF64" s="774" t="s">
        <v>347</v>
      </c>
      <c r="BG64" s="776"/>
      <c r="BH64" s="776"/>
      <c r="BI64" s="776"/>
      <c r="BJ64" s="776"/>
      <c r="BK64" s="777"/>
    </row>
    <row r="65" spans="1:63" ht="36" customHeight="1" thickBot="1" x14ac:dyDescent="0.3">
      <c r="A65" s="784"/>
      <c r="B65" s="463" t="s">
        <v>348</v>
      </c>
      <c r="C65" s="463" t="s">
        <v>348</v>
      </c>
      <c r="D65" s="463" t="s">
        <v>348</v>
      </c>
      <c r="E65" s="463" t="s">
        <v>349</v>
      </c>
      <c r="F65" s="463" t="s">
        <v>348</v>
      </c>
      <c r="G65" s="463" t="s">
        <v>348</v>
      </c>
      <c r="H65" s="463" t="s">
        <v>348</v>
      </c>
      <c r="I65" s="463" t="s">
        <v>349</v>
      </c>
      <c r="J65" s="463" t="s">
        <v>348</v>
      </c>
      <c r="K65" s="463" t="s">
        <v>348</v>
      </c>
      <c r="L65" s="463" t="s">
        <v>348</v>
      </c>
      <c r="M65" s="463" t="s">
        <v>349</v>
      </c>
      <c r="N65" s="463" t="s">
        <v>348</v>
      </c>
      <c r="O65" s="463" t="s">
        <v>348</v>
      </c>
      <c r="P65" s="463" t="s">
        <v>348</v>
      </c>
      <c r="Q65" s="463" t="s">
        <v>349</v>
      </c>
      <c r="R65" s="463" t="s">
        <v>348</v>
      </c>
      <c r="S65" s="463" t="s">
        <v>349</v>
      </c>
      <c r="T65" s="464" t="s">
        <v>350</v>
      </c>
      <c r="U65" s="464" t="s">
        <v>351</v>
      </c>
      <c r="V65" s="464" t="s">
        <v>352</v>
      </c>
      <c r="W65" s="464" t="s">
        <v>353</v>
      </c>
      <c r="X65" s="464" t="s">
        <v>354</v>
      </c>
      <c r="Y65" s="464" t="s">
        <v>355</v>
      </c>
      <c r="Z65" s="463" t="s">
        <v>356</v>
      </c>
      <c r="AA65" s="465" t="s">
        <v>357</v>
      </c>
      <c r="AB65" s="463" t="s">
        <v>358</v>
      </c>
      <c r="AC65" s="463" t="s">
        <v>359</v>
      </c>
      <c r="AD65" s="463" t="s">
        <v>360</v>
      </c>
      <c r="AE65" s="463" t="s">
        <v>361</v>
      </c>
      <c r="AF65" s="466"/>
      <c r="AG65" s="782"/>
      <c r="AH65" s="463" t="s">
        <v>348</v>
      </c>
      <c r="AI65" s="463" t="s">
        <v>348</v>
      </c>
      <c r="AJ65" s="463" t="s">
        <v>348</v>
      </c>
      <c r="AK65" s="463" t="s">
        <v>349</v>
      </c>
      <c r="AL65" s="463" t="s">
        <v>348</v>
      </c>
      <c r="AM65" s="463" t="s">
        <v>348</v>
      </c>
      <c r="AN65" s="463" t="s">
        <v>348</v>
      </c>
      <c r="AO65" s="463" t="s">
        <v>349</v>
      </c>
      <c r="AP65" s="463" t="s">
        <v>348</v>
      </c>
      <c r="AQ65" s="463" t="s">
        <v>348</v>
      </c>
      <c r="AR65" s="463" t="s">
        <v>348</v>
      </c>
      <c r="AS65" s="463" t="s">
        <v>349</v>
      </c>
      <c r="AT65" s="463" t="s">
        <v>348</v>
      </c>
      <c r="AU65" s="463" t="s">
        <v>348</v>
      </c>
      <c r="AV65" s="463" t="s">
        <v>348</v>
      </c>
      <c r="AW65" s="463" t="s">
        <v>349</v>
      </c>
      <c r="AX65" s="463" t="s">
        <v>348</v>
      </c>
      <c r="AY65" s="463" t="s">
        <v>349</v>
      </c>
      <c r="AZ65" s="464" t="s">
        <v>350</v>
      </c>
      <c r="BA65" s="464" t="s">
        <v>351</v>
      </c>
      <c r="BB65" s="464" t="s">
        <v>352</v>
      </c>
      <c r="BC65" s="464" t="s">
        <v>353</v>
      </c>
      <c r="BD65" s="464" t="s">
        <v>354</v>
      </c>
      <c r="BE65" s="464" t="s">
        <v>355</v>
      </c>
      <c r="BF65" s="467" t="s">
        <v>356</v>
      </c>
      <c r="BG65" s="468" t="s">
        <v>357</v>
      </c>
      <c r="BH65" s="467" t="s">
        <v>358</v>
      </c>
      <c r="BI65" s="467" t="s">
        <v>359</v>
      </c>
      <c r="BJ65" s="467" t="s">
        <v>360</v>
      </c>
      <c r="BK65" s="469" t="s">
        <v>361</v>
      </c>
    </row>
    <row r="66" spans="1:63" ht="15" x14ac:dyDescent="0.25">
      <c r="A66" s="455" t="s">
        <v>363</v>
      </c>
      <c r="B66" s="455"/>
      <c r="C66" s="455"/>
      <c r="D66" s="455"/>
      <c r="E66" s="456"/>
      <c r="F66" s="455"/>
      <c r="G66" s="455"/>
      <c r="H66" s="455"/>
      <c r="I66" s="456"/>
      <c r="J66" s="455"/>
      <c r="K66" s="455"/>
      <c r="L66" s="457"/>
      <c r="M66" s="456"/>
      <c r="N66" s="455"/>
      <c r="O66" s="455"/>
      <c r="P66" s="455"/>
      <c r="Q66" s="456"/>
      <c r="R66" s="458">
        <f>B66+C66+D66+F66+G66+H66+J66+K66+L66+N66+O66+P66</f>
        <v>0</v>
      </c>
      <c r="S66" s="459">
        <f>+E66+I66+M66+Q66</f>
        <v>0</v>
      </c>
      <c r="T66" s="460"/>
      <c r="U66" s="460"/>
      <c r="V66" s="460"/>
      <c r="W66" s="460"/>
      <c r="X66" s="460"/>
      <c r="Y66" s="461"/>
      <c r="Z66" s="461"/>
      <c r="AA66" s="461"/>
      <c r="AB66" s="461"/>
      <c r="AC66" s="461"/>
      <c r="AD66" s="461"/>
      <c r="AE66" s="461"/>
      <c r="AG66" s="455" t="s">
        <v>363</v>
      </c>
      <c r="AH66" s="455"/>
      <c r="AI66" s="455"/>
      <c r="AJ66" s="455"/>
      <c r="AK66" s="456"/>
      <c r="AL66" s="455"/>
      <c r="AM66" s="455"/>
      <c r="AN66" s="455"/>
      <c r="AO66" s="456"/>
      <c r="AP66" s="455"/>
      <c r="AQ66" s="455"/>
      <c r="AR66" s="457">
        <v>26</v>
      </c>
      <c r="AS66" s="456"/>
      <c r="AT66" s="455"/>
      <c r="AU66" s="455"/>
      <c r="AV66" s="455"/>
      <c r="AW66" s="456"/>
      <c r="AX66" s="458">
        <f t="shared" ref="AX66:AX85" si="15">AH66+AI66+AJ66+AL66+AM66+AN66+AP66+AQ66+AR66+AT66+AU66+AV66</f>
        <v>26</v>
      </c>
      <c r="AY66" s="459">
        <f t="shared" ref="AY66:AY85" si="16">+AK66+AO66+AS66+AW66</f>
        <v>0</v>
      </c>
      <c r="AZ66" s="461"/>
      <c r="BA66" s="461"/>
      <c r="BB66" s="461"/>
      <c r="BC66" s="461"/>
      <c r="BD66" s="461"/>
      <c r="BE66" s="461"/>
      <c r="BF66" s="461"/>
      <c r="BG66" s="461"/>
      <c r="BH66" s="461"/>
      <c r="BI66" s="461"/>
      <c r="BJ66" s="461"/>
      <c r="BK66" s="461"/>
    </row>
    <row r="67" spans="1:63" ht="15" x14ac:dyDescent="0.25">
      <c r="A67" s="104" t="s">
        <v>364</v>
      </c>
      <c r="B67" s="104"/>
      <c r="C67" s="104"/>
      <c r="D67" s="104"/>
      <c r="E67" s="105"/>
      <c r="F67" s="104"/>
      <c r="G67" s="104"/>
      <c r="H67" s="104"/>
      <c r="I67" s="105"/>
      <c r="J67" s="104"/>
      <c r="K67" s="104"/>
      <c r="L67" s="453"/>
      <c r="M67" s="105"/>
      <c r="N67" s="104"/>
      <c r="O67" s="104"/>
      <c r="P67" s="104"/>
      <c r="Q67" s="105"/>
      <c r="R67" s="106">
        <f t="shared" ref="R67:R85" si="17">B67+C67+D67+F67+G67+H67+J67+K67+L67+N67+O67+P67</f>
        <v>0</v>
      </c>
      <c r="S67" s="107">
        <f t="shared" ref="S67:S85" si="18">+E67+I67+M67+Q67</f>
        <v>0</v>
      </c>
      <c r="T67" s="108"/>
      <c r="U67" s="108"/>
      <c r="V67" s="108"/>
      <c r="W67" s="108"/>
      <c r="X67" s="108"/>
      <c r="Y67" s="109"/>
      <c r="Z67" s="109"/>
      <c r="AA67" s="109"/>
      <c r="AB67" s="109"/>
      <c r="AC67" s="109"/>
      <c r="AD67" s="109"/>
      <c r="AE67" s="109"/>
      <c r="AG67" s="104" t="s">
        <v>364</v>
      </c>
      <c r="AH67" s="104"/>
      <c r="AI67" s="104"/>
      <c r="AJ67" s="104"/>
      <c r="AK67" s="105"/>
      <c r="AL67" s="104"/>
      <c r="AM67" s="104"/>
      <c r="AN67" s="104"/>
      <c r="AO67" s="105"/>
      <c r="AP67" s="104"/>
      <c r="AQ67" s="104"/>
      <c r="AR67" s="453">
        <v>0</v>
      </c>
      <c r="AS67" s="105"/>
      <c r="AT67" s="104"/>
      <c r="AU67" s="104"/>
      <c r="AV67" s="104"/>
      <c r="AW67" s="105"/>
      <c r="AX67" s="106">
        <f t="shared" si="15"/>
        <v>0</v>
      </c>
      <c r="AY67" s="107">
        <f t="shared" si="16"/>
        <v>0</v>
      </c>
      <c r="AZ67" s="109"/>
      <c r="BA67" s="109"/>
      <c r="BB67" s="109"/>
      <c r="BC67" s="109"/>
      <c r="BD67" s="109"/>
      <c r="BE67" s="109"/>
      <c r="BF67" s="109"/>
      <c r="BG67" s="109"/>
      <c r="BH67" s="109"/>
      <c r="BI67" s="109"/>
      <c r="BJ67" s="109"/>
      <c r="BK67" s="109"/>
    </row>
    <row r="68" spans="1:63" ht="15" x14ac:dyDescent="0.25">
      <c r="A68" s="104" t="s">
        <v>365</v>
      </c>
      <c r="B68" s="104"/>
      <c r="C68" s="104"/>
      <c r="D68" s="104"/>
      <c r="E68" s="105"/>
      <c r="F68" s="104"/>
      <c r="G68" s="104"/>
      <c r="H68" s="104"/>
      <c r="I68" s="105"/>
      <c r="J68" s="104"/>
      <c r="K68" s="104"/>
      <c r="L68" s="453"/>
      <c r="M68" s="105"/>
      <c r="N68" s="104"/>
      <c r="O68" s="104"/>
      <c r="P68" s="104"/>
      <c r="Q68" s="105"/>
      <c r="R68" s="106">
        <f t="shared" si="17"/>
        <v>0</v>
      </c>
      <c r="S68" s="107">
        <f t="shared" si="18"/>
        <v>0</v>
      </c>
      <c r="T68" s="108"/>
      <c r="U68" s="108"/>
      <c r="V68" s="108"/>
      <c r="W68" s="108"/>
      <c r="X68" s="108"/>
      <c r="Y68" s="109"/>
      <c r="Z68" s="109"/>
      <c r="AA68" s="109"/>
      <c r="AB68" s="109"/>
      <c r="AC68" s="109"/>
      <c r="AD68" s="109"/>
      <c r="AE68" s="109"/>
      <c r="AG68" s="104" t="s">
        <v>365</v>
      </c>
      <c r="AH68" s="104"/>
      <c r="AI68" s="104"/>
      <c r="AJ68" s="104"/>
      <c r="AK68" s="105"/>
      <c r="AL68" s="104"/>
      <c r="AM68" s="104"/>
      <c r="AN68" s="104"/>
      <c r="AO68" s="105"/>
      <c r="AP68" s="104"/>
      <c r="AQ68" s="104"/>
      <c r="AR68" s="453">
        <v>7</v>
      </c>
      <c r="AS68" s="105"/>
      <c r="AT68" s="104"/>
      <c r="AU68" s="104"/>
      <c r="AV68" s="104"/>
      <c r="AW68" s="105"/>
      <c r="AX68" s="106">
        <f t="shared" si="15"/>
        <v>7</v>
      </c>
      <c r="AY68" s="107">
        <f t="shared" si="16"/>
        <v>0</v>
      </c>
      <c r="AZ68" s="109"/>
      <c r="BA68" s="109"/>
      <c r="BB68" s="109"/>
      <c r="BC68" s="109"/>
      <c r="BD68" s="109"/>
      <c r="BE68" s="109"/>
      <c r="BF68" s="109"/>
      <c r="BG68" s="109"/>
      <c r="BH68" s="109"/>
      <c r="BI68" s="109"/>
      <c r="BJ68" s="109"/>
      <c r="BK68" s="109"/>
    </row>
    <row r="69" spans="1:63" ht="15" x14ac:dyDescent="0.25">
      <c r="A69" s="104" t="s">
        <v>366</v>
      </c>
      <c r="B69" s="104"/>
      <c r="C69" s="104"/>
      <c r="D69" s="104"/>
      <c r="E69" s="105"/>
      <c r="F69" s="104"/>
      <c r="G69" s="104"/>
      <c r="H69" s="104"/>
      <c r="I69" s="105"/>
      <c r="J69" s="104"/>
      <c r="K69" s="104"/>
      <c r="L69" s="453"/>
      <c r="M69" s="105"/>
      <c r="N69" s="104"/>
      <c r="O69" s="104"/>
      <c r="P69" s="104"/>
      <c r="Q69" s="105"/>
      <c r="R69" s="106">
        <f t="shared" si="17"/>
        <v>0</v>
      </c>
      <c r="S69" s="107">
        <f t="shared" si="18"/>
        <v>0</v>
      </c>
      <c r="T69" s="108"/>
      <c r="U69" s="108"/>
      <c r="V69" s="108"/>
      <c r="W69" s="108"/>
      <c r="X69" s="108"/>
      <c r="Y69" s="109"/>
      <c r="Z69" s="109"/>
      <c r="AA69" s="109"/>
      <c r="AB69" s="109"/>
      <c r="AC69" s="109"/>
      <c r="AD69" s="109"/>
      <c r="AE69" s="109"/>
      <c r="AG69" s="104" t="s">
        <v>366</v>
      </c>
      <c r="AH69" s="104"/>
      <c r="AI69" s="104"/>
      <c r="AJ69" s="104"/>
      <c r="AK69" s="105"/>
      <c r="AL69" s="104"/>
      <c r="AM69" s="104"/>
      <c r="AN69" s="104"/>
      <c r="AO69" s="105"/>
      <c r="AP69" s="104"/>
      <c r="AQ69" s="104"/>
      <c r="AR69" s="453">
        <v>10</v>
      </c>
      <c r="AS69" s="105"/>
      <c r="AT69" s="104"/>
      <c r="AU69" s="104"/>
      <c r="AV69" s="104"/>
      <c r="AW69" s="105"/>
      <c r="AX69" s="106">
        <f t="shared" si="15"/>
        <v>10</v>
      </c>
      <c r="AY69" s="107">
        <f t="shared" si="16"/>
        <v>0</v>
      </c>
      <c r="AZ69" s="109"/>
      <c r="BA69" s="109"/>
      <c r="BB69" s="109"/>
      <c r="BC69" s="109"/>
      <c r="BD69" s="109"/>
      <c r="BE69" s="109"/>
      <c r="BF69" s="109"/>
      <c r="BG69" s="109"/>
      <c r="BH69" s="109"/>
      <c r="BI69" s="109"/>
      <c r="BJ69" s="109"/>
      <c r="BK69" s="109"/>
    </row>
    <row r="70" spans="1:63" ht="15" x14ac:dyDescent="0.25">
      <c r="A70" s="104" t="s">
        <v>367</v>
      </c>
      <c r="B70" s="104"/>
      <c r="C70" s="104"/>
      <c r="D70" s="104"/>
      <c r="E70" s="105"/>
      <c r="F70" s="104"/>
      <c r="G70" s="104"/>
      <c r="H70" s="104"/>
      <c r="I70" s="105"/>
      <c r="J70" s="104"/>
      <c r="K70" s="104"/>
      <c r="L70" s="453"/>
      <c r="M70" s="105"/>
      <c r="N70" s="104"/>
      <c r="O70" s="104"/>
      <c r="P70" s="104"/>
      <c r="Q70" s="105"/>
      <c r="R70" s="106">
        <f t="shared" si="17"/>
        <v>0</v>
      </c>
      <c r="S70" s="107">
        <f t="shared" si="18"/>
        <v>0</v>
      </c>
      <c r="T70" s="108"/>
      <c r="U70" s="108"/>
      <c r="V70" s="108"/>
      <c r="W70" s="108"/>
      <c r="X70" s="108"/>
      <c r="Y70" s="109"/>
      <c r="Z70" s="109"/>
      <c r="AA70" s="109"/>
      <c r="AB70" s="109"/>
      <c r="AC70" s="109"/>
      <c r="AD70" s="109"/>
      <c r="AE70" s="109"/>
      <c r="AG70" s="104" t="s">
        <v>367</v>
      </c>
      <c r="AH70" s="104"/>
      <c r="AI70" s="104"/>
      <c r="AJ70" s="104"/>
      <c r="AK70" s="105"/>
      <c r="AL70" s="104"/>
      <c r="AM70" s="104"/>
      <c r="AN70" s="104"/>
      <c r="AO70" s="105"/>
      <c r="AP70" s="104"/>
      <c r="AQ70" s="104"/>
      <c r="AR70" s="453">
        <v>0</v>
      </c>
      <c r="AS70" s="105"/>
      <c r="AT70" s="104"/>
      <c r="AU70" s="104"/>
      <c r="AV70" s="104"/>
      <c r="AW70" s="105"/>
      <c r="AX70" s="106">
        <f t="shared" si="15"/>
        <v>0</v>
      </c>
      <c r="AY70" s="107">
        <f t="shared" si="16"/>
        <v>0</v>
      </c>
      <c r="AZ70" s="109"/>
      <c r="BA70" s="109"/>
      <c r="BB70" s="109"/>
      <c r="BC70" s="109"/>
      <c r="BD70" s="109"/>
      <c r="BE70" s="109"/>
      <c r="BF70" s="109"/>
      <c r="BG70" s="109"/>
      <c r="BH70" s="109"/>
      <c r="BI70" s="109"/>
      <c r="BJ70" s="109"/>
      <c r="BK70" s="109"/>
    </row>
    <row r="71" spans="1:63" ht="15" x14ac:dyDescent="0.25">
      <c r="A71" s="104" t="s">
        <v>368</v>
      </c>
      <c r="B71" s="104"/>
      <c r="C71" s="104"/>
      <c r="D71" s="104"/>
      <c r="E71" s="105"/>
      <c r="F71" s="104"/>
      <c r="G71" s="104"/>
      <c r="H71" s="104"/>
      <c r="I71" s="105"/>
      <c r="J71" s="104"/>
      <c r="K71" s="104"/>
      <c r="L71" s="453"/>
      <c r="M71" s="105"/>
      <c r="N71" s="104"/>
      <c r="O71" s="104"/>
      <c r="P71" s="104"/>
      <c r="Q71" s="105"/>
      <c r="R71" s="106">
        <f t="shared" si="17"/>
        <v>0</v>
      </c>
      <c r="S71" s="107">
        <f t="shared" si="18"/>
        <v>0</v>
      </c>
      <c r="T71" s="108"/>
      <c r="U71" s="108"/>
      <c r="V71" s="108"/>
      <c r="W71" s="108"/>
      <c r="X71" s="108"/>
      <c r="Y71" s="109"/>
      <c r="Z71" s="109"/>
      <c r="AA71" s="109"/>
      <c r="AB71" s="109"/>
      <c r="AC71" s="109"/>
      <c r="AD71" s="109"/>
      <c r="AE71" s="109"/>
      <c r="AG71" s="104" t="s">
        <v>368</v>
      </c>
      <c r="AH71" s="104"/>
      <c r="AI71" s="104"/>
      <c r="AJ71" s="104"/>
      <c r="AK71" s="105"/>
      <c r="AL71" s="104"/>
      <c r="AM71" s="104"/>
      <c r="AN71" s="104"/>
      <c r="AO71" s="105"/>
      <c r="AP71" s="104"/>
      <c r="AQ71" s="104"/>
      <c r="AR71" s="453">
        <v>27</v>
      </c>
      <c r="AS71" s="105"/>
      <c r="AT71" s="104"/>
      <c r="AU71" s="104"/>
      <c r="AV71" s="104"/>
      <c r="AW71" s="105"/>
      <c r="AX71" s="106">
        <f t="shared" si="15"/>
        <v>27</v>
      </c>
      <c r="AY71" s="107">
        <f t="shared" si="16"/>
        <v>0</v>
      </c>
      <c r="AZ71" s="109"/>
      <c r="BA71" s="109"/>
      <c r="BB71" s="109"/>
      <c r="BC71" s="109"/>
      <c r="BD71" s="109"/>
      <c r="BE71" s="109"/>
      <c r="BF71" s="109"/>
      <c r="BG71" s="109"/>
      <c r="BH71" s="109"/>
      <c r="BI71" s="109"/>
      <c r="BJ71" s="109"/>
      <c r="BK71" s="109"/>
    </row>
    <row r="72" spans="1:63" ht="15" x14ac:dyDescent="0.25">
      <c r="A72" s="104" t="s">
        <v>369</v>
      </c>
      <c r="B72" s="104"/>
      <c r="C72" s="104"/>
      <c r="D72" s="104"/>
      <c r="E72" s="105"/>
      <c r="F72" s="104"/>
      <c r="G72" s="104"/>
      <c r="H72" s="104"/>
      <c r="I72" s="105"/>
      <c r="J72" s="104"/>
      <c r="K72" s="104"/>
      <c r="L72" s="453"/>
      <c r="M72" s="105"/>
      <c r="N72" s="104"/>
      <c r="O72" s="104"/>
      <c r="P72" s="104"/>
      <c r="Q72" s="105"/>
      <c r="R72" s="106">
        <f t="shared" si="17"/>
        <v>0</v>
      </c>
      <c r="S72" s="107">
        <f t="shared" si="18"/>
        <v>0</v>
      </c>
      <c r="T72" s="108"/>
      <c r="U72" s="108"/>
      <c r="V72" s="108"/>
      <c r="W72" s="108"/>
      <c r="X72" s="108"/>
      <c r="Y72" s="109"/>
      <c r="Z72" s="109"/>
      <c r="AA72" s="109"/>
      <c r="AB72" s="109"/>
      <c r="AC72" s="109"/>
      <c r="AD72" s="109"/>
      <c r="AE72" s="109"/>
      <c r="AG72" s="104" t="s">
        <v>369</v>
      </c>
      <c r="AH72" s="104"/>
      <c r="AI72" s="104"/>
      <c r="AJ72" s="104"/>
      <c r="AK72" s="105"/>
      <c r="AL72" s="104"/>
      <c r="AM72" s="104"/>
      <c r="AN72" s="104"/>
      <c r="AO72" s="105"/>
      <c r="AP72" s="104"/>
      <c r="AQ72" s="104"/>
      <c r="AR72" s="453">
        <v>6</v>
      </c>
      <c r="AS72" s="105"/>
      <c r="AT72" s="104"/>
      <c r="AU72" s="104"/>
      <c r="AV72" s="104"/>
      <c r="AW72" s="105"/>
      <c r="AX72" s="106">
        <f t="shared" si="15"/>
        <v>6</v>
      </c>
      <c r="AY72" s="107">
        <f t="shared" si="16"/>
        <v>0</v>
      </c>
      <c r="AZ72" s="109"/>
      <c r="BA72" s="109"/>
      <c r="BB72" s="109"/>
      <c r="BC72" s="109"/>
      <c r="BD72" s="109"/>
      <c r="BE72" s="109"/>
      <c r="BF72" s="109"/>
      <c r="BG72" s="109"/>
      <c r="BH72" s="109"/>
      <c r="BI72" s="109"/>
      <c r="BJ72" s="109"/>
      <c r="BK72" s="109"/>
    </row>
    <row r="73" spans="1:63" ht="15" x14ac:dyDescent="0.25">
      <c r="A73" s="104" t="s">
        <v>370</v>
      </c>
      <c r="B73" s="104"/>
      <c r="C73" s="104"/>
      <c r="D73" s="104"/>
      <c r="E73" s="105"/>
      <c r="F73" s="104"/>
      <c r="G73" s="104"/>
      <c r="H73" s="104"/>
      <c r="I73" s="105"/>
      <c r="J73" s="104"/>
      <c r="K73" s="104"/>
      <c r="L73" s="453"/>
      <c r="M73" s="105"/>
      <c r="N73" s="104"/>
      <c r="O73" s="104"/>
      <c r="P73" s="104"/>
      <c r="Q73" s="105"/>
      <c r="R73" s="106">
        <f t="shared" si="17"/>
        <v>0</v>
      </c>
      <c r="S73" s="107">
        <f t="shared" si="18"/>
        <v>0</v>
      </c>
      <c r="T73" s="108"/>
      <c r="U73" s="108"/>
      <c r="V73" s="108"/>
      <c r="W73" s="108"/>
      <c r="X73" s="108"/>
      <c r="Y73" s="109"/>
      <c r="Z73" s="109"/>
      <c r="AA73" s="109"/>
      <c r="AB73" s="109"/>
      <c r="AC73" s="109"/>
      <c r="AD73" s="109"/>
      <c r="AE73" s="109"/>
      <c r="AG73" s="104" t="s">
        <v>370</v>
      </c>
      <c r="AH73" s="104"/>
      <c r="AI73" s="104"/>
      <c r="AJ73" s="104"/>
      <c r="AK73" s="105"/>
      <c r="AL73" s="104"/>
      <c r="AM73" s="104"/>
      <c r="AN73" s="104"/>
      <c r="AO73" s="105"/>
      <c r="AP73" s="104"/>
      <c r="AQ73" s="104"/>
      <c r="AR73" s="453">
        <v>12</v>
      </c>
      <c r="AS73" s="105"/>
      <c r="AT73" s="104"/>
      <c r="AU73" s="104"/>
      <c r="AV73" s="104"/>
      <c r="AW73" s="105"/>
      <c r="AX73" s="106">
        <f t="shared" si="15"/>
        <v>12</v>
      </c>
      <c r="AY73" s="107">
        <f t="shared" si="16"/>
        <v>0</v>
      </c>
      <c r="AZ73" s="109"/>
      <c r="BA73" s="109"/>
      <c r="BB73" s="109"/>
      <c r="BC73" s="109"/>
      <c r="BD73" s="109"/>
      <c r="BE73" s="109"/>
      <c r="BF73" s="109"/>
      <c r="BG73" s="109"/>
      <c r="BH73" s="109"/>
      <c r="BI73" s="104"/>
      <c r="BJ73" s="104"/>
      <c r="BK73" s="104"/>
    </row>
    <row r="74" spans="1:63" ht="15" x14ac:dyDescent="0.25">
      <c r="A74" s="104" t="s">
        <v>371</v>
      </c>
      <c r="B74" s="104"/>
      <c r="C74" s="104"/>
      <c r="D74" s="104"/>
      <c r="E74" s="105"/>
      <c r="F74" s="104"/>
      <c r="G74" s="104"/>
      <c r="H74" s="104"/>
      <c r="I74" s="105"/>
      <c r="J74" s="104"/>
      <c r="K74" s="104"/>
      <c r="L74" s="453"/>
      <c r="M74" s="105"/>
      <c r="N74" s="104"/>
      <c r="O74" s="104"/>
      <c r="P74" s="104"/>
      <c r="Q74" s="105"/>
      <c r="R74" s="106">
        <f t="shared" si="17"/>
        <v>0</v>
      </c>
      <c r="S74" s="107">
        <f t="shared" si="18"/>
        <v>0</v>
      </c>
      <c r="T74" s="108"/>
      <c r="U74" s="108"/>
      <c r="V74" s="108"/>
      <c r="W74" s="108"/>
      <c r="X74" s="108"/>
      <c r="Y74" s="109"/>
      <c r="Z74" s="109"/>
      <c r="AA74" s="109"/>
      <c r="AB74" s="109"/>
      <c r="AC74" s="109"/>
      <c r="AD74" s="109"/>
      <c r="AE74" s="109"/>
      <c r="AG74" s="104" t="s">
        <v>371</v>
      </c>
      <c r="AH74" s="104"/>
      <c r="AI74" s="104"/>
      <c r="AJ74" s="104"/>
      <c r="AK74" s="105"/>
      <c r="AL74" s="104"/>
      <c r="AM74" s="104"/>
      <c r="AN74" s="104"/>
      <c r="AO74" s="105"/>
      <c r="AP74" s="104"/>
      <c r="AQ74" s="104"/>
      <c r="AR74" s="453">
        <v>0</v>
      </c>
      <c r="AS74" s="105"/>
      <c r="AT74" s="104"/>
      <c r="AU74" s="104"/>
      <c r="AV74" s="104"/>
      <c r="AW74" s="105"/>
      <c r="AX74" s="106">
        <f t="shared" si="15"/>
        <v>0</v>
      </c>
      <c r="AY74" s="107">
        <f t="shared" si="16"/>
        <v>0</v>
      </c>
      <c r="AZ74" s="109"/>
      <c r="BA74" s="109"/>
      <c r="BB74" s="109"/>
      <c r="BC74" s="109"/>
      <c r="BD74" s="109"/>
      <c r="BE74" s="109"/>
      <c r="BF74" s="109"/>
      <c r="BG74" s="109"/>
      <c r="BH74" s="109"/>
      <c r="BI74" s="104"/>
      <c r="BJ74" s="104"/>
      <c r="BK74" s="104"/>
    </row>
    <row r="75" spans="1:63" ht="15" x14ac:dyDescent="0.25">
      <c r="A75" s="104" t="s">
        <v>372</v>
      </c>
      <c r="B75" s="104"/>
      <c r="C75" s="104"/>
      <c r="D75" s="104"/>
      <c r="E75" s="105"/>
      <c r="F75" s="104"/>
      <c r="G75" s="104"/>
      <c r="H75" s="104"/>
      <c r="I75" s="105"/>
      <c r="J75" s="104"/>
      <c r="K75" s="104"/>
      <c r="L75" s="453"/>
      <c r="M75" s="105"/>
      <c r="N75" s="104"/>
      <c r="O75" s="104"/>
      <c r="P75" s="104"/>
      <c r="Q75" s="105"/>
      <c r="R75" s="106">
        <f t="shared" si="17"/>
        <v>0</v>
      </c>
      <c r="S75" s="107">
        <f t="shared" si="18"/>
        <v>0</v>
      </c>
      <c r="T75" s="108"/>
      <c r="U75" s="108"/>
      <c r="V75" s="108"/>
      <c r="W75" s="108"/>
      <c r="X75" s="108"/>
      <c r="Y75" s="109"/>
      <c r="Z75" s="109"/>
      <c r="AA75" s="109"/>
      <c r="AB75" s="109"/>
      <c r="AC75" s="109"/>
      <c r="AD75" s="109"/>
      <c r="AE75" s="109"/>
      <c r="AG75" s="104" t="s">
        <v>372</v>
      </c>
      <c r="AH75" s="104"/>
      <c r="AI75" s="104"/>
      <c r="AJ75" s="104"/>
      <c r="AK75" s="105"/>
      <c r="AL75" s="104"/>
      <c r="AM75" s="104"/>
      <c r="AN75" s="104"/>
      <c r="AO75" s="105"/>
      <c r="AP75" s="104"/>
      <c r="AQ75" s="104"/>
      <c r="AR75" s="453">
        <v>0</v>
      </c>
      <c r="AS75" s="105"/>
      <c r="AT75" s="104"/>
      <c r="AU75" s="104"/>
      <c r="AV75" s="104"/>
      <c r="AW75" s="105"/>
      <c r="AX75" s="106">
        <f t="shared" si="15"/>
        <v>0</v>
      </c>
      <c r="AY75" s="107">
        <f t="shared" si="16"/>
        <v>0</v>
      </c>
      <c r="AZ75" s="109"/>
      <c r="BA75" s="109"/>
      <c r="BB75" s="109"/>
      <c r="BC75" s="109"/>
      <c r="BD75" s="109"/>
      <c r="BE75" s="109"/>
      <c r="BF75" s="109"/>
      <c r="BG75" s="109"/>
      <c r="BH75" s="109"/>
      <c r="BI75" s="104"/>
      <c r="BJ75" s="104"/>
      <c r="BK75" s="104"/>
    </row>
    <row r="76" spans="1:63" ht="15" x14ac:dyDescent="0.25">
      <c r="A76" s="104" t="s">
        <v>373</v>
      </c>
      <c r="B76" s="104"/>
      <c r="C76" s="104"/>
      <c r="D76" s="104"/>
      <c r="E76" s="105"/>
      <c r="F76" s="104"/>
      <c r="G76" s="104"/>
      <c r="H76" s="104"/>
      <c r="I76" s="105"/>
      <c r="J76" s="104"/>
      <c r="K76" s="104"/>
      <c r="L76" s="453"/>
      <c r="M76" s="105"/>
      <c r="N76" s="104"/>
      <c r="O76" s="104"/>
      <c r="P76" s="104"/>
      <c r="Q76" s="105"/>
      <c r="R76" s="106">
        <f t="shared" si="17"/>
        <v>0</v>
      </c>
      <c r="S76" s="107">
        <f t="shared" si="18"/>
        <v>0</v>
      </c>
      <c r="T76" s="108"/>
      <c r="U76" s="108"/>
      <c r="V76" s="108"/>
      <c r="W76" s="108"/>
      <c r="X76" s="108"/>
      <c r="Y76" s="109"/>
      <c r="Z76" s="109"/>
      <c r="AA76" s="109"/>
      <c r="AB76" s="109"/>
      <c r="AC76" s="109"/>
      <c r="AD76" s="109"/>
      <c r="AE76" s="109"/>
      <c r="AG76" s="104" t="s">
        <v>373</v>
      </c>
      <c r="AH76" s="104"/>
      <c r="AI76" s="104"/>
      <c r="AJ76" s="104"/>
      <c r="AK76" s="105"/>
      <c r="AL76" s="104"/>
      <c r="AM76" s="104"/>
      <c r="AN76" s="104"/>
      <c r="AO76" s="105"/>
      <c r="AP76" s="104"/>
      <c r="AQ76" s="104"/>
      <c r="AR76" s="453">
        <v>46</v>
      </c>
      <c r="AS76" s="105"/>
      <c r="AT76" s="104"/>
      <c r="AU76" s="104"/>
      <c r="AV76" s="104"/>
      <c r="AW76" s="105"/>
      <c r="AX76" s="106">
        <f t="shared" si="15"/>
        <v>46</v>
      </c>
      <c r="AY76" s="107">
        <f t="shared" si="16"/>
        <v>0</v>
      </c>
      <c r="AZ76" s="109"/>
      <c r="BA76" s="109"/>
      <c r="BB76" s="109"/>
      <c r="BC76" s="109"/>
      <c r="BD76" s="109"/>
      <c r="BE76" s="109"/>
      <c r="BF76" s="109"/>
      <c r="BG76" s="109"/>
      <c r="BH76" s="109"/>
      <c r="BI76" s="109"/>
      <c r="BJ76" s="109"/>
      <c r="BK76" s="109"/>
    </row>
    <row r="77" spans="1:63" ht="15" x14ac:dyDescent="0.25">
      <c r="A77" s="104" t="s">
        <v>374</v>
      </c>
      <c r="B77" s="104"/>
      <c r="C77" s="104"/>
      <c r="D77" s="104"/>
      <c r="E77" s="105"/>
      <c r="F77" s="104"/>
      <c r="G77" s="104"/>
      <c r="H77" s="104"/>
      <c r="I77" s="105"/>
      <c r="J77" s="104"/>
      <c r="K77" s="104"/>
      <c r="L77" s="453"/>
      <c r="M77" s="105"/>
      <c r="N77" s="104"/>
      <c r="O77" s="104"/>
      <c r="P77" s="104"/>
      <c r="Q77" s="105"/>
      <c r="R77" s="106">
        <f t="shared" si="17"/>
        <v>0</v>
      </c>
      <c r="S77" s="107">
        <f t="shared" si="18"/>
        <v>0</v>
      </c>
      <c r="T77" s="108"/>
      <c r="U77" s="108"/>
      <c r="V77" s="108"/>
      <c r="W77" s="108"/>
      <c r="X77" s="108"/>
      <c r="Y77" s="109"/>
      <c r="Z77" s="109"/>
      <c r="AA77" s="109"/>
      <c r="AB77" s="109"/>
      <c r="AC77" s="109"/>
      <c r="AD77" s="109"/>
      <c r="AE77" s="109"/>
      <c r="AG77" s="104" t="s">
        <v>374</v>
      </c>
      <c r="AH77" s="104"/>
      <c r="AI77" s="104"/>
      <c r="AJ77" s="104"/>
      <c r="AK77" s="105"/>
      <c r="AL77" s="104"/>
      <c r="AM77" s="104"/>
      <c r="AN77" s="104"/>
      <c r="AO77" s="105"/>
      <c r="AP77" s="104"/>
      <c r="AQ77" s="104"/>
      <c r="AR77" s="453">
        <v>0</v>
      </c>
      <c r="AS77" s="105"/>
      <c r="AT77" s="104"/>
      <c r="AU77" s="104"/>
      <c r="AV77" s="104"/>
      <c r="AW77" s="105"/>
      <c r="AX77" s="106">
        <f t="shared" si="15"/>
        <v>0</v>
      </c>
      <c r="AY77" s="107">
        <f t="shared" si="16"/>
        <v>0</v>
      </c>
      <c r="AZ77" s="109"/>
      <c r="BA77" s="109"/>
      <c r="BB77" s="109"/>
      <c r="BC77" s="109"/>
      <c r="BD77" s="109"/>
      <c r="BE77" s="109"/>
      <c r="BF77" s="109"/>
      <c r="BG77" s="109"/>
      <c r="BH77" s="109"/>
      <c r="BI77" s="109"/>
      <c r="BJ77" s="109"/>
      <c r="BK77" s="109"/>
    </row>
    <row r="78" spans="1:63" ht="15" x14ac:dyDescent="0.25">
      <c r="A78" s="104" t="s">
        <v>375</v>
      </c>
      <c r="B78" s="104"/>
      <c r="C78" s="104"/>
      <c r="D78" s="104"/>
      <c r="E78" s="105"/>
      <c r="F78" s="104"/>
      <c r="G78" s="104"/>
      <c r="H78" s="104"/>
      <c r="I78" s="105"/>
      <c r="J78" s="104"/>
      <c r="K78" s="104"/>
      <c r="L78" s="453"/>
      <c r="M78" s="105"/>
      <c r="N78" s="104"/>
      <c r="O78" s="104"/>
      <c r="P78" s="104"/>
      <c r="Q78" s="105"/>
      <c r="R78" s="106">
        <f t="shared" si="17"/>
        <v>0</v>
      </c>
      <c r="S78" s="107">
        <f t="shared" si="18"/>
        <v>0</v>
      </c>
      <c r="T78" s="108"/>
      <c r="U78" s="108"/>
      <c r="V78" s="108"/>
      <c r="W78" s="108"/>
      <c r="X78" s="108"/>
      <c r="Y78" s="109"/>
      <c r="Z78" s="109"/>
      <c r="AA78" s="109"/>
      <c r="AB78" s="109"/>
      <c r="AC78" s="109"/>
      <c r="AD78" s="109"/>
      <c r="AE78" s="109"/>
      <c r="AG78" s="104" t="s">
        <v>375</v>
      </c>
      <c r="AH78" s="104"/>
      <c r="AI78" s="104"/>
      <c r="AJ78" s="104"/>
      <c r="AK78" s="105"/>
      <c r="AL78" s="104"/>
      <c r="AM78" s="104"/>
      <c r="AN78" s="104"/>
      <c r="AO78" s="105"/>
      <c r="AP78" s="104"/>
      <c r="AQ78" s="104"/>
      <c r="AR78" s="453">
        <v>0</v>
      </c>
      <c r="AS78" s="105"/>
      <c r="AT78" s="104"/>
      <c r="AU78" s="104"/>
      <c r="AV78" s="104"/>
      <c r="AW78" s="105"/>
      <c r="AX78" s="106">
        <f t="shared" si="15"/>
        <v>0</v>
      </c>
      <c r="AY78" s="107">
        <f t="shared" si="16"/>
        <v>0</v>
      </c>
      <c r="AZ78" s="109"/>
      <c r="BA78" s="109"/>
      <c r="BB78" s="109"/>
      <c r="BC78" s="109"/>
      <c r="BD78" s="109"/>
      <c r="BE78" s="109"/>
      <c r="BF78" s="109"/>
      <c r="BG78" s="109"/>
      <c r="BH78" s="109"/>
      <c r="BI78" s="109"/>
      <c r="BJ78" s="109"/>
      <c r="BK78" s="109"/>
    </row>
    <row r="79" spans="1:63" ht="15" x14ac:dyDescent="0.25">
      <c r="A79" s="104" t="s">
        <v>376</v>
      </c>
      <c r="B79" s="104"/>
      <c r="C79" s="104"/>
      <c r="D79" s="104"/>
      <c r="E79" s="105"/>
      <c r="F79" s="104"/>
      <c r="G79" s="104"/>
      <c r="H79" s="104"/>
      <c r="I79" s="105"/>
      <c r="J79" s="104"/>
      <c r="K79" s="104"/>
      <c r="L79" s="453"/>
      <c r="M79" s="105"/>
      <c r="N79" s="104"/>
      <c r="O79" s="104"/>
      <c r="P79" s="104"/>
      <c r="Q79" s="105"/>
      <c r="R79" s="106">
        <f t="shared" si="17"/>
        <v>0</v>
      </c>
      <c r="S79" s="107">
        <f t="shared" si="18"/>
        <v>0</v>
      </c>
      <c r="T79" s="108"/>
      <c r="U79" s="108"/>
      <c r="V79" s="108"/>
      <c r="W79" s="108"/>
      <c r="X79" s="108"/>
      <c r="Y79" s="109"/>
      <c r="Z79" s="109"/>
      <c r="AA79" s="109"/>
      <c r="AB79" s="109"/>
      <c r="AC79" s="109"/>
      <c r="AD79" s="109"/>
      <c r="AE79" s="109"/>
      <c r="AG79" s="104" t="s">
        <v>376</v>
      </c>
      <c r="AH79" s="104"/>
      <c r="AI79" s="104"/>
      <c r="AJ79" s="104"/>
      <c r="AK79" s="105"/>
      <c r="AL79" s="104"/>
      <c r="AM79" s="104"/>
      <c r="AN79" s="104"/>
      <c r="AO79" s="105"/>
      <c r="AP79" s="104"/>
      <c r="AQ79" s="104"/>
      <c r="AR79" s="453">
        <v>21</v>
      </c>
      <c r="AS79" s="105"/>
      <c r="AT79" s="104"/>
      <c r="AU79" s="104"/>
      <c r="AV79" s="104"/>
      <c r="AW79" s="105"/>
      <c r="AX79" s="106">
        <f t="shared" si="15"/>
        <v>21</v>
      </c>
      <c r="AY79" s="107">
        <f t="shared" si="16"/>
        <v>0</v>
      </c>
      <c r="AZ79" s="109"/>
      <c r="BA79" s="109"/>
      <c r="BB79" s="109"/>
      <c r="BC79" s="109"/>
      <c r="BD79" s="109"/>
      <c r="BE79" s="109"/>
      <c r="BF79" s="109"/>
      <c r="BG79" s="109"/>
      <c r="BH79" s="109"/>
      <c r="BI79" s="109"/>
      <c r="BJ79" s="109"/>
      <c r="BK79" s="109"/>
    </row>
    <row r="80" spans="1:63" ht="15" x14ac:dyDescent="0.25">
      <c r="A80" s="104" t="s">
        <v>377</v>
      </c>
      <c r="B80" s="104"/>
      <c r="C80" s="104"/>
      <c r="D80" s="104"/>
      <c r="E80" s="105"/>
      <c r="F80" s="104"/>
      <c r="G80" s="104"/>
      <c r="H80" s="104"/>
      <c r="I80" s="105"/>
      <c r="J80" s="104"/>
      <c r="K80" s="104"/>
      <c r="L80" s="453"/>
      <c r="M80" s="105"/>
      <c r="N80" s="104"/>
      <c r="O80" s="104"/>
      <c r="P80" s="104"/>
      <c r="Q80" s="105"/>
      <c r="R80" s="106">
        <f t="shared" si="17"/>
        <v>0</v>
      </c>
      <c r="S80" s="107">
        <f t="shared" si="18"/>
        <v>0</v>
      </c>
      <c r="T80" s="108"/>
      <c r="U80" s="108"/>
      <c r="V80" s="108"/>
      <c r="W80" s="108"/>
      <c r="X80" s="108"/>
      <c r="Y80" s="109"/>
      <c r="Z80" s="109"/>
      <c r="AA80" s="109"/>
      <c r="AB80" s="109"/>
      <c r="AC80" s="109"/>
      <c r="AD80" s="109"/>
      <c r="AE80" s="109"/>
      <c r="AG80" s="104" t="s">
        <v>377</v>
      </c>
      <c r="AH80" s="104"/>
      <c r="AI80" s="104"/>
      <c r="AJ80" s="104"/>
      <c r="AK80" s="105"/>
      <c r="AL80" s="104"/>
      <c r="AM80" s="104"/>
      <c r="AN80" s="104"/>
      <c r="AO80" s="105"/>
      <c r="AP80" s="104"/>
      <c r="AQ80" s="104"/>
      <c r="AR80" s="453">
        <v>0</v>
      </c>
      <c r="AS80" s="105"/>
      <c r="AT80" s="104"/>
      <c r="AU80" s="104"/>
      <c r="AV80" s="104"/>
      <c r="AW80" s="105"/>
      <c r="AX80" s="106">
        <f t="shared" si="15"/>
        <v>0</v>
      </c>
      <c r="AY80" s="107">
        <f t="shared" si="16"/>
        <v>0</v>
      </c>
      <c r="AZ80" s="109"/>
      <c r="BA80" s="109"/>
      <c r="BB80" s="109"/>
      <c r="BC80" s="109"/>
      <c r="BD80" s="109"/>
      <c r="BE80" s="109"/>
      <c r="BF80" s="109"/>
      <c r="BG80" s="109"/>
      <c r="BH80" s="109"/>
      <c r="BI80" s="109"/>
      <c r="BJ80" s="109"/>
      <c r="BK80" s="109"/>
    </row>
    <row r="81" spans="1:63" ht="15" x14ac:dyDescent="0.25">
      <c r="A81" s="104" t="s">
        <v>378</v>
      </c>
      <c r="B81" s="104"/>
      <c r="C81" s="104"/>
      <c r="D81" s="104"/>
      <c r="E81" s="105"/>
      <c r="F81" s="104"/>
      <c r="G81" s="104"/>
      <c r="H81" s="104"/>
      <c r="I81" s="105"/>
      <c r="J81" s="104"/>
      <c r="K81" s="104"/>
      <c r="L81" s="453"/>
      <c r="M81" s="105"/>
      <c r="N81" s="104"/>
      <c r="O81" s="104"/>
      <c r="P81" s="104"/>
      <c r="Q81" s="105"/>
      <c r="R81" s="106">
        <f t="shared" si="17"/>
        <v>0</v>
      </c>
      <c r="S81" s="107">
        <f t="shared" si="18"/>
        <v>0</v>
      </c>
      <c r="T81" s="108"/>
      <c r="U81" s="108"/>
      <c r="V81" s="108"/>
      <c r="W81" s="108"/>
      <c r="X81" s="108"/>
      <c r="Y81" s="109"/>
      <c r="Z81" s="109"/>
      <c r="AA81" s="109"/>
      <c r="AB81" s="109"/>
      <c r="AC81" s="109"/>
      <c r="AD81" s="109"/>
      <c r="AE81" s="109"/>
      <c r="AG81" s="104" t="s">
        <v>378</v>
      </c>
      <c r="AH81" s="104"/>
      <c r="AI81" s="104"/>
      <c r="AJ81" s="104"/>
      <c r="AK81" s="105"/>
      <c r="AL81" s="104"/>
      <c r="AM81" s="104"/>
      <c r="AN81" s="104"/>
      <c r="AO81" s="105"/>
      <c r="AP81" s="104"/>
      <c r="AQ81" s="104"/>
      <c r="AR81" s="453">
        <v>29</v>
      </c>
      <c r="AS81" s="105"/>
      <c r="AT81" s="104"/>
      <c r="AU81" s="104"/>
      <c r="AV81" s="104"/>
      <c r="AW81" s="105"/>
      <c r="AX81" s="106">
        <f t="shared" si="15"/>
        <v>29</v>
      </c>
      <c r="AY81" s="107">
        <f t="shared" si="16"/>
        <v>0</v>
      </c>
      <c r="AZ81" s="109"/>
      <c r="BA81" s="109"/>
      <c r="BB81" s="109"/>
      <c r="BC81" s="109"/>
      <c r="BD81" s="109"/>
      <c r="BE81" s="109"/>
      <c r="BF81" s="109"/>
      <c r="BG81" s="109"/>
      <c r="BH81" s="109"/>
      <c r="BI81" s="109"/>
      <c r="BJ81" s="109"/>
      <c r="BK81" s="109"/>
    </row>
    <row r="82" spans="1:63" ht="15" x14ac:dyDescent="0.25">
      <c r="A82" s="104" t="s">
        <v>379</v>
      </c>
      <c r="B82" s="104"/>
      <c r="C82" s="104"/>
      <c r="D82" s="104"/>
      <c r="E82" s="105"/>
      <c r="F82" s="104"/>
      <c r="G82" s="104"/>
      <c r="H82" s="104"/>
      <c r="I82" s="105"/>
      <c r="J82" s="104"/>
      <c r="K82" s="104"/>
      <c r="L82" s="453"/>
      <c r="M82" s="105"/>
      <c r="N82" s="104"/>
      <c r="O82" s="104"/>
      <c r="P82" s="104"/>
      <c r="Q82" s="105"/>
      <c r="R82" s="106">
        <f t="shared" si="17"/>
        <v>0</v>
      </c>
      <c r="S82" s="107">
        <f t="shared" si="18"/>
        <v>0</v>
      </c>
      <c r="T82" s="108"/>
      <c r="U82" s="108"/>
      <c r="V82" s="108"/>
      <c r="W82" s="108"/>
      <c r="X82" s="108"/>
      <c r="Y82" s="109"/>
      <c r="Z82" s="109"/>
      <c r="AA82" s="109"/>
      <c r="AB82" s="109"/>
      <c r="AC82" s="109"/>
      <c r="AD82" s="109"/>
      <c r="AE82" s="109"/>
      <c r="AG82" s="104" t="s">
        <v>379</v>
      </c>
      <c r="AH82" s="104"/>
      <c r="AI82" s="104"/>
      <c r="AJ82" s="104"/>
      <c r="AK82" s="105"/>
      <c r="AL82" s="104"/>
      <c r="AM82" s="104"/>
      <c r="AN82" s="104"/>
      <c r="AO82" s="105"/>
      <c r="AP82" s="104"/>
      <c r="AQ82" s="104"/>
      <c r="AR82" s="453">
        <v>0</v>
      </c>
      <c r="AS82" s="105"/>
      <c r="AT82" s="104"/>
      <c r="AU82" s="104"/>
      <c r="AV82" s="104"/>
      <c r="AW82" s="105"/>
      <c r="AX82" s="106">
        <f t="shared" si="15"/>
        <v>0</v>
      </c>
      <c r="AY82" s="107">
        <f t="shared" si="16"/>
        <v>0</v>
      </c>
      <c r="AZ82" s="109"/>
      <c r="BA82" s="109"/>
      <c r="BB82" s="109"/>
      <c r="BC82" s="109"/>
      <c r="BD82" s="109"/>
      <c r="BE82" s="109"/>
      <c r="BF82" s="109"/>
      <c r="BG82" s="109"/>
      <c r="BH82" s="109"/>
      <c r="BI82" s="109"/>
      <c r="BJ82" s="109"/>
      <c r="BK82" s="109"/>
    </row>
    <row r="83" spans="1:63" ht="15" x14ac:dyDescent="0.25">
      <c r="A83" s="104" t="s">
        <v>380</v>
      </c>
      <c r="B83" s="104"/>
      <c r="C83" s="104"/>
      <c r="D83" s="104"/>
      <c r="E83" s="105"/>
      <c r="F83" s="104"/>
      <c r="G83" s="104"/>
      <c r="H83" s="104"/>
      <c r="I83" s="105"/>
      <c r="J83" s="104"/>
      <c r="K83" s="104"/>
      <c r="L83" s="453"/>
      <c r="M83" s="105"/>
      <c r="N83" s="104"/>
      <c r="O83" s="104"/>
      <c r="P83" s="104"/>
      <c r="Q83" s="105"/>
      <c r="R83" s="106">
        <f t="shared" si="17"/>
        <v>0</v>
      </c>
      <c r="S83" s="107">
        <f t="shared" si="18"/>
        <v>0</v>
      </c>
      <c r="T83" s="108"/>
      <c r="U83" s="108"/>
      <c r="V83" s="108"/>
      <c r="W83" s="108"/>
      <c r="X83" s="108"/>
      <c r="Y83" s="109"/>
      <c r="Z83" s="109"/>
      <c r="AA83" s="109"/>
      <c r="AB83" s="109"/>
      <c r="AC83" s="109"/>
      <c r="AD83" s="109"/>
      <c r="AE83" s="109"/>
      <c r="AG83" s="104" t="s">
        <v>380</v>
      </c>
      <c r="AH83" s="104"/>
      <c r="AI83" s="104"/>
      <c r="AJ83" s="104"/>
      <c r="AK83" s="105"/>
      <c r="AL83" s="104"/>
      <c r="AM83" s="104"/>
      <c r="AN83" s="104"/>
      <c r="AO83" s="105"/>
      <c r="AP83" s="104"/>
      <c r="AQ83" s="104"/>
      <c r="AR83" s="453">
        <v>0</v>
      </c>
      <c r="AS83" s="105"/>
      <c r="AT83" s="104"/>
      <c r="AU83" s="104"/>
      <c r="AV83" s="104"/>
      <c r="AW83" s="105"/>
      <c r="AX83" s="106">
        <f t="shared" si="15"/>
        <v>0</v>
      </c>
      <c r="AY83" s="107">
        <f t="shared" si="16"/>
        <v>0</v>
      </c>
      <c r="AZ83" s="109"/>
      <c r="BA83" s="109"/>
      <c r="BB83" s="109"/>
      <c r="BC83" s="109"/>
      <c r="BD83" s="109"/>
      <c r="BE83" s="109"/>
      <c r="BF83" s="109"/>
      <c r="BG83" s="109"/>
      <c r="BH83" s="109"/>
      <c r="BI83" s="109"/>
      <c r="BJ83" s="109"/>
      <c r="BK83" s="109"/>
    </row>
    <row r="84" spans="1:63" ht="15" x14ac:dyDescent="0.25">
      <c r="A84" s="104" t="s">
        <v>381</v>
      </c>
      <c r="B84" s="104"/>
      <c r="C84" s="104"/>
      <c r="D84" s="104"/>
      <c r="E84" s="105"/>
      <c r="F84" s="104"/>
      <c r="G84" s="104"/>
      <c r="H84" s="104"/>
      <c r="I84" s="105"/>
      <c r="J84" s="104"/>
      <c r="K84" s="104"/>
      <c r="L84" s="453"/>
      <c r="M84" s="105"/>
      <c r="N84" s="104"/>
      <c r="O84" s="104"/>
      <c r="P84" s="104"/>
      <c r="Q84" s="105"/>
      <c r="R84" s="106">
        <f t="shared" si="17"/>
        <v>0</v>
      </c>
      <c r="S84" s="107">
        <f t="shared" si="18"/>
        <v>0</v>
      </c>
      <c r="T84" s="108"/>
      <c r="U84" s="108"/>
      <c r="V84" s="108"/>
      <c r="W84" s="108"/>
      <c r="X84" s="108"/>
      <c r="Y84" s="109"/>
      <c r="Z84" s="109"/>
      <c r="AA84" s="109"/>
      <c r="AB84" s="109"/>
      <c r="AC84" s="109"/>
      <c r="AD84" s="109"/>
      <c r="AE84" s="109"/>
      <c r="AG84" s="104" t="s">
        <v>381</v>
      </c>
      <c r="AH84" s="104"/>
      <c r="AI84" s="104"/>
      <c r="AJ84" s="104"/>
      <c r="AK84" s="105"/>
      <c r="AL84" s="104"/>
      <c r="AM84" s="104"/>
      <c r="AN84" s="104"/>
      <c r="AO84" s="105"/>
      <c r="AP84" s="104"/>
      <c r="AQ84" s="104"/>
      <c r="AR84" s="453">
        <v>0</v>
      </c>
      <c r="AS84" s="105"/>
      <c r="AT84" s="104"/>
      <c r="AU84" s="104"/>
      <c r="AV84" s="104"/>
      <c r="AW84" s="105"/>
      <c r="AX84" s="106">
        <f t="shared" si="15"/>
        <v>0</v>
      </c>
      <c r="AY84" s="107">
        <f t="shared" si="16"/>
        <v>0</v>
      </c>
      <c r="AZ84" s="109"/>
      <c r="BA84" s="109"/>
      <c r="BB84" s="109"/>
      <c r="BC84" s="109"/>
      <c r="BD84" s="109"/>
      <c r="BE84" s="109"/>
      <c r="BF84" s="109"/>
      <c r="BG84" s="109"/>
      <c r="BH84" s="109"/>
      <c r="BI84" s="109"/>
      <c r="BJ84" s="109"/>
      <c r="BK84" s="109"/>
    </row>
    <row r="85" spans="1:63" ht="15" x14ac:dyDescent="0.25">
      <c r="A85" s="104" t="s">
        <v>382</v>
      </c>
      <c r="B85" s="104"/>
      <c r="C85" s="104"/>
      <c r="D85" s="104"/>
      <c r="E85" s="105"/>
      <c r="F85" s="104"/>
      <c r="G85" s="104"/>
      <c r="H85" s="104"/>
      <c r="I85" s="105"/>
      <c r="J85" s="104"/>
      <c r="K85" s="104"/>
      <c r="L85" s="453"/>
      <c r="M85" s="105"/>
      <c r="N85" s="104"/>
      <c r="O85" s="104"/>
      <c r="P85" s="104"/>
      <c r="Q85" s="105"/>
      <c r="R85" s="106">
        <f t="shared" si="17"/>
        <v>0</v>
      </c>
      <c r="S85" s="107">
        <f t="shared" si="18"/>
        <v>0</v>
      </c>
      <c r="T85" s="108"/>
      <c r="U85" s="108"/>
      <c r="V85" s="108"/>
      <c r="W85" s="108"/>
      <c r="X85" s="108"/>
      <c r="Y85" s="109"/>
      <c r="Z85" s="109"/>
      <c r="AA85" s="109"/>
      <c r="AB85" s="109"/>
      <c r="AC85" s="109"/>
      <c r="AD85" s="109"/>
      <c r="AE85" s="109"/>
      <c r="AG85" s="104" t="s">
        <v>382</v>
      </c>
      <c r="AH85" s="104"/>
      <c r="AI85" s="104"/>
      <c r="AJ85" s="104"/>
      <c r="AK85" s="105"/>
      <c r="AL85" s="104"/>
      <c r="AM85" s="104"/>
      <c r="AN85" s="104"/>
      <c r="AO85" s="105"/>
      <c r="AP85" s="104"/>
      <c r="AQ85" s="104"/>
      <c r="AR85" s="453">
        <v>0</v>
      </c>
      <c r="AS85" s="105"/>
      <c r="AT85" s="104"/>
      <c r="AU85" s="104"/>
      <c r="AV85" s="104"/>
      <c r="AW85" s="105"/>
      <c r="AX85" s="106">
        <f t="shared" si="15"/>
        <v>0</v>
      </c>
      <c r="AY85" s="107">
        <f t="shared" si="16"/>
        <v>0</v>
      </c>
      <c r="AZ85" s="109"/>
      <c r="BA85" s="109"/>
      <c r="BB85" s="109"/>
      <c r="BC85" s="109"/>
      <c r="BD85" s="109"/>
      <c r="BE85" s="109"/>
      <c r="BF85" s="109"/>
      <c r="BG85" s="109"/>
      <c r="BH85" s="109"/>
      <c r="BI85" s="109"/>
      <c r="BJ85" s="109"/>
      <c r="BK85" s="109"/>
    </row>
    <row r="86" spans="1:63" ht="15" x14ac:dyDescent="0.25">
      <c r="A86" s="111" t="s">
        <v>383</v>
      </c>
      <c r="B86" s="112">
        <f t="shared" ref="B86:AE86" si="19">SUM(B66:B85)</f>
        <v>0</v>
      </c>
      <c r="C86" s="112">
        <f t="shared" si="19"/>
        <v>0</v>
      </c>
      <c r="D86" s="112">
        <f t="shared" si="19"/>
        <v>0</v>
      </c>
      <c r="E86" s="113">
        <f t="shared" si="19"/>
        <v>0</v>
      </c>
      <c r="F86" s="112">
        <f t="shared" si="19"/>
        <v>0</v>
      </c>
      <c r="G86" s="112">
        <f t="shared" si="19"/>
        <v>0</v>
      </c>
      <c r="H86" s="112">
        <f t="shared" si="19"/>
        <v>0</v>
      </c>
      <c r="I86" s="113">
        <f t="shared" si="19"/>
        <v>0</v>
      </c>
      <c r="J86" s="112">
        <f t="shared" si="19"/>
        <v>0</v>
      </c>
      <c r="K86" s="112">
        <f t="shared" si="19"/>
        <v>0</v>
      </c>
      <c r="L86" s="112">
        <f t="shared" si="19"/>
        <v>0</v>
      </c>
      <c r="M86" s="113">
        <f t="shared" si="19"/>
        <v>0</v>
      </c>
      <c r="N86" s="112">
        <f t="shared" si="19"/>
        <v>0</v>
      </c>
      <c r="O86" s="112">
        <f t="shared" si="19"/>
        <v>0</v>
      </c>
      <c r="P86" s="112">
        <f t="shared" si="19"/>
        <v>0</v>
      </c>
      <c r="Q86" s="113">
        <f t="shared" si="19"/>
        <v>0</v>
      </c>
      <c r="R86" s="112">
        <f t="shared" si="19"/>
        <v>0</v>
      </c>
      <c r="S86" s="107">
        <f t="shared" si="19"/>
        <v>0</v>
      </c>
      <c r="T86" s="112">
        <f t="shared" si="19"/>
        <v>0</v>
      </c>
      <c r="U86" s="112">
        <f t="shared" si="19"/>
        <v>0</v>
      </c>
      <c r="V86" s="112">
        <f t="shared" si="19"/>
        <v>0</v>
      </c>
      <c r="W86" s="112">
        <f t="shared" si="19"/>
        <v>0</v>
      </c>
      <c r="X86" s="112">
        <f t="shared" si="19"/>
        <v>0</v>
      </c>
      <c r="Y86" s="112">
        <f t="shared" si="19"/>
        <v>0</v>
      </c>
      <c r="Z86" s="112">
        <f t="shared" si="19"/>
        <v>0</v>
      </c>
      <c r="AA86" s="112">
        <f t="shared" si="19"/>
        <v>0</v>
      </c>
      <c r="AB86" s="112">
        <f t="shared" si="19"/>
        <v>0</v>
      </c>
      <c r="AC86" s="112">
        <f t="shared" si="19"/>
        <v>0</v>
      </c>
      <c r="AD86" s="112">
        <f t="shared" si="19"/>
        <v>0</v>
      </c>
      <c r="AE86" s="112">
        <f t="shared" si="19"/>
        <v>0</v>
      </c>
      <c r="AG86" s="111" t="s">
        <v>383</v>
      </c>
      <c r="AH86" s="112">
        <f t="shared" ref="AH86:BK86" si="20">SUM(AH66:AH85)</f>
        <v>0</v>
      </c>
      <c r="AI86" s="112">
        <f t="shared" si="20"/>
        <v>0</v>
      </c>
      <c r="AJ86" s="112">
        <f t="shared" si="20"/>
        <v>0</v>
      </c>
      <c r="AK86" s="113">
        <f t="shared" si="20"/>
        <v>0</v>
      </c>
      <c r="AL86" s="112">
        <f t="shared" si="20"/>
        <v>0</v>
      </c>
      <c r="AM86" s="112">
        <f t="shared" si="20"/>
        <v>0</v>
      </c>
      <c r="AN86" s="112">
        <f t="shared" si="20"/>
        <v>0</v>
      </c>
      <c r="AO86" s="113">
        <f t="shared" si="20"/>
        <v>0</v>
      </c>
      <c r="AP86" s="112">
        <f t="shared" si="20"/>
        <v>0</v>
      </c>
      <c r="AQ86" s="112">
        <f t="shared" si="20"/>
        <v>0</v>
      </c>
      <c r="AR86" s="112">
        <f t="shared" si="20"/>
        <v>184</v>
      </c>
      <c r="AS86" s="113">
        <f t="shared" si="20"/>
        <v>0</v>
      </c>
      <c r="AT86" s="112">
        <f t="shared" si="20"/>
        <v>0</v>
      </c>
      <c r="AU86" s="112">
        <f t="shared" si="20"/>
        <v>0</v>
      </c>
      <c r="AV86" s="112">
        <f t="shared" si="20"/>
        <v>0</v>
      </c>
      <c r="AW86" s="113">
        <f t="shared" si="20"/>
        <v>0</v>
      </c>
      <c r="AX86" s="114">
        <f t="shared" si="20"/>
        <v>184</v>
      </c>
      <c r="AY86" s="115">
        <f t="shared" si="20"/>
        <v>0</v>
      </c>
      <c r="AZ86" s="112">
        <f t="shared" si="20"/>
        <v>0</v>
      </c>
      <c r="BA86" s="112">
        <f t="shared" si="20"/>
        <v>0</v>
      </c>
      <c r="BB86" s="112">
        <f t="shared" si="20"/>
        <v>0</v>
      </c>
      <c r="BC86" s="112">
        <f t="shared" si="20"/>
        <v>0</v>
      </c>
      <c r="BD86" s="112">
        <f t="shared" si="20"/>
        <v>0</v>
      </c>
      <c r="BE86" s="112">
        <f t="shared" si="20"/>
        <v>0</v>
      </c>
      <c r="BF86" s="112">
        <f t="shared" si="20"/>
        <v>0</v>
      </c>
      <c r="BG86" s="112">
        <f t="shared" si="20"/>
        <v>0</v>
      </c>
      <c r="BH86" s="112">
        <f t="shared" si="20"/>
        <v>0</v>
      </c>
      <c r="BI86" s="112">
        <f t="shared" si="20"/>
        <v>0</v>
      </c>
      <c r="BJ86" s="112">
        <f t="shared" si="20"/>
        <v>0</v>
      </c>
      <c r="BK86" s="112">
        <f t="shared" si="20"/>
        <v>0</v>
      </c>
    </row>
    <row r="88" spans="1:63" x14ac:dyDescent="0.25">
      <c r="J88" s="142"/>
      <c r="K88" s="145" t="s">
        <v>385</v>
      </c>
      <c r="L88" s="145" t="s">
        <v>386</v>
      </c>
      <c r="M88" s="145" t="s">
        <v>387</v>
      </c>
      <c r="N88" s="145" t="s">
        <v>388</v>
      </c>
      <c r="O88" s="145" t="s">
        <v>389</v>
      </c>
      <c r="P88" s="142"/>
      <c r="Q88" s="471"/>
      <c r="R88" s="471"/>
      <c r="S88" s="472"/>
      <c r="T88" s="471"/>
      <c r="U88" s="471"/>
    </row>
    <row r="89" spans="1:63" ht="22.5" x14ac:dyDescent="0.25">
      <c r="J89" s="143" t="s">
        <v>390</v>
      </c>
      <c r="K89" s="144">
        <v>9813333.333333334</v>
      </c>
      <c r="L89" s="144">
        <v>29440000</v>
      </c>
      <c r="M89" s="144">
        <v>29440000</v>
      </c>
      <c r="N89" s="144">
        <v>29440000</v>
      </c>
      <c r="O89" s="144">
        <v>29440000</v>
      </c>
      <c r="P89" s="144"/>
      <c r="Q89" s="471"/>
      <c r="R89" s="471"/>
      <c r="S89" s="471"/>
      <c r="T89" s="471"/>
      <c r="U89" s="471"/>
      <c r="AS89" s="451">
        <f>+AS11+AS39</f>
        <v>7973333.333333334</v>
      </c>
    </row>
    <row r="90" spans="1:63" ht="22.5" x14ac:dyDescent="0.25">
      <c r="J90" s="143" t="s">
        <v>391</v>
      </c>
      <c r="K90" s="144">
        <v>2453325.3333333335</v>
      </c>
      <c r="L90" s="144">
        <v>7360000</v>
      </c>
      <c r="M90" s="144">
        <v>7360000</v>
      </c>
      <c r="N90" s="144">
        <v>7360000</v>
      </c>
      <c r="O90" s="144">
        <v>7360000</v>
      </c>
      <c r="P90" s="144"/>
      <c r="Q90" s="471"/>
      <c r="R90" s="471"/>
      <c r="S90" s="471"/>
      <c r="T90" s="471"/>
      <c r="U90" s="471"/>
    </row>
    <row r="91" spans="1:63" ht="33.75" x14ac:dyDescent="0.25">
      <c r="J91" s="143" t="s">
        <v>392</v>
      </c>
      <c r="K91" s="144">
        <v>12266658.666666668</v>
      </c>
      <c r="L91" s="144">
        <v>36800000</v>
      </c>
      <c r="M91" s="144">
        <v>36800000</v>
      </c>
      <c r="N91" s="144">
        <v>36800000</v>
      </c>
      <c r="O91" s="144">
        <v>36800000</v>
      </c>
      <c r="P91" s="144">
        <v>159466658.66666669</v>
      </c>
      <c r="Q91" s="471"/>
      <c r="R91" s="471"/>
      <c r="S91" s="472">
        <f>+S32+S60</f>
        <v>159466658.66666669</v>
      </c>
      <c r="T91" s="471"/>
      <c r="U91" s="471"/>
    </row>
    <row r="92" spans="1:63" x14ac:dyDescent="0.25">
      <c r="J92" s="474"/>
      <c r="K92" s="474"/>
      <c r="L92" s="474"/>
      <c r="M92" s="474"/>
      <c r="N92" s="474"/>
      <c r="O92" s="474"/>
      <c r="P92" s="474"/>
      <c r="Q92" s="471"/>
      <c r="R92" s="471"/>
      <c r="S92" s="471"/>
      <c r="T92" s="471"/>
      <c r="U92" s="471"/>
    </row>
    <row r="93" spans="1:63" x14ac:dyDescent="0.25">
      <c r="J93" s="474"/>
      <c r="K93" s="474"/>
      <c r="L93" s="474"/>
      <c r="M93" s="474"/>
      <c r="N93" s="474"/>
      <c r="O93" s="474"/>
      <c r="P93" s="474"/>
      <c r="Q93" s="471"/>
      <c r="R93" s="471"/>
      <c r="S93" s="471"/>
      <c r="T93" s="471"/>
      <c r="U93" s="471"/>
    </row>
    <row r="94" spans="1:63" x14ac:dyDescent="0.25">
      <c r="J94" s="474"/>
      <c r="K94" s="474"/>
      <c r="L94" s="474"/>
      <c r="M94" s="474"/>
      <c r="N94" s="474"/>
      <c r="O94" s="474"/>
      <c r="P94" s="474"/>
      <c r="Q94" s="471"/>
      <c r="R94" s="471"/>
      <c r="S94" s="471"/>
      <c r="T94" s="471"/>
      <c r="U94" s="471"/>
    </row>
    <row r="95" spans="1:63" s="450" customFormat="1" ht="33" customHeight="1" x14ac:dyDescent="0.25">
      <c r="J95" s="143"/>
      <c r="K95" s="449" t="s">
        <v>745</v>
      </c>
      <c r="L95" s="449" t="s">
        <v>746</v>
      </c>
      <c r="M95" s="449" t="s">
        <v>742</v>
      </c>
      <c r="N95" s="449" t="s">
        <v>743</v>
      </c>
      <c r="O95" s="449" t="s">
        <v>744</v>
      </c>
      <c r="P95" s="475"/>
      <c r="Q95" s="473"/>
      <c r="R95" s="473"/>
      <c r="S95" s="473"/>
      <c r="T95" s="473"/>
      <c r="U95" s="473"/>
    </row>
    <row r="96" spans="1:63" ht="22.5" x14ac:dyDescent="0.25">
      <c r="J96" s="143" t="s">
        <v>390</v>
      </c>
      <c r="K96" s="144">
        <f>+'8198.SCPI'!AX14+'8198.SCPI'!AX16+'8198.SCPI'!AX18+'8198.SCPI'!AX20+'8198.SCPI'!AX22+'8198.SCPI'!AX24+'8198.SCPI'!AX26+'8198.SCPI'!AX28</f>
        <v>6378668</v>
      </c>
      <c r="L96" s="144">
        <v>0</v>
      </c>
      <c r="M96" s="144">
        <v>0</v>
      </c>
      <c r="N96" s="144">
        <v>0</v>
      </c>
      <c r="O96" s="144">
        <v>0</v>
      </c>
      <c r="P96" s="474"/>
      <c r="Q96" s="471"/>
      <c r="R96" s="471"/>
      <c r="S96" s="471"/>
      <c r="T96" s="471"/>
      <c r="U96" s="471"/>
    </row>
    <row r="97" spans="1:21" ht="22.5" x14ac:dyDescent="0.25">
      <c r="J97" s="143" t="s">
        <v>391</v>
      </c>
      <c r="K97" s="144">
        <f>+'8198.SCPI'!AX15+'8198.SCPI'!AX17+'8198.SCPI'!AX19+'8198.SCPI'!AX21+'8198.SCPI'!AX23+'8198.SCPI'!AX25+'8198.SCPI'!AX27+'8198.SCPI'!AX29</f>
        <v>1594666</v>
      </c>
      <c r="L97" s="144">
        <v>0</v>
      </c>
      <c r="M97" s="144">
        <v>0</v>
      </c>
      <c r="N97" s="144">
        <v>0</v>
      </c>
      <c r="O97" s="144">
        <v>0</v>
      </c>
      <c r="P97" s="474"/>
      <c r="Q97" s="471"/>
      <c r="R97" s="471"/>
      <c r="S97" s="471"/>
      <c r="T97" s="471"/>
      <c r="U97" s="471"/>
    </row>
    <row r="98" spans="1:21" ht="33.75" x14ac:dyDescent="0.25">
      <c r="J98" s="449" t="s">
        <v>392</v>
      </c>
      <c r="K98" s="470">
        <f>SUM(K96:K97)</f>
        <v>7973334</v>
      </c>
      <c r="L98" s="470">
        <v>0</v>
      </c>
      <c r="M98" s="470">
        <v>0</v>
      </c>
      <c r="N98" s="470">
        <v>0</v>
      </c>
      <c r="O98" s="470">
        <v>0</v>
      </c>
      <c r="P98" s="474"/>
      <c r="Q98" s="471"/>
      <c r="R98" s="471"/>
      <c r="S98" s="471"/>
      <c r="T98" s="471"/>
      <c r="U98" s="471"/>
    </row>
    <row r="99" spans="1:21" x14ac:dyDescent="0.25">
      <c r="J99" s="474"/>
      <c r="K99" s="474"/>
      <c r="L99" s="474"/>
      <c r="M99" s="474"/>
      <c r="N99" s="474"/>
      <c r="O99" s="474"/>
      <c r="P99" s="474"/>
      <c r="Q99" s="471"/>
      <c r="R99" s="471"/>
      <c r="S99" s="471"/>
      <c r="T99" s="471"/>
      <c r="U99" s="471"/>
    </row>
    <row r="100" spans="1:21" x14ac:dyDescent="0.25">
      <c r="J100" s="474"/>
      <c r="K100" s="474"/>
      <c r="L100" s="474"/>
      <c r="M100" s="474"/>
      <c r="N100" s="474"/>
      <c r="O100" s="474"/>
      <c r="P100" s="474"/>
      <c r="Q100" s="471"/>
      <c r="R100" s="471"/>
      <c r="S100" s="471"/>
      <c r="T100" s="471"/>
      <c r="U100" s="471"/>
    </row>
    <row r="101" spans="1:21" x14ac:dyDescent="0.25">
      <c r="J101" s="474"/>
      <c r="K101" s="474"/>
      <c r="L101" s="474"/>
      <c r="M101" s="474"/>
      <c r="N101" s="474"/>
      <c r="O101" s="474"/>
      <c r="P101" s="474"/>
      <c r="Q101" s="471"/>
      <c r="R101" s="471"/>
      <c r="S101" s="471"/>
      <c r="T101" s="471"/>
      <c r="U101" s="471"/>
    </row>
    <row r="102" spans="1:21" x14ac:dyDescent="0.25">
      <c r="J102" s="471"/>
      <c r="K102" s="471"/>
      <c r="L102" s="471"/>
      <c r="M102" s="471"/>
      <c r="N102" s="471"/>
      <c r="O102" s="471"/>
      <c r="P102" s="471"/>
      <c r="Q102" s="471"/>
      <c r="R102" s="471"/>
      <c r="S102" s="471"/>
      <c r="T102" s="471"/>
      <c r="U102" s="471"/>
    </row>
    <row r="111" spans="1:21" x14ac:dyDescent="0.25">
      <c r="A111" s="15" t="s">
        <v>363</v>
      </c>
      <c r="L111" s="15">
        <v>26</v>
      </c>
      <c r="R111" s="15">
        <v>26</v>
      </c>
    </row>
    <row r="112" spans="1:21" x14ac:dyDescent="0.25">
      <c r="A112" s="15" t="s">
        <v>364</v>
      </c>
      <c r="L112" s="15">
        <v>0</v>
      </c>
      <c r="R112" s="15">
        <v>0</v>
      </c>
    </row>
    <row r="113" spans="1:18" x14ac:dyDescent="0.25">
      <c r="A113" s="15" t="s">
        <v>365</v>
      </c>
      <c r="L113" s="15">
        <v>7</v>
      </c>
      <c r="R113" s="15">
        <v>7</v>
      </c>
    </row>
    <row r="114" spans="1:18" x14ac:dyDescent="0.25">
      <c r="A114" s="15" t="s">
        <v>366</v>
      </c>
      <c r="L114" s="15">
        <v>10</v>
      </c>
      <c r="R114" s="15">
        <v>10</v>
      </c>
    </row>
    <row r="115" spans="1:18" x14ac:dyDescent="0.25">
      <c r="A115" s="15" t="s">
        <v>367</v>
      </c>
      <c r="L115" s="15">
        <v>0</v>
      </c>
      <c r="R115" s="15">
        <v>0</v>
      </c>
    </row>
    <row r="116" spans="1:18" x14ac:dyDescent="0.25">
      <c r="A116" s="15" t="s">
        <v>368</v>
      </c>
      <c r="L116" s="15">
        <v>27</v>
      </c>
      <c r="R116" s="15">
        <v>27</v>
      </c>
    </row>
    <row r="117" spans="1:18" x14ac:dyDescent="0.25">
      <c r="A117" s="15" t="s">
        <v>369</v>
      </c>
      <c r="L117" s="15">
        <v>6</v>
      </c>
      <c r="R117" s="15">
        <v>6</v>
      </c>
    </row>
    <row r="118" spans="1:18" x14ac:dyDescent="0.25">
      <c r="A118" s="15" t="s">
        <v>370</v>
      </c>
      <c r="L118" s="15">
        <v>12</v>
      </c>
      <c r="R118" s="15">
        <v>12</v>
      </c>
    </row>
    <row r="119" spans="1:18" x14ac:dyDescent="0.25">
      <c r="A119" s="15" t="s">
        <v>371</v>
      </c>
      <c r="L119" s="15">
        <v>0</v>
      </c>
      <c r="R119" s="15">
        <v>0</v>
      </c>
    </row>
    <row r="120" spans="1:18" x14ac:dyDescent="0.25">
      <c r="A120" s="15" t="s">
        <v>372</v>
      </c>
      <c r="L120" s="15">
        <v>0</v>
      </c>
      <c r="R120" s="15">
        <v>0</v>
      </c>
    </row>
    <row r="121" spans="1:18" x14ac:dyDescent="0.25">
      <c r="A121" s="15" t="s">
        <v>373</v>
      </c>
      <c r="L121" s="15">
        <v>46</v>
      </c>
      <c r="R121" s="15">
        <v>46</v>
      </c>
    </row>
    <row r="122" spans="1:18" x14ac:dyDescent="0.25">
      <c r="A122" s="15" t="s">
        <v>374</v>
      </c>
      <c r="L122" s="15">
        <v>0</v>
      </c>
      <c r="R122" s="15">
        <v>0</v>
      </c>
    </row>
    <row r="123" spans="1:18" x14ac:dyDescent="0.25">
      <c r="A123" s="15" t="s">
        <v>375</v>
      </c>
      <c r="L123" s="15">
        <v>0</v>
      </c>
      <c r="R123" s="15">
        <v>0</v>
      </c>
    </row>
    <row r="124" spans="1:18" x14ac:dyDescent="0.25">
      <c r="A124" s="15" t="s">
        <v>376</v>
      </c>
      <c r="L124" s="15">
        <v>21</v>
      </c>
      <c r="R124" s="15">
        <v>21</v>
      </c>
    </row>
    <row r="125" spans="1:18" x14ac:dyDescent="0.25">
      <c r="A125" s="15" t="s">
        <v>377</v>
      </c>
      <c r="L125" s="15">
        <v>0</v>
      </c>
      <c r="R125" s="15">
        <v>0</v>
      </c>
    </row>
    <row r="126" spans="1:18" x14ac:dyDescent="0.25">
      <c r="A126" s="15" t="s">
        <v>378</v>
      </c>
      <c r="L126" s="15">
        <v>29</v>
      </c>
      <c r="R126" s="15">
        <v>29</v>
      </c>
    </row>
    <row r="127" spans="1:18" x14ac:dyDescent="0.25">
      <c r="A127" s="15" t="s">
        <v>379</v>
      </c>
      <c r="L127" s="15">
        <v>0</v>
      </c>
      <c r="R127" s="15">
        <v>0</v>
      </c>
    </row>
    <row r="128" spans="1:18" x14ac:dyDescent="0.25">
      <c r="A128" s="15" t="s">
        <v>380</v>
      </c>
      <c r="L128" s="15">
        <v>0</v>
      </c>
      <c r="R128" s="15">
        <v>0</v>
      </c>
    </row>
    <row r="129" spans="1:18" x14ac:dyDescent="0.25">
      <c r="A129" s="15" t="s">
        <v>381</v>
      </c>
      <c r="L129" s="15">
        <v>0</v>
      </c>
      <c r="R129" s="15">
        <v>0</v>
      </c>
    </row>
    <row r="130" spans="1:18" x14ac:dyDescent="0.25">
      <c r="A130" s="15" t="s">
        <v>382</v>
      </c>
      <c r="L130" s="15">
        <v>0</v>
      </c>
      <c r="R130" s="15">
        <v>0</v>
      </c>
    </row>
  </sheetData>
  <mergeCells count="62">
    <mergeCell ref="BF64:BK64"/>
    <mergeCell ref="A63:BK63"/>
    <mergeCell ref="AN64:AO64"/>
    <mergeCell ref="AR64:AS64"/>
    <mergeCell ref="AV64:AW64"/>
    <mergeCell ref="AX64:AY64"/>
    <mergeCell ref="AZ64:BE64"/>
    <mergeCell ref="R64:S64"/>
    <mergeCell ref="T64:Y64"/>
    <mergeCell ref="Z64:AE64"/>
    <mergeCell ref="AG64:AG65"/>
    <mergeCell ref="AJ64:AK64"/>
    <mergeCell ref="A64:A65"/>
    <mergeCell ref="D64:E64"/>
    <mergeCell ref="H64:I64"/>
    <mergeCell ref="L64:M64"/>
    <mergeCell ref="P64:Q64"/>
    <mergeCell ref="AJ37:AK37"/>
    <mergeCell ref="A37:A38"/>
    <mergeCell ref="D37:E37"/>
    <mergeCell ref="H37:I37"/>
    <mergeCell ref="L37:M37"/>
    <mergeCell ref="P37:Q37"/>
    <mergeCell ref="BF37:BK37"/>
    <mergeCell ref="AR9:AS9"/>
    <mergeCell ref="AV9:AW9"/>
    <mergeCell ref="BF9:BK9"/>
    <mergeCell ref="AZ9:BE9"/>
    <mergeCell ref="AX37:AY37"/>
    <mergeCell ref="AZ37:BE37"/>
    <mergeCell ref="AX9:AY9"/>
    <mergeCell ref="B35:BK35"/>
    <mergeCell ref="AN37:AO37"/>
    <mergeCell ref="AR37:AS37"/>
    <mergeCell ref="AV37:AW37"/>
    <mergeCell ref="R37:S37"/>
    <mergeCell ref="T37:Y37"/>
    <mergeCell ref="Z37:AE37"/>
    <mergeCell ref="AG37:AG38"/>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rintOptions horizontalCentered="1"/>
  <pageMargins left="0.39370078740157483" right="0.39370078740157483" top="0.39370078740157483" bottom="0.39370078740157483" header="0" footer="0"/>
  <pageSetup scale="1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abSelected="1" view="pageBreakPreview" zoomScale="60" zoomScaleNormal="100" workbookViewId="0">
      <selection activeCell="A27" sqref="A27:AE27"/>
    </sheetView>
  </sheetViews>
  <sheetFormatPr baseColWidth="10" defaultColWidth="11.42578125" defaultRowHeight="14.25" x14ac:dyDescent="0.2"/>
  <cols>
    <col min="1" max="1" width="17.85546875" style="47" customWidth="1"/>
    <col min="2" max="2" width="25.85546875" style="47" customWidth="1"/>
    <col min="3" max="4" width="20.5703125" style="47" customWidth="1"/>
    <col min="5" max="5" width="24.28515625" style="47" customWidth="1"/>
    <col min="6" max="16384" width="11.42578125" style="47"/>
  </cols>
  <sheetData>
    <row r="1" spans="1:5" s="15" customFormat="1" ht="16.5" customHeight="1" x14ac:dyDescent="0.25">
      <c r="A1" s="802"/>
      <c r="B1" s="805" t="s">
        <v>121</v>
      </c>
      <c r="C1" s="805"/>
      <c r="D1" s="805"/>
      <c r="E1" s="116" t="s">
        <v>122</v>
      </c>
    </row>
    <row r="2" spans="1:5" s="15" customFormat="1" ht="20.25" customHeight="1" x14ac:dyDescent="0.25">
      <c r="A2" s="803"/>
      <c r="B2" s="806" t="s">
        <v>123</v>
      </c>
      <c r="C2" s="806"/>
      <c r="D2" s="806"/>
      <c r="E2" s="117" t="s">
        <v>124</v>
      </c>
    </row>
    <row r="3" spans="1:5" s="15" customFormat="1" ht="30" customHeight="1" x14ac:dyDescent="0.25">
      <c r="A3" s="803"/>
      <c r="B3" s="807" t="s">
        <v>125</v>
      </c>
      <c r="C3" s="807"/>
      <c r="D3" s="807"/>
      <c r="E3" s="117" t="s">
        <v>126</v>
      </c>
    </row>
    <row r="4" spans="1:5" s="15" customFormat="1" ht="16.5" customHeight="1" thickBot="1" x14ac:dyDescent="0.3">
      <c r="A4" s="804"/>
      <c r="B4" s="535"/>
      <c r="C4" s="535"/>
      <c r="D4" s="535"/>
      <c r="E4" s="118" t="s">
        <v>393</v>
      </c>
    </row>
    <row r="5" spans="1:5" s="15" customFormat="1" ht="9" customHeight="1" thickBot="1" x14ac:dyDescent="0.25">
      <c r="A5" s="47"/>
      <c r="B5" s="47"/>
      <c r="C5" s="47"/>
      <c r="D5" s="47"/>
      <c r="E5" s="47"/>
    </row>
    <row r="6" spans="1:5" ht="14.25" customHeight="1" x14ac:dyDescent="0.2">
      <c r="A6" s="788" t="s">
        <v>394</v>
      </c>
      <c r="B6" s="520"/>
      <c r="C6" s="520"/>
      <c r="D6" s="520"/>
      <c r="E6" s="789"/>
    </row>
    <row r="7" spans="1:5" s="419" customFormat="1" ht="31.9" customHeight="1" thickBot="1" x14ac:dyDescent="0.25">
      <c r="A7" s="119" t="s">
        <v>395</v>
      </c>
      <c r="B7" s="120" t="s">
        <v>396</v>
      </c>
      <c r="C7" s="808" t="s">
        <v>397</v>
      </c>
      <c r="D7" s="808"/>
      <c r="E7" s="809"/>
    </row>
    <row r="8" spans="1:5" s="422" customFormat="1" ht="94.15" customHeight="1" x14ac:dyDescent="0.25">
      <c r="A8" s="421">
        <v>45572</v>
      </c>
      <c r="B8" s="428" t="s">
        <v>398</v>
      </c>
      <c r="C8" s="799" t="s">
        <v>164</v>
      </c>
      <c r="D8" s="800"/>
      <c r="E8" s="801"/>
    </row>
    <row r="9" spans="1:5" s="422" customFormat="1" ht="117" customHeight="1" x14ac:dyDescent="0.25">
      <c r="A9" s="421">
        <v>45572</v>
      </c>
      <c r="B9" s="428" t="s">
        <v>399</v>
      </c>
      <c r="C9" s="793" t="s">
        <v>400</v>
      </c>
      <c r="D9" s="794"/>
      <c r="E9" s="795"/>
    </row>
    <row r="10" spans="1:5" s="422" customFormat="1" ht="141.6" customHeight="1" x14ac:dyDescent="0.25">
      <c r="A10" s="421">
        <v>45572</v>
      </c>
      <c r="B10" s="428" t="s">
        <v>401</v>
      </c>
      <c r="C10" s="793" t="s">
        <v>402</v>
      </c>
      <c r="D10" s="794"/>
      <c r="E10" s="795"/>
    </row>
    <row r="11" spans="1:5" s="422" customFormat="1" x14ac:dyDescent="0.25">
      <c r="A11" s="423"/>
      <c r="B11" s="165"/>
      <c r="C11" s="793"/>
      <c r="D11" s="794"/>
      <c r="E11" s="795"/>
    </row>
    <row r="12" spans="1:5" s="422" customFormat="1" x14ac:dyDescent="0.25">
      <c r="A12" s="423"/>
      <c r="B12" s="165"/>
      <c r="C12" s="793"/>
      <c r="D12" s="794"/>
      <c r="E12" s="795"/>
    </row>
    <row r="13" spans="1:5" s="422" customFormat="1" x14ac:dyDescent="0.25">
      <c r="A13" s="423"/>
      <c r="B13" s="165"/>
      <c r="C13" s="793"/>
      <c r="D13" s="794"/>
      <c r="E13" s="795"/>
    </row>
    <row r="14" spans="1:5" s="422" customFormat="1" x14ac:dyDescent="0.25">
      <c r="A14" s="423"/>
      <c r="B14" s="165"/>
      <c r="C14" s="793"/>
      <c r="D14" s="794"/>
      <c r="E14" s="795"/>
    </row>
    <row r="15" spans="1:5" s="422" customFormat="1" x14ac:dyDescent="0.25">
      <c r="A15" s="423"/>
      <c r="B15" s="165"/>
      <c r="C15" s="793"/>
      <c r="D15" s="794"/>
      <c r="E15" s="795"/>
    </row>
    <row r="16" spans="1:5" s="27" customFormat="1" x14ac:dyDescent="0.25">
      <c r="A16" s="424"/>
      <c r="B16" s="83"/>
      <c r="C16" s="796"/>
      <c r="D16" s="797"/>
      <c r="E16" s="798"/>
    </row>
    <row r="17" spans="1:5" s="27" customFormat="1" x14ac:dyDescent="0.25">
      <c r="A17" s="424"/>
      <c r="B17" s="83"/>
      <c r="C17" s="796"/>
      <c r="D17" s="797"/>
      <c r="E17" s="798"/>
    </row>
    <row r="18" spans="1:5" s="427" customFormat="1" x14ac:dyDescent="0.2">
      <c r="A18" s="425"/>
      <c r="B18" s="426"/>
      <c r="C18" s="790"/>
      <c r="D18" s="791"/>
      <c r="E18" s="792"/>
    </row>
    <row r="19" spans="1:5" x14ac:dyDescent="0.2">
      <c r="A19" s="121"/>
      <c r="B19" s="122"/>
      <c r="C19" s="790"/>
      <c r="D19" s="791"/>
      <c r="E19" s="792"/>
    </row>
    <row r="20" spans="1:5" x14ac:dyDescent="0.2">
      <c r="A20" s="121"/>
      <c r="B20" s="122"/>
      <c r="C20" s="790"/>
      <c r="D20" s="791"/>
      <c r="E20" s="792"/>
    </row>
    <row r="21" spans="1:5" x14ac:dyDescent="0.2">
      <c r="A21" s="121"/>
      <c r="B21" s="122"/>
      <c r="C21" s="790"/>
      <c r="D21" s="791"/>
      <c r="E21" s="792"/>
    </row>
    <row r="22" spans="1:5" x14ac:dyDescent="0.2">
      <c r="A22" s="121"/>
      <c r="B22" s="122"/>
      <c r="C22" s="790"/>
      <c r="D22" s="791"/>
      <c r="E22" s="792"/>
    </row>
    <row r="23" spans="1:5" x14ac:dyDescent="0.2">
      <c r="A23" s="121"/>
      <c r="B23" s="122"/>
      <c r="C23" s="790"/>
      <c r="D23" s="791"/>
      <c r="E23" s="792"/>
    </row>
    <row r="24" spans="1:5" x14ac:dyDescent="0.2">
      <c r="A24" s="121"/>
      <c r="B24" s="122"/>
      <c r="C24" s="790"/>
      <c r="D24" s="791"/>
      <c r="E24" s="792"/>
    </row>
    <row r="25" spans="1:5" x14ac:dyDescent="0.2">
      <c r="A25" s="121"/>
      <c r="B25" s="122"/>
      <c r="C25" s="790"/>
      <c r="D25" s="791"/>
      <c r="E25" s="792"/>
    </row>
    <row r="26" spans="1:5" x14ac:dyDescent="0.2">
      <c r="A26" s="121"/>
      <c r="B26" s="122"/>
      <c r="C26" s="790"/>
      <c r="D26" s="791"/>
      <c r="E26" s="792"/>
    </row>
    <row r="27" spans="1:5" x14ac:dyDescent="0.2">
      <c r="A27" s="121"/>
      <c r="B27" s="122"/>
      <c r="C27" s="790"/>
      <c r="D27" s="791"/>
      <c r="E27" s="792"/>
    </row>
    <row r="28" spans="1:5" x14ac:dyDescent="0.2">
      <c r="A28" s="121"/>
      <c r="B28" s="122"/>
      <c r="C28" s="790"/>
      <c r="D28" s="791"/>
      <c r="E28" s="792"/>
    </row>
    <row r="29" spans="1:5" x14ac:dyDescent="0.2">
      <c r="A29" s="121"/>
      <c r="B29" s="122"/>
      <c r="C29" s="790"/>
      <c r="D29" s="791"/>
      <c r="E29" s="792"/>
    </row>
    <row r="30" spans="1:5" x14ac:dyDescent="0.2">
      <c r="A30" s="121"/>
      <c r="B30" s="122"/>
      <c r="C30" s="790"/>
      <c r="D30" s="791"/>
      <c r="E30" s="792"/>
    </row>
    <row r="31" spans="1:5" x14ac:dyDescent="0.2">
      <c r="A31" s="121"/>
      <c r="B31" s="122"/>
      <c r="C31" s="790"/>
      <c r="D31" s="791"/>
      <c r="E31" s="792"/>
    </row>
    <row r="32" spans="1:5" x14ac:dyDescent="0.2">
      <c r="A32" s="121"/>
      <c r="B32" s="122"/>
      <c r="C32" s="790"/>
      <c r="D32" s="791"/>
      <c r="E32" s="792"/>
    </row>
    <row r="33" spans="1:5" x14ac:dyDescent="0.2">
      <c r="A33" s="121"/>
      <c r="B33" s="122"/>
      <c r="C33" s="790"/>
      <c r="D33" s="791"/>
      <c r="E33" s="792"/>
    </row>
    <row r="34" spans="1:5" x14ac:dyDescent="0.2">
      <c r="A34" s="121"/>
      <c r="B34" s="122"/>
      <c r="C34" s="790"/>
      <c r="D34" s="791"/>
      <c r="E34" s="792"/>
    </row>
    <row r="35" spans="1:5" ht="15" thickBot="1" x14ac:dyDescent="0.25">
      <c r="A35" s="123"/>
      <c r="B35" s="124"/>
      <c r="C35" s="785"/>
      <c r="D35" s="786"/>
      <c r="E35" s="787"/>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scale="8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2029-884F-4957-AB53-5829DE19846F}">
  <sheetPr>
    <tabColor rgb="FFE674EC"/>
  </sheetPr>
  <dimension ref="A1:Q11"/>
  <sheetViews>
    <sheetView topLeftCell="H1" workbookViewId="0">
      <selection activeCell="R2" sqref="R2"/>
    </sheetView>
  </sheetViews>
  <sheetFormatPr baseColWidth="10" defaultColWidth="10.85546875" defaultRowHeight="11.25" x14ac:dyDescent="0.25"/>
  <cols>
    <col min="1" max="1" width="3.7109375" style="132" bestFit="1" customWidth="1"/>
    <col min="2" max="2" width="42.140625" style="130" customWidth="1"/>
    <col min="3" max="3" width="14.5703125" style="134" customWidth="1"/>
    <col min="4" max="4" width="7.28515625" style="140" bestFit="1" customWidth="1"/>
    <col min="5" max="5" width="12.5703125" style="132" customWidth="1"/>
    <col min="6" max="6" width="10.85546875" style="135"/>
    <col min="7" max="7" width="10.85546875" style="130"/>
    <col min="8" max="8" width="10.85546875" style="163"/>
    <col min="9" max="9" width="10.85546875" style="129"/>
    <col min="10" max="11" width="11.42578125" style="129" bestFit="1" customWidth="1"/>
    <col min="12" max="12" width="8.7109375" style="181" customWidth="1"/>
    <col min="13" max="13" width="9" style="129" bestFit="1" customWidth="1"/>
    <col min="14" max="14" width="10.28515625" style="129" bestFit="1" customWidth="1"/>
    <col min="15" max="16384" width="10.85546875" style="129"/>
  </cols>
  <sheetData>
    <row r="1" spans="1:17" s="131" customFormat="1" ht="33.75" x14ac:dyDescent="0.25">
      <c r="A1" s="810" t="s">
        <v>403</v>
      </c>
      <c r="B1" s="810"/>
      <c r="C1" s="137" t="s">
        <v>404</v>
      </c>
      <c r="D1" s="139" t="s">
        <v>405</v>
      </c>
      <c r="E1" s="136" t="s">
        <v>406</v>
      </c>
      <c r="F1" s="138" t="s">
        <v>407</v>
      </c>
      <c r="G1" s="132"/>
      <c r="H1" s="163"/>
      <c r="J1" s="177" t="s">
        <v>408</v>
      </c>
      <c r="K1" s="177" t="s">
        <v>409</v>
      </c>
      <c r="L1" s="183" t="s">
        <v>410</v>
      </c>
      <c r="M1" s="178" t="s">
        <v>411</v>
      </c>
      <c r="N1" s="178" t="s">
        <v>412</v>
      </c>
      <c r="O1" s="284" t="s">
        <v>411</v>
      </c>
      <c r="P1" s="284" t="s">
        <v>412</v>
      </c>
    </row>
    <row r="2" spans="1:17" ht="67.5" x14ac:dyDescent="0.25">
      <c r="A2" s="132">
        <v>1</v>
      </c>
      <c r="B2" s="133" t="str">
        <f>+Meta.1!C17</f>
        <v xml:space="preserve">Formular 9 acciones de transformación cultural que promuevan y garanticen el libre ejercicio de los derechos de las mujeres y la equidad de género a través de mecanismos de cambio cultural y comportamental desarrollados con las comunidades. (Producto MGA - Documento de lineamientos Técnicos) </v>
      </c>
      <c r="C2" s="134">
        <f>+Meta.1!AC22</f>
        <v>55697250</v>
      </c>
      <c r="D2" s="140">
        <f>+C2/$C$6</f>
        <v>9.7107618532621884E-2</v>
      </c>
      <c r="E2" s="133" t="s">
        <v>413</v>
      </c>
      <c r="F2" s="135">
        <v>1</v>
      </c>
      <c r="H2" s="164">
        <f>+Meta.1!B35</f>
        <v>0.1</v>
      </c>
      <c r="J2" s="179">
        <f>+Meta.1!X22</f>
        <v>55697250</v>
      </c>
      <c r="K2" s="179">
        <f>+Meta.1!X23</f>
        <v>55697250</v>
      </c>
      <c r="L2" s="180">
        <f>+K2/J2</f>
        <v>1</v>
      </c>
      <c r="M2" s="179">
        <f>+Meta.1!X24</f>
        <v>0</v>
      </c>
      <c r="N2" s="179">
        <f>+Meta.1!X25</f>
        <v>0</v>
      </c>
      <c r="O2" s="179">
        <f>+Meta.1!Y24</f>
        <v>11139450</v>
      </c>
      <c r="P2" s="179">
        <f>+Meta.1!Y25</f>
        <v>9654190</v>
      </c>
    </row>
    <row r="3" spans="1:17" ht="45" x14ac:dyDescent="0.25">
      <c r="A3" s="132">
        <v>3</v>
      </c>
      <c r="B3" s="133" t="str">
        <f>+Meta.3!C17</f>
        <v>Implementar 3 acciones de transformación cultural que promuevan la redistribución equitativa de las labores del cuidado en Bogotá. (Producto MGA - Servicio de promoción de la garantía de derechos)</v>
      </c>
      <c r="C3" s="134">
        <f>+Meta.3!AC22</f>
        <v>394017354</v>
      </c>
      <c r="D3" s="140">
        <f>+C3/$C$6</f>
        <v>0.68696545893136618</v>
      </c>
      <c r="E3" s="133" t="s">
        <v>414</v>
      </c>
      <c r="F3" s="162">
        <v>1</v>
      </c>
      <c r="H3" s="164">
        <f>+Meta.3!B35</f>
        <v>0.69</v>
      </c>
      <c r="J3" s="179">
        <f>+Meta.3!X22</f>
        <v>354757112</v>
      </c>
      <c r="K3" s="179">
        <f>+Meta.3!X23</f>
        <v>334634016</v>
      </c>
      <c r="L3" s="180">
        <f>+K3/J3</f>
        <v>0.94327641273615959</v>
      </c>
      <c r="M3" s="179">
        <f>+Meta.3!X24</f>
        <v>0</v>
      </c>
      <c r="N3" s="179">
        <f>+Meta.3!X25</f>
        <v>0</v>
      </c>
      <c r="O3" s="179">
        <f>+Meta.3!Y24</f>
        <v>53369312</v>
      </c>
      <c r="P3" s="179">
        <f>+Meta.3!Y25</f>
        <v>32741317</v>
      </c>
    </row>
    <row r="4" spans="1:17" ht="45" x14ac:dyDescent="0.25">
      <c r="A4" s="132">
        <v>4</v>
      </c>
      <c r="B4" s="133" t="str">
        <f>+Meta.4!C17</f>
        <v>Desarrollar 3 acciones de transformación cultural efectivas para prevenir las violencias contra las mujeres, incluyendo campañas educativas. (Producto MGA - Servicio de promoción de la garantía de derechos)</v>
      </c>
      <c r="C4" s="134">
        <f>+Meta.4!AC22</f>
        <v>72522500</v>
      </c>
      <c r="D4" s="140">
        <v>0.12</v>
      </c>
      <c r="E4" s="133" t="s">
        <v>414</v>
      </c>
      <c r="F4" s="162">
        <v>1</v>
      </c>
      <c r="H4" s="164">
        <f>+Meta.4!B35</f>
        <v>0.12</v>
      </c>
      <c r="J4" s="179">
        <f>+Meta.4!X22</f>
        <v>72277053</v>
      </c>
      <c r="K4" s="179">
        <f>+Meta.4!X23</f>
        <v>72277052</v>
      </c>
      <c r="L4" s="180">
        <f>+K4/J4</f>
        <v>0.99999998616435015</v>
      </c>
      <c r="M4" s="179">
        <f>+Meta.4!X24</f>
        <v>0</v>
      </c>
      <c r="N4" s="179">
        <f>+Meta.4!X25</f>
        <v>0</v>
      </c>
      <c r="O4" s="179">
        <f>+Meta.4!Y24</f>
        <v>10144853</v>
      </c>
      <c r="P4" s="179">
        <f>+Meta.4!Y25</f>
        <v>7203016</v>
      </c>
    </row>
    <row r="5" spans="1:17" ht="67.5" x14ac:dyDescent="0.25">
      <c r="A5" s="132">
        <v>5</v>
      </c>
      <c r="B5" s="133" t="str">
        <f>+Meta.5!C17</f>
        <v>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v>
      </c>
      <c r="C5" s="134">
        <f>+Meta.5!AC22</f>
        <v>51325000</v>
      </c>
      <c r="D5" s="140">
        <f>+C5/$C$6</f>
        <v>8.9484642799901579E-2</v>
      </c>
      <c r="E5" s="133" t="s">
        <v>414</v>
      </c>
      <c r="F5" s="162">
        <v>1</v>
      </c>
      <c r="H5" s="164">
        <f>+Meta.5!B35</f>
        <v>0.09</v>
      </c>
      <c r="J5" s="179">
        <f>+Meta.5!X22</f>
        <v>44919333</v>
      </c>
      <c r="K5" s="179">
        <f>+Meta.5!X23</f>
        <v>51325000</v>
      </c>
      <c r="L5" s="180">
        <f>+K5/J5</f>
        <v>1.1426037871043186</v>
      </c>
      <c r="M5" s="179">
        <f>+Meta.5!X24</f>
        <v>0</v>
      </c>
      <c r="N5" s="179">
        <f>+Meta.5!X25</f>
        <v>0</v>
      </c>
      <c r="O5" s="179">
        <f>+Meta.5!Y24</f>
        <v>3455333</v>
      </c>
      <c r="P5" s="179">
        <f>+Meta.5!Y25</f>
        <v>7098467</v>
      </c>
      <c r="Q5" s="182"/>
    </row>
    <row r="6" spans="1:17" x14ac:dyDescent="0.25">
      <c r="B6" s="184" t="s">
        <v>415</v>
      </c>
      <c r="C6" s="185">
        <f>+C2+C3+C4+C5</f>
        <v>573562104</v>
      </c>
      <c r="H6" s="164">
        <f>SUM(H2:H5)</f>
        <v>0.99999999999999989</v>
      </c>
      <c r="J6" s="182">
        <f>SUM(J2:J5)</f>
        <v>527650748</v>
      </c>
      <c r="M6" s="182">
        <f>SUM(M2:M5)</f>
        <v>0</v>
      </c>
      <c r="N6" s="182">
        <f>SUM(N2:N5)</f>
        <v>0</v>
      </c>
      <c r="O6" s="182">
        <f>SUM(O2:O5)</f>
        <v>78108948</v>
      </c>
      <c r="P6" s="182">
        <f>SUM(P2:P5)</f>
        <v>56696990</v>
      </c>
    </row>
    <row r="7" spans="1:17" x14ac:dyDescent="0.25">
      <c r="J7" s="180">
        <f>+J6/C6</f>
        <v>0.91995399333425976</v>
      </c>
      <c r="N7" s="285">
        <v>0</v>
      </c>
      <c r="P7" s="285">
        <f>+P6/O6</f>
        <v>0.72587061344111303</v>
      </c>
    </row>
    <row r="9" spans="1:17" x14ac:dyDescent="0.25">
      <c r="I9" s="129" t="s">
        <v>416</v>
      </c>
      <c r="J9" s="182">
        <f>+C6-J6</f>
        <v>45911356</v>
      </c>
      <c r="K9" s="180">
        <f>+J9/C6</f>
        <v>8.0046006665740244E-2</v>
      </c>
      <c r="P9" s="285">
        <f>+P6/J6</f>
        <v>0.10745173813342154</v>
      </c>
    </row>
    <row r="10" spans="1:17" x14ac:dyDescent="0.25">
      <c r="I10" s="129" t="s">
        <v>417</v>
      </c>
      <c r="J10" s="182" t="e">
        <f>+#REF!</f>
        <v>#REF!</v>
      </c>
      <c r="K10" s="180" t="e">
        <f>+J10/C6</f>
        <v>#REF!</v>
      </c>
    </row>
    <row r="11" spans="1:17" x14ac:dyDescent="0.25">
      <c r="J11" s="182" t="e">
        <f>+J9+J10</f>
        <v>#REF!</v>
      </c>
      <c r="K11" s="180" t="e">
        <f>+J11/J6</f>
        <v>#REF!</v>
      </c>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46F9A-6119-4975-A438-75D7BDA83EB8}">
  <sheetPr>
    <tabColor rgb="FF00B050"/>
  </sheetPr>
  <dimension ref="A1:BW86"/>
  <sheetViews>
    <sheetView topLeftCell="AM1" zoomScale="70" zoomScaleNormal="70" workbookViewId="0">
      <selection activeCell="BL14" sqref="BL14:BM29"/>
    </sheetView>
  </sheetViews>
  <sheetFormatPr baseColWidth="10" defaultColWidth="8.85546875" defaultRowHeight="12.75" x14ac:dyDescent="0.25"/>
  <cols>
    <col min="1" max="9" width="8.85546875" style="320"/>
    <col min="10" max="31" width="8.85546875" style="320" customWidth="1"/>
    <col min="32" max="32" width="8.85546875" style="320"/>
    <col min="33" max="33" width="9.7109375" style="320" bestFit="1" customWidth="1"/>
    <col min="34" max="35" width="8.85546875" style="320"/>
    <col min="36" max="36" width="11.42578125" style="320" customWidth="1"/>
    <col min="37" max="37" width="17.140625" style="320" bestFit="1" customWidth="1"/>
    <col min="38" max="38" width="14.28515625" style="320" bestFit="1" customWidth="1"/>
    <col min="39" max="44" width="8.85546875" style="320" customWidth="1"/>
    <col min="45" max="45" width="13.85546875" style="320" customWidth="1"/>
    <col min="46" max="47" width="10.42578125" style="320" customWidth="1"/>
    <col min="48" max="48" width="8.85546875" style="320" customWidth="1"/>
    <col min="49" max="50" width="12.7109375" style="320" customWidth="1"/>
    <col min="51" max="58" width="12.7109375" style="320" hidden="1" customWidth="1"/>
    <col min="59" max="59" width="13.28515625" style="320" hidden="1" customWidth="1"/>
    <col min="60" max="60" width="11.28515625" style="320" hidden="1" customWidth="1"/>
    <col min="61" max="61" width="11.85546875" style="320" customWidth="1"/>
    <col min="62" max="62" width="15.28515625" style="322" bestFit="1" customWidth="1"/>
    <col min="63" max="63" width="8.85546875" style="322"/>
    <col min="64" max="64" width="9.7109375" style="322" bestFit="1" customWidth="1"/>
    <col min="65" max="65" width="10.28515625" style="322" customWidth="1"/>
    <col min="66" max="66" width="11.28515625" style="322" customWidth="1"/>
    <col min="67" max="69" width="14.5703125" style="320" customWidth="1"/>
    <col min="70" max="70" width="14.5703125" style="334" customWidth="1"/>
    <col min="71" max="71" width="7.28515625" style="334" customWidth="1"/>
    <col min="72" max="74" width="8.85546875" style="334"/>
    <col min="75" max="75" width="9.7109375" style="320" bestFit="1" customWidth="1"/>
    <col min="76" max="16384" width="8.85546875" style="320"/>
  </cols>
  <sheetData>
    <row r="1" spans="1:75" s="300" customFormat="1" ht="48.75" thickBot="1" x14ac:dyDescent="0.3">
      <c r="A1" s="286" t="s">
        <v>418</v>
      </c>
      <c r="B1" s="286" t="s">
        <v>419</v>
      </c>
      <c r="C1" s="286" t="s">
        <v>420</v>
      </c>
      <c r="D1" s="286" t="s">
        <v>421</v>
      </c>
      <c r="E1" s="286" t="s">
        <v>422</v>
      </c>
      <c r="F1" s="286" t="s">
        <v>423</v>
      </c>
      <c r="G1" s="287" t="s">
        <v>424</v>
      </c>
      <c r="H1" s="286" t="s">
        <v>425</v>
      </c>
      <c r="I1" s="288" t="s">
        <v>426</v>
      </c>
      <c r="J1" s="286" t="s">
        <v>420</v>
      </c>
      <c r="K1" s="286" t="s">
        <v>421</v>
      </c>
      <c r="L1" s="286" t="s">
        <v>427</v>
      </c>
      <c r="M1" s="286" t="s">
        <v>428</v>
      </c>
      <c r="N1" s="286" t="s">
        <v>429</v>
      </c>
      <c r="O1" s="286" t="s">
        <v>430</v>
      </c>
      <c r="P1" s="286" t="s">
        <v>431</v>
      </c>
      <c r="Q1" s="286" t="s">
        <v>432</v>
      </c>
      <c r="R1" s="289" t="s">
        <v>433</v>
      </c>
      <c r="S1" s="286" t="s">
        <v>434</v>
      </c>
      <c r="T1" s="286" t="s">
        <v>435</v>
      </c>
      <c r="U1" s="286" t="s">
        <v>436</v>
      </c>
      <c r="V1" s="286" t="s">
        <v>437</v>
      </c>
      <c r="W1" s="286" t="s">
        <v>438</v>
      </c>
      <c r="X1" s="289" t="s">
        <v>439</v>
      </c>
      <c r="Y1" s="286" t="s">
        <v>440</v>
      </c>
      <c r="Z1" s="286" t="s">
        <v>441</v>
      </c>
      <c r="AA1" s="287" t="s">
        <v>442</v>
      </c>
      <c r="AB1" s="286" t="s">
        <v>443</v>
      </c>
      <c r="AC1" s="286" t="s">
        <v>444</v>
      </c>
      <c r="AD1" s="287" t="s">
        <v>445</v>
      </c>
      <c r="AE1" s="287" t="s">
        <v>446</v>
      </c>
      <c r="AF1" s="286" t="s">
        <v>447</v>
      </c>
      <c r="AG1" s="286" t="s">
        <v>448</v>
      </c>
      <c r="AH1" s="286" t="s">
        <v>449</v>
      </c>
      <c r="AI1" s="286" t="s">
        <v>450</v>
      </c>
      <c r="AJ1" s="286" t="s">
        <v>451</v>
      </c>
      <c r="AK1" s="286" t="s">
        <v>452</v>
      </c>
      <c r="AL1" s="289" t="s">
        <v>453</v>
      </c>
      <c r="AM1" s="286" t="s">
        <v>454</v>
      </c>
      <c r="AN1" s="287" t="s">
        <v>455</v>
      </c>
      <c r="AO1" s="286" t="s">
        <v>456</v>
      </c>
      <c r="AP1" s="287" t="s">
        <v>457</v>
      </c>
      <c r="AQ1" s="290" t="s">
        <v>458</v>
      </c>
      <c r="AR1" s="291" t="s">
        <v>459</v>
      </c>
      <c r="AS1" s="292" t="s">
        <v>460</v>
      </c>
      <c r="AT1" s="293" t="s">
        <v>461</v>
      </c>
      <c r="AU1" s="293" t="s">
        <v>462</v>
      </c>
      <c r="AV1" s="294" t="s">
        <v>463</v>
      </c>
      <c r="AW1" s="295" t="s">
        <v>464</v>
      </c>
      <c r="AX1" s="296" t="s">
        <v>465</v>
      </c>
      <c r="AY1" s="295" t="s">
        <v>466</v>
      </c>
      <c r="AZ1" s="296" t="s">
        <v>467</v>
      </c>
      <c r="BA1" s="295" t="s">
        <v>468</v>
      </c>
      <c r="BB1" s="296" t="s">
        <v>469</v>
      </c>
      <c r="BC1" s="295" t="s">
        <v>470</v>
      </c>
      <c r="BD1" s="296" t="s">
        <v>471</v>
      </c>
      <c r="BE1" s="297" t="s">
        <v>472</v>
      </c>
      <c r="BF1" s="296" t="s">
        <v>473</v>
      </c>
      <c r="BG1" s="298" t="s">
        <v>474</v>
      </c>
      <c r="BH1" s="299" t="s">
        <v>475</v>
      </c>
      <c r="BJ1" s="301" t="s">
        <v>476</v>
      </c>
      <c r="BK1" s="301" t="s">
        <v>477</v>
      </c>
      <c r="BL1" s="301" t="s">
        <v>478</v>
      </c>
      <c r="BM1" s="301" t="s">
        <v>479</v>
      </c>
      <c r="BN1" s="301" t="s">
        <v>480</v>
      </c>
      <c r="BR1" s="302" t="s">
        <v>476</v>
      </c>
      <c r="BS1" s="302" t="s">
        <v>477</v>
      </c>
      <c r="BT1" s="302" t="s">
        <v>478</v>
      </c>
      <c r="BU1" s="302" t="s">
        <v>479</v>
      </c>
      <c r="BV1" s="302" t="s">
        <v>480</v>
      </c>
    </row>
    <row r="2" spans="1:75" s="303" customFormat="1" ht="12" x14ac:dyDescent="0.25">
      <c r="A2" s="303">
        <v>2024</v>
      </c>
      <c r="B2" s="303">
        <v>7</v>
      </c>
      <c r="C2" s="304">
        <v>45292</v>
      </c>
      <c r="D2" s="304">
        <v>45535</v>
      </c>
      <c r="E2" s="303" t="s">
        <v>481</v>
      </c>
      <c r="F2" s="304">
        <v>45504</v>
      </c>
      <c r="G2" s="303" t="s">
        <v>482</v>
      </c>
      <c r="H2" s="303" t="s">
        <v>483</v>
      </c>
      <c r="I2" s="303" t="s">
        <v>484</v>
      </c>
      <c r="J2" s="304">
        <v>45498</v>
      </c>
      <c r="K2" s="304">
        <v>45657</v>
      </c>
      <c r="L2" s="303" t="s">
        <v>485</v>
      </c>
      <c r="M2" s="303" t="s">
        <v>486</v>
      </c>
      <c r="N2" s="303" t="s">
        <v>487</v>
      </c>
      <c r="O2" s="303">
        <v>1171</v>
      </c>
      <c r="P2" s="303">
        <v>1289</v>
      </c>
      <c r="Q2" s="303" t="s">
        <v>488</v>
      </c>
      <c r="R2" s="303" t="s">
        <v>489</v>
      </c>
      <c r="S2" s="303" t="s">
        <v>490</v>
      </c>
      <c r="T2" s="303" t="s">
        <v>491</v>
      </c>
      <c r="U2" s="303" t="s">
        <v>492</v>
      </c>
      <c r="V2" s="303" t="s">
        <v>493</v>
      </c>
      <c r="W2" s="303" t="s">
        <v>494</v>
      </c>
      <c r="X2" s="303" t="s">
        <v>495</v>
      </c>
      <c r="Y2" s="303" t="s">
        <v>496</v>
      </c>
      <c r="Z2" s="303" t="s">
        <v>497</v>
      </c>
      <c r="AA2" s="303" t="s">
        <v>498</v>
      </c>
      <c r="AB2" s="303" t="s">
        <v>499</v>
      </c>
      <c r="AC2" s="303" t="s">
        <v>500</v>
      </c>
      <c r="AD2" s="303" t="s">
        <v>501</v>
      </c>
      <c r="AE2" s="303" t="s">
        <v>502</v>
      </c>
      <c r="AF2" s="303" t="s">
        <v>503</v>
      </c>
      <c r="AG2" s="305">
        <v>27376904</v>
      </c>
      <c r="AH2" s="305">
        <v>0</v>
      </c>
      <c r="AI2" s="305">
        <v>0</v>
      </c>
      <c r="AJ2" s="305">
        <v>27376904</v>
      </c>
      <c r="AK2" s="305"/>
      <c r="AL2" s="305">
        <v>27376904</v>
      </c>
      <c r="AM2" s="303">
        <v>5000717080</v>
      </c>
      <c r="AN2" s="303">
        <v>1</v>
      </c>
      <c r="AO2" s="303">
        <v>587548</v>
      </c>
      <c r="AP2" s="303">
        <v>3</v>
      </c>
      <c r="AQ2" s="304">
        <v>45504</v>
      </c>
      <c r="AR2" s="306">
        <v>8198</v>
      </c>
      <c r="AS2" s="307"/>
      <c r="AT2" s="308"/>
      <c r="AU2" s="308"/>
      <c r="AV2" s="309" t="s">
        <v>504</v>
      </c>
      <c r="AW2" s="310">
        <v>0</v>
      </c>
      <c r="AX2" s="305">
        <v>0</v>
      </c>
      <c r="AY2" s="310">
        <v>9538946</v>
      </c>
      <c r="AZ2" s="310"/>
      <c r="BA2" s="310">
        <v>4052000</v>
      </c>
      <c r="BB2" s="310"/>
      <c r="BC2" s="310">
        <v>4052000</v>
      </c>
      <c r="BD2" s="310"/>
      <c r="BE2" s="310">
        <v>9733958</v>
      </c>
      <c r="BF2" s="311"/>
      <c r="BG2" s="312">
        <v>0</v>
      </c>
      <c r="BH2" s="313">
        <f>AJ2-SUM(AW2+AY2+BA2+BC2+BE2+BG2)</f>
        <v>0</v>
      </c>
      <c r="BI2" s="305"/>
      <c r="BJ2" s="314">
        <v>0</v>
      </c>
      <c r="BK2" s="314">
        <v>0</v>
      </c>
      <c r="BL2" s="315">
        <f>+AG2</f>
        <v>27376904</v>
      </c>
      <c r="BM2" s="314">
        <v>0</v>
      </c>
      <c r="BN2" s="314">
        <v>0</v>
      </c>
      <c r="BP2" s="316">
        <f t="shared" ref="BP2:BP29" si="0">+AJ2-SUM(BJ2:BN2)</f>
        <v>0</v>
      </c>
      <c r="BQ2" s="317"/>
      <c r="BR2" s="318">
        <v>0</v>
      </c>
      <c r="BS2" s="318">
        <v>0</v>
      </c>
      <c r="BT2" s="318">
        <f>+AX2</f>
        <v>0</v>
      </c>
      <c r="BU2" s="318">
        <v>0</v>
      </c>
      <c r="BV2" s="318">
        <v>0</v>
      </c>
      <c r="BW2" s="318"/>
    </row>
    <row r="3" spans="1:75" s="303" customFormat="1" ht="12" x14ac:dyDescent="0.25">
      <c r="A3" s="303">
        <v>2024</v>
      </c>
      <c r="B3" s="303">
        <v>7</v>
      </c>
      <c r="C3" s="304">
        <v>45292</v>
      </c>
      <c r="D3" s="304">
        <v>45535</v>
      </c>
      <c r="E3" s="303" t="s">
        <v>481</v>
      </c>
      <c r="F3" s="304">
        <v>45504</v>
      </c>
      <c r="G3" s="303" t="s">
        <v>482</v>
      </c>
      <c r="H3" s="303" t="s">
        <v>483</v>
      </c>
      <c r="I3" s="303" t="s">
        <v>484</v>
      </c>
      <c r="J3" s="304">
        <v>45498</v>
      </c>
      <c r="K3" s="304">
        <v>45657</v>
      </c>
      <c r="L3" s="303" t="s">
        <v>485</v>
      </c>
      <c r="M3" s="303" t="s">
        <v>486</v>
      </c>
      <c r="N3" s="303" t="s">
        <v>487</v>
      </c>
      <c r="O3" s="303">
        <v>1171</v>
      </c>
      <c r="P3" s="303">
        <v>1289</v>
      </c>
      <c r="Q3" s="303" t="s">
        <v>488</v>
      </c>
      <c r="R3" s="303" t="s">
        <v>489</v>
      </c>
      <c r="S3" s="303" t="s">
        <v>490</v>
      </c>
      <c r="T3" s="303" t="s">
        <v>491</v>
      </c>
      <c r="U3" s="303" t="s">
        <v>492</v>
      </c>
      <c r="V3" s="303" t="s">
        <v>493</v>
      </c>
      <c r="W3" s="303" t="s">
        <v>494</v>
      </c>
      <c r="X3" s="303" t="s">
        <v>495</v>
      </c>
      <c r="Y3" s="303" t="s">
        <v>496</v>
      </c>
      <c r="Z3" s="303" t="s">
        <v>497</v>
      </c>
      <c r="AA3" s="303" t="s">
        <v>498</v>
      </c>
      <c r="AB3" s="303" t="s">
        <v>499</v>
      </c>
      <c r="AC3" s="303" t="s">
        <v>500</v>
      </c>
      <c r="AD3" s="303" t="s">
        <v>501</v>
      </c>
      <c r="AE3" s="303" t="s">
        <v>502</v>
      </c>
      <c r="AF3" s="303" t="s">
        <v>503</v>
      </c>
      <c r="AG3" s="305">
        <v>6405667</v>
      </c>
      <c r="AH3" s="305">
        <v>0</v>
      </c>
      <c r="AI3" s="305">
        <v>0</v>
      </c>
      <c r="AJ3" s="305">
        <v>6405667</v>
      </c>
      <c r="AK3" s="305"/>
      <c r="AL3" s="305">
        <v>6405667</v>
      </c>
      <c r="AM3" s="303">
        <v>5000717080</v>
      </c>
      <c r="AN3" s="303">
        <v>2</v>
      </c>
      <c r="AO3" s="303">
        <v>587548</v>
      </c>
      <c r="AP3" s="303">
        <v>4</v>
      </c>
      <c r="AQ3" s="304">
        <v>45504</v>
      </c>
      <c r="AR3" s="306">
        <v>8198</v>
      </c>
      <c r="AS3" s="307"/>
      <c r="AT3" s="308"/>
      <c r="AU3" s="308"/>
      <c r="AV3" s="309" t="s">
        <v>504</v>
      </c>
      <c r="AW3" s="310">
        <v>0</v>
      </c>
      <c r="AX3" s="305">
        <v>0</v>
      </c>
      <c r="AY3" s="310">
        <v>0</v>
      </c>
      <c r="AZ3" s="310"/>
      <c r="BA3" s="310">
        <v>948000</v>
      </c>
      <c r="BB3" s="310"/>
      <c r="BC3" s="310">
        <v>948000</v>
      </c>
      <c r="BD3" s="310"/>
      <c r="BE3" s="310">
        <v>4509667</v>
      </c>
      <c r="BF3" s="311"/>
      <c r="BG3" s="312">
        <v>0</v>
      </c>
      <c r="BH3" s="313">
        <f t="shared" ref="BH3:BH33" si="1">AJ3-SUM(AW3+AY3+BA3+BC3+BE3+BG3)</f>
        <v>0</v>
      </c>
      <c r="BI3" s="305"/>
      <c r="BJ3" s="314">
        <v>0</v>
      </c>
      <c r="BK3" s="314">
        <v>0</v>
      </c>
      <c r="BL3" s="314">
        <v>0</v>
      </c>
      <c r="BM3" s="314">
        <v>0</v>
      </c>
      <c r="BN3" s="315">
        <f>+AG3</f>
        <v>6405667</v>
      </c>
      <c r="BP3" s="316">
        <f t="shared" si="0"/>
        <v>0</v>
      </c>
      <c r="BQ3" s="317"/>
      <c r="BR3" s="318">
        <v>0</v>
      </c>
      <c r="BS3" s="318">
        <v>0</v>
      </c>
      <c r="BT3" s="318">
        <v>0</v>
      </c>
      <c r="BU3" s="318">
        <v>0</v>
      </c>
      <c r="BV3" s="318">
        <f>+AX3</f>
        <v>0</v>
      </c>
      <c r="BW3" s="318"/>
    </row>
    <row r="4" spans="1:75" s="303" customFormat="1" x14ac:dyDescent="0.25">
      <c r="A4" s="303">
        <v>2024</v>
      </c>
      <c r="B4" s="303">
        <v>8</v>
      </c>
      <c r="C4" s="304">
        <v>45292</v>
      </c>
      <c r="D4" s="304">
        <v>45535</v>
      </c>
      <c r="E4" s="303" t="s">
        <v>481</v>
      </c>
      <c r="F4" s="304">
        <v>45506</v>
      </c>
      <c r="G4" s="303" t="s">
        <v>505</v>
      </c>
      <c r="H4" s="303" t="s">
        <v>506</v>
      </c>
      <c r="I4" s="303">
        <v>1275</v>
      </c>
      <c r="J4" s="304">
        <v>45506</v>
      </c>
      <c r="K4" s="304">
        <v>45657</v>
      </c>
      <c r="L4" s="303" t="s">
        <v>507</v>
      </c>
      <c r="M4" s="303" t="s">
        <v>486</v>
      </c>
      <c r="N4" s="303" t="s">
        <v>487</v>
      </c>
      <c r="O4" s="303">
        <v>1525</v>
      </c>
      <c r="P4" s="303">
        <v>1383</v>
      </c>
      <c r="Q4" s="303" t="s">
        <v>508</v>
      </c>
      <c r="R4" s="303" t="s">
        <v>489</v>
      </c>
      <c r="S4" s="303" t="s">
        <v>490</v>
      </c>
      <c r="T4" s="303" t="s">
        <v>491</v>
      </c>
      <c r="U4" s="303" t="s">
        <v>492</v>
      </c>
      <c r="V4" s="303" t="s">
        <v>509</v>
      </c>
      <c r="W4" s="303" t="s">
        <v>510</v>
      </c>
      <c r="X4" s="303" t="s">
        <v>495</v>
      </c>
      <c r="Y4" s="303" t="s">
        <v>496</v>
      </c>
      <c r="Z4" s="303" t="s">
        <v>497</v>
      </c>
      <c r="AA4" s="303" t="s">
        <v>511</v>
      </c>
      <c r="AB4" s="303" t="s">
        <v>512</v>
      </c>
      <c r="AC4" s="303" t="s">
        <v>513</v>
      </c>
      <c r="AD4" s="303" t="s">
        <v>514</v>
      </c>
      <c r="AE4" s="303" t="s">
        <v>515</v>
      </c>
      <c r="AF4" s="303" t="s">
        <v>516</v>
      </c>
      <c r="AG4" s="305">
        <v>55697250</v>
      </c>
      <c r="AH4" s="305">
        <v>0</v>
      </c>
      <c r="AI4" s="305">
        <v>0</v>
      </c>
      <c r="AJ4" s="305">
        <v>55697250</v>
      </c>
      <c r="AK4" s="319">
        <v>9654190</v>
      </c>
      <c r="AL4" s="305">
        <v>55697250</v>
      </c>
      <c r="AM4" s="303">
        <v>5000718988</v>
      </c>
      <c r="AN4" s="303">
        <v>1</v>
      </c>
      <c r="AO4" s="303">
        <v>590899</v>
      </c>
      <c r="AP4" s="303">
        <v>1</v>
      </c>
      <c r="AQ4" s="304">
        <v>45506</v>
      </c>
      <c r="AR4" s="306">
        <v>8198</v>
      </c>
      <c r="AS4" s="307">
        <v>11139450</v>
      </c>
      <c r="AT4" s="308">
        <v>45509</v>
      </c>
      <c r="AU4" s="308">
        <v>45657</v>
      </c>
      <c r="AV4" s="309" t="s">
        <v>504</v>
      </c>
      <c r="AW4" s="310">
        <f>+AS4/30*26</f>
        <v>9654190</v>
      </c>
      <c r="AX4" s="319">
        <v>9654190</v>
      </c>
      <c r="AY4" s="310">
        <f t="shared" ref="AY4:AY29" si="2">+AS4</f>
        <v>11139450</v>
      </c>
      <c r="AZ4" s="310"/>
      <c r="BA4" s="310">
        <f t="shared" ref="BA4:BA29" si="3">+AS4</f>
        <v>11139450</v>
      </c>
      <c r="BB4" s="310"/>
      <c r="BC4" s="310">
        <f t="shared" ref="BC4:BC29" si="4">+AS4</f>
        <v>11139450</v>
      </c>
      <c r="BD4" s="310"/>
      <c r="BE4" s="310">
        <v>11139450</v>
      </c>
      <c r="BF4" s="311"/>
      <c r="BG4" s="312">
        <f>+AS4/30*4</f>
        <v>1485260</v>
      </c>
      <c r="BH4" s="313">
        <f t="shared" si="1"/>
        <v>0</v>
      </c>
      <c r="BI4" s="305"/>
      <c r="BJ4" s="315">
        <f>+AG4</f>
        <v>55697250</v>
      </c>
      <c r="BK4" s="314">
        <v>0</v>
      </c>
      <c r="BL4" s="314">
        <v>0</v>
      </c>
      <c r="BM4" s="314">
        <v>0</v>
      </c>
      <c r="BN4" s="314">
        <v>0</v>
      </c>
      <c r="BP4" s="316">
        <f t="shared" si="0"/>
        <v>0</v>
      </c>
      <c r="BR4" s="318">
        <f>+AX4</f>
        <v>9654190</v>
      </c>
      <c r="BS4" s="318">
        <v>0</v>
      </c>
      <c r="BT4" s="318">
        <v>0</v>
      </c>
      <c r="BU4" s="318">
        <v>0</v>
      </c>
      <c r="BV4" s="318">
        <v>0</v>
      </c>
      <c r="BW4" s="318"/>
    </row>
    <row r="5" spans="1:75" s="303" customFormat="1" x14ac:dyDescent="0.25">
      <c r="A5" s="303">
        <v>2024</v>
      </c>
      <c r="B5" s="303">
        <v>8</v>
      </c>
      <c r="C5" s="304">
        <v>45292</v>
      </c>
      <c r="D5" s="304">
        <v>45535</v>
      </c>
      <c r="E5" s="303" t="s">
        <v>481</v>
      </c>
      <c r="F5" s="304">
        <v>45506</v>
      </c>
      <c r="G5" s="303" t="s">
        <v>505</v>
      </c>
      <c r="H5" s="303" t="s">
        <v>506</v>
      </c>
      <c r="I5" s="303">
        <v>1277</v>
      </c>
      <c r="J5" s="304">
        <v>45506</v>
      </c>
      <c r="K5" s="304">
        <v>45657</v>
      </c>
      <c r="L5" s="303" t="s">
        <v>507</v>
      </c>
      <c r="M5" s="303" t="s">
        <v>486</v>
      </c>
      <c r="N5" s="303" t="s">
        <v>487</v>
      </c>
      <c r="O5" s="303">
        <v>1414</v>
      </c>
      <c r="P5" s="303">
        <v>1385</v>
      </c>
      <c r="Q5" s="303" t="s">
        <v>517</v>
      </c>
      <c r="R5" s="303" t="s">
        <v>489</v>
      </c>
      <c r="S5" s="303" t="s">
        <v>490</v>
      </c>
      <c r="T5" s="303" t="s">
        <v>491</v>
      </c>
      <c r="U5" s="303" t="s">
        <v>492</v>
      </c>
      <c r="V5" s="303" t="s">
        <v>518</v>
      </c>
      <c r="W5" s="303" t="s">
        <v>519</v>
      </c>
      <c r="X5" s="303" t="s">
        <v>495</v>
      </c>
      <c r="Y5" s="303" t="s">
        <v>496</v>
      </c>
      <c r="Z5" s="303" t="s">
        <v>497</v>
      </c>
      <c r="AA5" s="303" t="s">
        <v>511</v>
      </c>
      <c r="AB5" s="303" t="s">
        <v>512</v>
      </c>
      <c r="AC5" s="303" t="s">
        <v>520</v>
      </c>
      <c r="AD5" s="303" t="s">
        <v>514</v>
      </c>
      <c r="AE5" s="303" t="s">
        <v>521</v>
      </c>
      <c r="AF5" s="303" t="s">
        <v>522</v>
      </c>
      <c r="AG5" s="305">
        <v>48925000</v>
      </c>
      <c r="AH5" s="305">
        <v>0</v>
      </c>
      <c r="AI5" s="305">
        <v>0</v>
      </c>
      <c r="AJ5" s="305">
        <v>48925000</v>
      </c>
      <c r="AK5" s="319">
        <v>8480333</v>
      </c>
      <c r="AL5" s="305">
        <v>48925000</v>
      </c>
      <c r="AM5" s="303">
        <v>5000718992</v>
      </c>
      <c r="AN5" s="303">
        <v>1</v>
      </c>
      <c r="AO5" s="303">
        <v>590274</v>
      </c>
      <c r="AP5" s="303">
        <v>1</v>
      </c>
      <c r="AQ5" s="304">
        <v>45506</v>
      </c>
      <c r="AR5" s="306">
        <v>8198</v>
      </c>
      <c r="AS5" s="307">
        <v>9785000</v>
      </c>
      <c r="AT5" s="308">
        <v>45509</v>
      </c>
      <c r="AU5" s="308">
        <v>45657</v>
      </c>
      <c r="AV5" s="309" t="s">
        <v>504</v>
      </c>
      <c r="AW5" s="310">
        <f>+AS5/30*26</f>
        <v>8480333.333333334</v>
      </c>
      <c r="AX5" s="319">
        <v>8480333</v>
      </c>
      <c r="AY5" s="310">
        <f t="shared" si="2"/>
        <v>9785000</v>
      </c>
      <c r="AZ5" s="310"/>
      <c r="BA5" s="310">
        <f t="shared" si="3"/>
        <v>9785000</v>
      </c>
      <c r="BB5" s="310"/>
      <c r="BC5" s="310">
        <f t="shared" si="4"/>
        <v>9785000</v>
      </c>
      <c r="BD5" s="310"/>
      <c r="BE5" s="310">
        <f>AS5</f>
        <v>9785000</v>
      </c>
      <c r="BF5" s="311"/>
      <c r="BG5" s="312">
        <f>+AS5/30*4</f>
        <v>1304666.6666666667</v>
      </c>
      <c r="BH5" s="313">
        <f t="shared" si="1"/>
        <v>0</v>
      </c>
      <c r="BI5" s="305"/>
      <c r="BJ5" s="314">
        <v>0</v>
      </c>
      <c r="BK5" s="314">
        <v>0</v>
      </c>
      <c r="BL5" s="315">
        <f>+AG5</f>
        <v>48925000</v>
      </c>
      <c r="BM5" s="314">
        <v>0</v>
      </c>
      <c r="BN5" s="314">
        <v>0</v>
      </c>
      <c r="BP5" s="316">
        <f t="shared" si="0"/>
        <v>0</v>
      </c>
      <c r="BR5" s="318">
        <v>0</v>
      </c>
      <c r="BS5" s="318">
        <v>0</v>
      </c>
      <c r="BT5" s="318">
        <f>+AX5</f>
        <v>8480333</v>
      </c>
      <c r="BU5" s="318">
        <v>0</v>
      </c>
      <c r="BV5" s="318">
        <v>0</v>
      </c>
      <c r="BW5" s="318"/>
    </row>
    <row r="6" spans="1:75" s="303" customFormat="1" x14ac:dyDescent="0.25">
      <c r="A6" s="303">
        <v>2024</v>
      </c>
      <c r="B6" s="303">
        <v>8</v>
      </c>
      <c r="C6" s="304">
        <v>45292</v>
      </c>
      <c r="D6" s="304">
        <v>45535</v>
      </c>
      <c r="E6" s="303" t="s">
        <v>481</v>
      </c>
      <c r="F6" s="304">
        <v>45512</v>
      </c>
      <c r="G6" s="303" t="s">
        <v>505</v>
      </c>
      <c r="H6" s="303" t="s">
        <v>506</v>
      </c>
      <c r="I6" s="303" t="s">
        <v>523</v>
      </c>
      <c r="J6" s="304">
        <v>45513</v>
      </c>
      <c r="K6" s="304">
        <v>45657</v>
      </c>
      <c r="L6" s="303" t="s">
        <v>524</v>
      </c>
      <c r="M6" s="303" t="s">
        <v>486</v>
      </c>
      <c r="N6" s="303" t="s">
        <v>487</v>
      </c>
      <c r="O6" s="303">
        <v>1527</v>
      </c>
      <c r="P6" s="303">
        <v>1604</v>
      </c>
      <c r="Q6" s="303" t="s">
        <v>525</v>
      </c>
      <c r="R6" s="303" t="s">
        <v>489</v>
      </c>
      <c r="S6" s="303" t="s">
        <v>490</v>
      </c>
      <c r="T6" s="303" t="s">
        <v>491</v>
      </c>
      <c r="U6" s="303" t="s">
        <v>492</v>
      </c>
      <c r="V6" s="303" t="s">
        <v>509</v>
      </c>
      <c r="W6" s="303" t="s">
        <v>510</v>
      </c>
      <c r="X6" s="303" t="s">
        <v>495</v>
      </c>
      <c r="Y6" s="303" t="s">
        <v>496</v>
      </c>
      <c r="Z6" s="303" t="s">
        <v>497</v>
      </c>
      <c r="AA6" s="303" t="s">
        <v>511</v>
      </c>
      <c r="AB6" s="303" t="s">
        <v>512</v>
      </c>
      <c r="AC6" s="303" t="s">
        <v>526</v>
      </c>
      <c r="AD6" s="303" t="s">
        <v>514</v>
      </c>
      <c r="AE6" s="303" t="s">
        <v>527</v>
      </c>
      <c r="AF6" s="303" t="s">
        <v>528</v>
      </c>
      <c r="AG6" s="305">
        <v>36050000</v>
      </c>
      <c r="AH6" s="305">
        <v>0</v>
      </c>
      <c r="AI6" s="305">
        <v>0</v>
      </c>
      <c r="AJ6" s="305">
        <v>36050000</v>
      </c>
      <c r="AK6" s="319">
        <v>5287333</v>
      </c>
      <c r="AL6" s="305">
        <v>36050000</v>
      </c>
      <c r="AM6" s="303">
        <v>5000721495</v>
      </c>
      <c r="AN6" s="303">
        <v>1</v>
      </c>
      <c r="AO6" s="303">
        <v>590905</v>
      </c>
      <c r="AP6" s="303">
        <v>1</v>
      </c>
      <c r="AQ6" s="304">
        <v>45512</v>
      </c>
      <c r="AR6" s="306">
        <v>8198</v>
      </c>
      <c r="AS6" s="307">
        <v>7210000</v>
      </c>
      <c r="AT6" s="308">
        <v>45513</v>
      </c>
      <c r="AU6" s="308">
        <v>45657</v>
      </c>
      <c r="AV6" s="309" t="s">
        <v>504</v>
      </c>
      <c r="AW6" s="310">
        <f>+AS6/30*22</f>
        <v>5287333.333333334</v>
      </c>
      <c r="AX6" s="319">
        <v>5287333</v>
      </c>
      <c r="AY6" s="310">
        <f t="shared" si="2"/>
        <v>7210000</v>
      </c>
      <c r="AZ6" s="310"/>
      <c r="BA6" s="310">
        <f t="shared" si="3"/>
        <v>7210000</v>
      </c>
      <c r="BB6" s="310"/>
      <c r="BC6" s="310">
        <f t="shared" si="4"/>
        <v>7210000</v>
      </c>
      <c r="BD6" s="310"/>
      <c r="BE6" s="310">
        <f>AS6</f>
        <v>7210000</v>
      </c>
      <c r="BF6" s="311"/>
      <c r="BG6" s="312">
        <f>+AS6/30*8</f>
        <v>1922666.6666666667</v>
      </c>
      <c r="BH6" s="313">
        <f t="shared" si="1"/>
        <v>0</v>
      </c>
      <c r="BI6" s="305"/>
      <c r="BJ6" s="314">
        <v>0</v>
      </c>
      <c r="BK6" s="314">
        <v>0</v>
      </c>
      <c r="BL6" s="315">
        <f>+AG6</f>
        <v>36050000</v>
      </c>
      <c r="BM6" s="314">
        <v>0</v>
      </c>
      <c r="BN6" s="314">
        <v>0</v>
      </c>
      <c r="BP6" s="316">
        <f t="shared" si="0"/>
        <v>0</v>
      </c>
      <c r="BR6" s="318">
        <v>0</v>
      </c>
      <c r="BS6" s="318">
        <v>0</v>
      </c>
      <c r="BT6" s="318">
        <f>+AX6</f>
        <v>5287333</v>
      </c>
      <c r="BU6" s="318">
        <v>0</v>
      </c>
      <c r="BV6" s="318">
        <v>0</v>
      </c>
      <c r="BW6" s="318"/>
    </row>
    <row r="7" spans="1:75" s="303" customFormat="1" x14ac:dyDescent="0.25">
      <c r="A7" s="303">
        <v>2024</v>
      </c>
      <c r="B7" s="303">
        <v>8</v>
      </c>
      <c r="C7" s="304">
        <v>45292</v>
      </c>
      <c r="D7" s="304">
        <v>45535</v>
      </c>
      <c r="E7" s="303" t="s">
        <v>481</v>
      </c>
      <c r="F7" s="304">
        <v>45512</v>
      </c>
      <c r="G7" s="303" t="s">
        <v>505</v>
      </c>
      <c r="H7" s="303" t="s">
        <v>506</v>
      </c>
      <c r="I7" s="303" t="s">
        <v>529</v>
      </c>
      <c r="J7" s="304">
        <v>45513</v>
      </c>
      <c r="K7" s="304">
        <v>45657</v>
      </c>
      <c r="L7" s="303" t="s">
        <v>524</v>
      </c>
      <c r="M7" s="303" t="s">
        <v>486</v>
      </c>
      <c r="N7" s="303" t="s">
        <v>487</v>
      </c>
      <c r="O7" s="303">
        <v>1540</v>
      </c>
      <c r="P7" s="303">
        <v>1599</v>
      </c>
      <c r="Q7" s="303" t="s">
        <v>530</v>
      </c>
      <c r="R7" s="303" t="s">
        <v>489</v>
      </c>
      <c r="S7" s="303" t="s">
        <v>490</v>
      </c>
      <c r="T7" s="303" t="s">
        <v>491</v>
      </c>
      <c r="U7" s="303" t="s">
        <v>492</v>
      </c>
      <c r="V7" s="303" t="s">
        <v>509</v>
      </c>
      <c r="W7" s="303" t="s">
        <v>510</v>
      </c>
      <c r="X7" s="303" t="s">
        <v>495</v>
      </c>
      <c r="Y7" s="303" t="s">
        <v>496</v>
      </c>
      <c r="Z7" s="303" t="s">
        <v>497</v>
      </c>
      <c r="AA7" s="303" t="s">
        <v>511</v>
      </c>
      <c r="AB7" s="303" t="s">
        <v>512</v>
      </c>
      <c r="AC7" s="303" t="s">
        <v>531</v>
      </c>
      <c r="AD7" s="303" t="s">
        <v>514</v>
      </c>
      <c r="AE7" s="303" t="s">
        <v>532</v>
      </c>
      <c r="AF7" s="303" t="s">
        <v>533</v>
      </c>
      <c r="AG7" s="305">
        <v>36050000</v>
      </c>
      <c r="AH7" s="305">
        <v>0</v>
      </c>
      <c r="AI7" s="305">
        <v>0</v>
      </c>
      <c r="AJ7" s="305">
        <v>36050000</v>
      </c>
      <c r="AK7" s="319">
        <v>5287333</v>
      </c>
      <c r="AL7" s="305">
        <v>36050000</v>
      </c>
      <c r="AM7" s="303">
        <v>5000721470</v>
      </c>
      <c r="AN7" s="303">
        <v>1</v>
      </c>
      <c r="AO7" s="303">
        <v>590956</v>
      </c>
      <c r="AP7" s="303">
        <v>1</v>
      </c>
      <c r="AQ7" s="304">
        <v>45512</v>
      </c>
      <c r="AR7" s="306">
        <v>8198</v>
      </c>
      <c r="AS7" s="307">
        <v>7210000</v>
      </c>
      <c r="AT7" s="308">
        <v>45513</v>
      </c>
      <c r="AU7" s="308">
        <v>45657</v>
      </c>
      <c r="AV7" s="309" t="s">
        <v>504</v>
      </c>
      <c r="AW7" s="310">
        <f>+AS7/30*22</f>
        <v>5287333.333333334</v>
      </c>
      <c r="AX7" s="319">
        <v>5287333</v>
      </c>
      <c r="AY7" s="310">
        <f t="shared" si="2"/>
        <v>7210000</v>
      </c>
      <c r="AZ7" s="310"/>
      <c r="BA7" s="310">
        <f t="shared" si="3"/>
        <v>7210000</v>
      </c>
      <c r="BB7" s="310"/>
      <c r="BC7" s="310">
        <f t="shared" si="4"/>
        <v>7210000</v>
      </c>
      <c r="BD7" s="310"/>
      <c r="BE7" s="310">
        <f>AS7</f>
        <v>7210000</v>
      </c>
      <c r="BF7" s="311"/>
      <c r="BG7" s="312">
        <f>+AS7/30*8</f>
        <v>1922666.6666666667</v>
      </c>
      <c r="BH7" s="313">
        <f t="shared" si="1"/>
        <v>0</v>
      </c>
      <c r="BI7" s="305"/>
      <c r="BJ7" s="314">
        <v>0</v>
      </c>
      <c r="BK7" s="314">
        <v>0</v>
      </c>
      <c r="BL7" s="314">
        <v>0</v>
      </c>
      <c r="BM7" s="315">
        <f>+AG7</f>
        <v>36050000</v>
      </c>
      <c r="BN7" s="314">
        <v>0</v>
      </c>
      <c r="BP7" s="316">
        <f t="shared" si="0"/>
        <v>0</v>
      </c>
      <c r="BR7" s="318">
        <v>0</v>
      </c>
      <c r="BS7" s="318">
        <v>0</v>
      </c>
      <c r="BT7" s="318">
        <v>0</v>
      </c>
      <c r="BU7" s="318">
        <f>+AX7</f>
        <v>5287333</v>
      </c>
      <c r="BV7" s="318">
        <v>0</v>
      </c>
      <c r="BW7" s="318"/>
    </row>
    <row r="8" spans="1:75" s="303" customFormat="1" x14ac:dyDescent="0.25">
      <c r="A8" s="303">
        <v>2024</v>
      </c>
      <c r="B8" s="303">
        <v>8</v>
      </c>
      <c r="C8" s="304">
        <v>45292</v>
      </c>
      <c r="D8" s="304">
        <v>45535</v>
      </c>
      <c r="E8" s="303" t="s">
        <v>481</v>
      </c>
      <c r="F8" s="304">
        <v>45509</v>
      </c>
      <c r="G8" s="303" t="s">
        <v>505</v>
      </c>
      <c r="H8" s="303" t="s">
        <v>506</v>
      </c>
      <c r="I8" s="303">
        <v>1328</v>
      </c>
      <c r="J8" s="304">
        <v>45509</v>
      </c>
      <c r="K8" s="304">
        <v>45636</v>
      </c>
      <c r="L8" s="303" t="s">
        <v>534</v>
      </c>
      <c r="M8" s="303" t="s">
        <v>486</v>
      </c>
      <c r="N8" s="303" t="s">
        <v>487</v>
      </c>
      <c r="O8" s="303">
        <v>1542</v>
      </c>
      <c r="P8" s="303">
        <v>1527</v>
      </c>
      <c r="Q8" s="303" t="s">
        <v>535</v>
      </c>
      <c r="R8" s="303" t="s">
        <v>489</v>
      </c>
      <c r="S8" s="303" t="s">
        <v>490</v>
      </c>
      <c r="T8" s="303" t="s">
        <v>491</v>
      </c>
      <c r="U8" s="303" t="s">
        <v>492</v>
      </c>
      <c r="V8" s="303" t="s">
        <v>509</v>
      </c>
      <c r="W8" s="303" t="s">
        <v>510</v>
      </c>
      <c r="X8" s="303" t="s">
        <v>495</v>
      </c>
      <c r="Y8" s="303" t="s">
        <v>496</v>
      </c>
      <c r="Z8" s="303" t="s">
        <v>497</v>
      </c>
      <c r="AA8" s="303" t="s">
        <v>511</v>
      </c>
      <c r="AB8" s="303" t="s">
        <v>512</v>
      </c>
      <c r="AC8" s="303" t="s">
        <v>536</v>
      </c>
      <c r="AD8" s="303" t="s">
        <v>514</v>
      </c>
      <c r="AE8" s="303" t="s">
        <v>537</v>
      </c>
      <c r="AF8" s="303" t="s">
        <v>538</v>
      </c>
      <c r="AG8" s="305">
        <v>27586000</v>
      </c>
      <c r="AH8" s="305">
        <v>0</v>
      </c>
      <c r="AI8" s="305">
        <v>0</v>
      </c>
      <c r="AJ8" s="305">
        <v>27586000</v>
      </c>
      <c r="AK8" s="319">
        <v>4031800</v>
      </c>
      <c r="AL8" s="305">
        <v>27586000</v>
      </c>
      <c r="AM8" s="303">
        <v>5000720509</v>
      </c>
      <c r="AN8" s="303">
        <v>1</v>
      </c>
      <c r="AO8" s="303">
        <v>590961</v>
      </c>
      <c r="AP8" s="303">
        <v>1</v>
      </c>
      <c r="AQ8" s="304">
        <v>45509</v>
      </c>
      <c r="AR8" s="306">
        <v>8198</v>
      </c>
      <c r="AS8" s="307">
        <v>6366000</v>
      </c>
      <c r="AT8" s="308">
        <v>45516</v>
      </c>
      <c r="AU8" s="308">
        <v>45647</v>
      </c>
      <c r="AV8" s="309" t="s">
        <v>504</v>
      </c>
      <c r="AW8" s="310">
        <f>+AS8/30*19</f>
        <v>4031800</v>
      </c>
      <c r="AX8" s="319">
        <v>4031800</v>
      </c>
      <c r="AY8" s="310">
        <f t="shared" si="2"/>
        <v>6366000</v>
      </c>
      <c r="AZ8" s="310"/>
      <c r="BA8" s="310">
        <f t="shared" si="3"/>
        <v>6366000</v>
      </c>
      <c r="BB8" s="310"/>
      <c r="BC8" s="310">
        <f t="shared" si="4"/>
        <v>6366000</v>
      </c>
      <c r="BD8" s="310"/>
      <c r="BE8" s="310">
        <f>AS8/30*21</f>
        <v>4456200</v>
      </c>
      <c r="BF8" s="311"/>
      <c r="BG8" s="312">
        <v>0</v>
      </c>
      <c r="BH8" s="313">
        <f t="shared" si="1"/>
        <v>0</v>
      </c>
      <c r="BI8" s="305"/>
      <c r="BJ8" s="314">
        <v>0</v>
      </c>
      <c r="BK8" s="314">
        <v>0</v>
      </c>
      <c r="BL8" s="314">
        <v>0</v>
      </c>
      <c r="BM8" s="314">
        <v>0</v>
      </c>
      <c r="BN8" s="315">
        <f>+AG8</f>
        <v>27586000</v>
      </c>
      <c r="BP8" s="316">
        <f t="shared" si="0"/>
        <v>0</v>
      </c>
      <c r="BR8" s="318">
        <v>0</v>
      </c>
      <c r="BS8" s="318">
        <v>0</v>
      </c>
      <c r="BT8" s="318">
        <v>0</v>
      </c>
      <c r="BU8" s="318">
        <v>0</v>
      </c>
      <c r="BV8" s="318">
        <f>+AX8</f>
        <v>4031800</v>
      </c>
      <c r="BW8" s="318"/>
    </row>
    <row r="9" spans="1:75" s="303" customFormat="1" x14ac:dyDescent="0.25">
      <c r="A9" s="303">
        <v>2024</v>
      </c>
      <c r="B9" s="303">
        <v>8</v>
      </c>
      <c r="C9" s="304">
        <v>45292</v>
      </c>
      <c r="D9" s="304">
        <v>45535</v>
      </c>
      <c r="E9" s="303" t="s">
        <v>481</v>
      </c>
      <c r="F9" s="304">
        <v>45509</v>
      </c>
      <c r="G9" s="303" t="s">
        <v>505</v>
      </c>
      <c r="H9" s="303" t="s">
        <v>506</v>
      </c>
      <c r="I9" s="303" t="s">
        <v>539</v>
      </c>
      <c r="J9" s="304">
        <v>45509</v>
      </c>
      <c r="K9" s="304">
        <v>45657</v>
      </c>
      <c r="L9" s="303" t="s">
        <v>540</v>
      </c>
      <c r="M9" s="303" t="s">
        <v>486</v>
      </c>
      <c r="N9" s="303" t="s">
        <v>487</v>
      </c>
      <c r="O9" s="303">
        <v>1546</v>
      </c>
      <c r="P9" s="303">
        <v>1529</v>
      </c>
      <c r="Q9" s="303" t="s">
        <v>541</v>
      </c>
      <c r="R9" s="303" t="s">
        <v>489</v>
      </c>
      <c r="S9" s="303" t="s">
        <v>490</v>
      </c>
      <c r="T9" s="303" t="s">
        <v>491</v>
      </c>
      <c r="U9" s="303" t="s">
        <v>492</v>
      </c>
      <c r="V9" s="303" t="s">
        <v>509</v>
      </c>
      <c r="W9" s="303" t="s">
        <v>510</v>
      </c>
      <c r="X9" s="303" t="s">
        <v>495</v>
      </c>
      <c r="Y9" s="303" t="s">
        <v>496</v>
      </c>
      <c r="Z9" s="303" t="s">
        <v>497</v>
      </c>
      <c r="AA9" s="303" t="s">
        <v>511</v>
      </c>
      <c r="AB9" s="303" t="s">
        <v>512</v>
      </c>
      <c r="AC9" s="303" t="s">
        <v>542</v>
      </c>
      <c r="AD9" s="303" t="s">
        <v>514</v>
      </c>
      <c r="AE9" s="303" t="s">
        <v>543</v>
      </c>
      <c r="AF9" s="303" t="s">
        <v>544</v>
      </c>
      <c r="AG9" s="305">
        <v>36050000</v>
      </c>
      <c r="AH9" s="305">
        <v>0</v>
      </c>
      <c r="AI9" s="305">
        <v>0</v>
      </c>
      <c r="AJ9" s="305">
        <v>36050000</v>
      </c>
      <c r="AK9" s="319">
        <v>5527667</v>
      </c>
      <c r="AL9" s="305">
        <v>36050000</v>
      </c>
      <c r="AM9" s="303">
        <v>5000720544</v>
      </c>
      <c r="AN9" s="303">
        <v>1</v>
      </c>
      <c r="AO9" s="303">
        <v>590971</v>
      </c>
      <c r="AP9" s="303">
        <v>1</v>
      </c>
      <c r="AQ9" s="304">
        <v>45509</v>
      </c>
      <c r="AR9" s="306">
        <v>8198</v>
      </c>
      <c r="AS9" s="307">
        <v>7210000</v>
      </c>
      <c r="AT9" s="308">
        <v>45512</v>
      </c>
      <c r="AU9" s="308">
        <v>45657</v>
      </c>
      <c r="AV9" s="309" t="s">
        <v>504</v>
      </c>
      <c r="AW9" s="310">
        <f>+AS9/30*23</f>
        <v>5527666.666666667</v>
      </c>
      <c r="AX9" s="319">
        <v>5527667</v>
      </c>
      <c r="AY9" s="310">
        <f t="shared" si="2"/>
        <v>7210000</v>
      </c>
      <c r="AZ9" s="310"/>
      <c r="BA9" s="310">
        <f t="shared" si="3"/>
        <v>7210000</v>
      </c>
      <c r="BB9" s="310"/>
      <c r="BC9" s="310">
        <f t="shared" si="4"/>
        <v>7210000</v>
      </c>
      <c r="BD9" s="310"/>
      <c r="BE9" s="310">
        <f>AS9</f>
        <v>7210000</v>
      </c>
      <c r="BF9" s="311"/>
      <c r="BG9" s="312">
        <f>+AS9/30*7</f>
        <v>1682333.3333333335</v>
      </c>
      <c r="BH9" s="313">
        <f t="shared" si="1"/>
        <v>0</v>
      </c>
      <c r="BI9" s="305"/>
      <c r="BJ9" s="314">
        <v>0</v>
      </c>
      <c r="BK9" s="314">
        <v>0</v>
      </c>
      <c r="BL9" s="315">
        <f>+AG9</f>
        <v>36050000</v>
      </c>
      <c r="BM9" s="314">
        <v>0</v>
      </c>
      <c r="BN9" s="314">
        <v>0</v>
      </c>
      <c r="BP9" s="316">
        <f t="shared" si="0"/>
        <v>0</v>
      </c>
      <c r="BR9" s="318">
        <v>0</v>
      </c>
      <c r="BS9" s="318">
        <v>0</v>
      </c>
      <c r="BT9" s="318">
        <f>+AX9</f>
        <v>5527667</v>
      </c>
      <c r="BU9" s="318">
        <v>0</v>
      </c>
      <c r="BV9" s="318">
        <v>0</v>
      </c>
      <c r="BW9" s="318"/>
    </row>
    <row r="10" spans="1:75" s="303" customFormat="1" x14ac:dyDescent="0.25">
      <c r="A10" s="303">
        <v>2024</v>
      </c>
      <c r="B10" s="303">
        <v>8</v>
      </c>
      <c r="C10" s="304">
        <v>45292</v>
      </c>
      <c r="D10" s="304">
        <v>45535</v>
      </c>
      <c r="E10" s="303" t="s">
        <v>481</v>
      </c>
      <c r="F10" s="304">
        <v>45509</v>
      </c>
      <c r="G10" s="303" t="s">
        <v>505</v>
      </c>
      <c r="H10" s="303" t="s">
        <v>506</v>
      </c>
      <c r="I10" s="303" t="s">
        <v>545</v>
      </c>
      <c r="J10" s="304">
        <v>45509</v>
      </c>
      <c r="K10" s="304">
        <v>45657</v>
      </c>
      <c r="L10" s="303" t="s">
        <v>540</v>
      </c>
      <c r="M10" s="303" t="s">
        <v>486</v>
      </c>
      <c r="N10" s="303" t="s">
        <v>487</v>
      </c>
      <c r="O10" s="303">
        <v>1548</v>
      </c>
      <c r="P10" s="303">
        <v>1532</v>
      </c>
      <c r="Q10" s="303" t="s">
        <v>546</v>
      </c>
      <c r="R10" s="303" t="s">
        <v>489</v>
      </c>
      <c r="S10" s="303" t="s">
        <v>490</v>
      </c>
      <c r="T10" s="303" t="s">
        <v>491</v>
      </c>
      <c r="U10" s="303" t="s">
        <v>492</v>
      </c>
      <c r="V10" s="303" t="s">
        <v>509</v>
      </c>
      <c r="W10" s="303" t="s">
        <v>510</v>
      </c>
      <c r="X10" s="303" t="s">
        <v>495</v>
      </c>
      <c r="Y10" s="303" t="s">
        <v>496</v>
      </c>
      <c r="Z10" s="303" t="s">
        <v>497</v>
      </c>
      <c r="AA10" s="303" t="s">
        <v>511</v>
      </c>
      <c r="AB10" s="303" t="s">
        <v>512</v>
      </c>
      <c r="AC10" s="303" t="s">
        <v>547</v>
      </c>
      <c r="AD10" s="303" t="s">
        <v>514</v>
      </c>
      <c r="AE10" s="303" t="s">
        <v>548</v>
      </c>
      <c r="AF10" s="303" t="s">
        <v>549</v>
      </c>
      <c r="AG10" s="305">
        <v>17333333</v>
      </c>
      <c r="AH10" s="305">
        <v>0</v>
      </c>
      <c r="AI10" s="305">
        <v>0</v>
      </c>
      <c r="AJ10" s="305">
        <v>17333333</v>
      </c>
      <c r="AK10" s="319">
        <v>3066667</v>
      </c>
      <c r="AL10" s="305">
        <v>17333333</v>
      </c>
      <c r="AM10" s="303">
        <v>5000720566</v>
      </c>
      <c r="AN10" s="303">
        <v>1</v>
      </c>
      <c r="AO10" s="303">
        <v>590977</v>
      </c>
      <c r="AP10" s="303">
        <v>1</v>
      </c>
      <c r="AQ10" s="304">
        <v>45509</v>
      </c>
      <c r="AR10" s="306">
        <v>8198</v>
      </c>
      <c r="AS10" s="307">
        <v>4000000</v>
      </c>
      <c r="AT10" s="308">
        <v>45512</v>
      </c>
      <c r="AU10" s="308">
        <v>45643</v>
      </c>
      <c r="AV10" s="309" t="s">
        <v>504</v>
      </c>
      <c r="AW10" s="310">
        <f>+AS10/30*23</f>
        <v>3066666.666666667</v>
      </c>
      <c r="AX10" s="319">
        <v>3066667</v>
      </c>
      <c r="AY10" s="310">
        <f t="shared" si="2"/>
        <v>4000000</v>
      </c>
      <c r="AZ10" s="310"/>
      <c r="BA10" s="310">
        <f t="shared" si="3"/>
        <v>4000000</v>
      </c>
      <c r="BB10" s="310"/>
      <c r="BC10" s="310">
        <f t="shared" si="4"/>
        <v>4000000</v>
      </c>
      <c r="BD10" s="310"/>
      <c r="BE10" s="310">
        <f>AS10/30*17</f>
        <v>2266666.666666667</v>
      </c>
      <c r="BF10" s="311"/>
      <c r="BG10" s="312">
        <v>0</v>
      </c>
      <c r="BH10" s="313">
        <f t="shared" si="1"/>
        <v>-0.3333333358168602</v>
      </c>
      <c r="BI10" s="305"/>
      <c r="BJ10" s="314">
        <v>0</v>
      </c>
      <c r="BK10" s="314">
        <v>0</v>
      </c>
      <c r="BL10" s="314">
        <v>0</v>
      </c>
      <c r="BM10" s="314">
        <v>0</v>
      </c>
      <c r="BN10" s="315">
        <f>+AG10</f>
        <v>17333333</v>
      </c>
      <c r="BP10" s="316">
        <f t="shared" si="0"/>
        <v>0</v>
      </c>
      <c r="BR10" s="318">
        <v>0</v>
      </c>
      <c r="BS10" s="318">
        <v>0</v>
      </c>
      <c r="BT10" s="318">
        <v>0</v>
      </c>
      <c r="BU10" s="318">
        <v>0</v>
      </c>
      <c r="BV10" s="318">
        <f>+AX10</f>
        <v>3066667</v>
      </c>
      <c r="BW10" s="318"/>
    </row>
    <row r="11" spans="1:75" s="303" customFormat="1" x14ac:dyDescent="0.25">
      <c r="A11" s="303">
        <v>2024</v>
      </c>
      <c r="B11" s="303">
        <v>8</v>
      </c>
      <c r="C11" s="304">
        <v>45292</v>
      </c>
      <c r="D11" s="304">
        <v>45535</v>
      </c>
      <c r="E11" s="303" t="s">
        <v>481</v>
      </c>
      <c r="F11" s="304">
        <v>45512</v>
      </c>
      <c r="G11" s="303" t="s">
        <v>505</v>
      </c>
      <c r="H11" s="303" t="s">
        <v>506</v>
      </c>
      <c r="I11" s="303">
        <v>1428</v>
      </c>
      <c r="J11" s="304">
        <v>45512</v>
      </c>
      <c r="K11" s="304">
        <v>45657</v>
      </c>
      <c r="L11" s="303" t="s">
        <v>505</v>
      </c>
      <c r="M11" s="303" t="s">
        <v>486</v>
      </c>
      <c r="N11" s="303" t="s">
        <v>487</v>
      </c>
      <c r="O11" s="303">
        <v>1544</v>
      </c>
      <c r="P11" s="303">
        <v>1563</v>
      </c>
      <c r="Q11" s="303" t="s">
        <v>550</v>
      </c>
      <c r="R11" s="303" t="s">
        <v>489</v>
      </c>
      <c r="S11" s="303" t="s">
        <v>490</v>
      </c>
      <c r="T11" s="303" t="s">
        <v>491</v>
      </c>
      <c r="U11" s="303" t="s">
        <v>492</v>
      </c>
      <c r="V11" s="303" t="s">
        <v>509</v>
      </c>
      <c r="W11" s="303" t="s">
        <v>510</v>
      </c>
      <c r="X11" s="303" t="s">
        <v>495</v>
      </c>
      <c r="Y11" s="303" t="s">
        <v>496</v>
      </c>
      <c r="Z11" s="303" t="s">
        <v>497</v>
      </c>
      <c r="AA11" s="303" t="s">
        <v>511</v>
      </c>
      <c r="AB11" s="303" t="s">
        <v>512</v>
      </c>
      <c r="AC11" s="303" t="s">
        <v>551</v>
      </c>
      <c r="AD11" s="303" t="s">
        <v>514</v>
      </c>
      <c r="AE11" s="303" t="s">
        <v>552</v>
      </c>
      <c r="AF11" s="303" t="s">
        <v>553</v>
      </c>
      <c r="AG11" s="305">
        <v>37500000</v>
      </c>
      <c r="AH11" s="305">
        <v>0</v>
      </c>
      <c r="AI11" s="305">
        <v>0</v>
      </c>
      <c r="AJ11" s="305">
        <v>37500000</v>
      </c>
      <c r="AK11" s="319">
        <v>5500000</v>
      </c>
      <c r="AL11" s="305">
        <v>37500000</v>
      </c>
      <c r="AM11" s="303">
        <v>5000721160</v>
      </c>
      <c r="AN11" s="303">
        <v>1</v>
      </c>
      <c r="AO11" s="303">
        <v>590965</v>
      </c>
      <c r="AP11" s="303">
        <v>1</v>
      </c>
      <c r="AQ11" s="304">
        <v>45512</v>
      </c>
      <c r="AR11" s="306">
        <v>8198</v>
      </c>
      <c r="AS11" s="307">
        <v>7500000</v>
      </c>
      <c r="AT11" s="308">
        <v>45513</v>
      </c>
      <c r="AU11" s="308">
        <v>45657</v>
      </c>
      <c r="AV11" s="309" t="s">
        <v>504</v>
      </c>
      <c r="AW11" s="310">
        <f>+AS11/30*22</f>
        <v>5500000</v>
      </c>
      <c r="AX11" s="319">
        <v>5500000</v>
      </c>
      <c r="AY11" s="310">
        <f t="shared" si="2"/>
        <v>7500000</v>
      </c>
      <c r="AZ11" s="310"/>
      <c r="BA11" s="310">
        <f t="shared" si="3"/>
        <v>7500000</v>
      </c>
      <c r="BB11" s="310"/>
      <c r="BC11" s="310">
        <f t="shared" si="4"/>
        <v>7500000</v>
      </c>
      <c r="BD11" s="310"/>
      <c r="BE11" s="310">
        <f>+AS11</f>
        <v>7500000</v>
      </c>
      <c r="BF11" s="311"/>
      <c r="BG11" s="312">
        <f>+AS11/30*8</f>
        <v>2000000</v>
      </c>
      <c r="BH11" s="313">
        <f t="shared" si="1"/>
        <v>0</v>
      </c>
      <c r="BI11" s="305"/>
      <c r="BJ11" s="314">
        <v>0</v>
      </c>
      <c r="BK11" s="314">
        <v>0</v>
      </c>
      <c r="BL11" s="315">
        <f>+AG11</f>
        <v>37500000</v>
      </c>
      <c r="BM11" s="314">
        <v>0</v>
      </c>
      <c r="BN11" s="314">
        <v>0</v>
      </c>
      <c r="BP11" s="316">
        <f t="shared" si="0"/>
        <v>0</v>
      </c>
      <c r="BR11" s="318">
        <v>0</v>
      </c>
      <c r="BS11" s="318">
        <v>0</v>
      </c>
      <c r="BT11" s="318">
        <f>+AX11</f>
        <v>5500000</v>
      </c>
      <c r="BU11" s="318">
        <v>0</v>
      </c>
      <c r="BV11" s="318">
        <v>0</v>
      </c>
      <c r="BW11" s="318"/>
    </row>
    <row r="12" spans="1:75" s="303" customFormat="1" x14ac:dyDescent="0.25">
      <c r="A12" s="303">
        <v>2024</v>
      </c>
      <c r="B12" s="303">
        <v>8</v>
      </c>
      <c r="C12" s="304">
        <v>45292</v>
      </c>
      <c r="D12" s="304">
        <v>45535</v>
      </c>
      <c r="E12" s="303" t="s">
        <v>481</v>
      </c>
      <c r="F12" s="304">
        <v>45519</v>
      </c>
      <c r="G12" s="303" t="s">
        <v>505</v>
      </c>
      <c r="H12" s="303" t="s">
        <v>506</v>
      </c>
      <c r="I12" s="303" t="s">
        <v>554</v>
      </c>
      <c r="J12" s="304">
        <v>45520</v>
      </c>
      <c r="K12" s="304">
        <v>45657</v>
      </c>
      <c r="L12" s="303" t="s">
        <v>555</v>
      </c>
      <c r="M12" s="303" t="s">
        <v>486</v>
      </c>
      <c r="N12" s="303" t="s">
        <v>487</v>
      </c>
      <c r="O12" s="303">
        <v>1551</v>
      </c>
      <c r="P12" s="303">
        <v>1772</v>
      </c>
      <c r="Q12" s="303" t="s">
        <v>556</v>
      </c>
      <c r="R12" s="303" t="s">
        <v>489</v>
      </c>
      <c r="S12" s="303" t="s">
        <v>490</v>
      </c>
      <c r="T12" s="303" t="s">
        <v>491</v>
      </c>
      <c r="U12" s="303" t="s">
        <v>492</v>
      </c>
      <c r="V12" s="303" t="s">
        <v>509</v>
      </c>
      <c r="W12" s="303" t="s">
        <v>510</v>
      </c>
      <c r="X12" s="303" t="s">
        <v>495</v>
      </c>
      <c r="Y12" s="303" t="s">
        <v>496</v>
      </c>
      <c r="Z12" s="303" t="s">
        <v>497</v>
      </c>
      <c r="AA12" s="303" t="s">
        <v>511</v>
      </c>
      <c r="AB12" s="303" t="s">
        <v>512</v>
      </c>
      <c r="AC12" s="303" t="s">
        <v>557</v>
      </c>
      <c r="AD12" s="303" t="s">
        <v>514</v>
      </c>
      <c r="AE12" s="303" t="s">
        <v>558</v>
      </c>
      <c r="AF12" s="303" t="s">
        <v>559</v>
      </c>
      <c r="AG12" s="305">
        <v>21158776</v>
      </c>
      <c r="AH12" s="305">
        <v>0</v>
      </c>
      <c r="AI12" s="305">
        <v>0</v>
      </c>
      <c r="AJ12" s="305">
        <v>21158776</v>
      </c>
      <c r="AK12" s="319">
        <v>1567316</v>
      </c>
      <c r="AL12" s="305">
        <v>21158776</v>
      </c>
      <c r="AM12" s="303">
        <v>5000724814</v>
      </c>
      <c r="AN12" s="303">
        <v>1</v>
      </c>
      <c r="AO12" s="303">
        <v>590985</v>
      </c>
      <c r="AP12" s="303">
        <v>1</v>
      </c>
      <c r="AQ12" s="304">
        <v>45519</v>
      </c>
      <c r="AR12" s="306">
        <v>8198</v>
      </c>
      <c r="AS12" s="307">
        <f>5665000*83%</f>
        <v>4701950</v>
      </c>
      <c r="AT12" s="308">
        <v>45525</v>
      </c>
      <c r="AU12" s="308">
        <v>45657</v>
      </c>
      <c r="AV12" s="309" t="s">
        <v>504</v>
      </c>
      <c r="AW12" s="310">
        <f>AS12/30*10</f>
        <v>1567316.6666666665</v>
      </c>
      <c r="AX12" s="319">
        <v>1567316</v>
      </c>
      <c r="AY12" s="310">
        <f t="shared" si="2"/>
        <v>4701950</v>
      </c>
      <c r="AZ12" s="310"/>
      <c r="BA12" s="310">
        <f t="shared" si="3"/>
        <v>4701950</v>
      </c>
      <c r="BB12" s="310"/>
      <c r="BC12" s="310">
        <f t="shared" si="4"/>
        <v>4701950</v>
      </c>
      <c r="BD12" s="310"/>
      <c r="BE12" s="310">
        <f>+AS12</f>
        <v>4701950</v>
      </c>
      <c r="BF12" s="311"/>
      <c r="BG12" s="312">
        <f>+AS12/30*5</f>
        <v>783658.33333333326</v>
      </c>
      <c r="BH12" s="313">
        <f t="shared" si="1"/>
        <v>1.0000000037252903</v>
      </c>
      <c r="BI12" s="305"/>
      <c r="BJ12" s="314">
        <v>0</v>
      </c>
      <c r="BK12" s="314">
        <v>0</v>
      </c>
      <c r="BL12" s="315">
        <f>+AG12</f>
        <v>21158776</v>
      </c>
      <c r="BM12" s="314">
        <v>0</v>
      </c>
      <c r="BN12" s="314">
        <v>0</v>
      </c>
      <c r="BP12" s="316">
        <f t="shared" si="0"/>
        <v>0</v>
      </c>
      <c r="BR12" s="318">
        <v>0</v>
      </c>
      <c r="BS12" s="318">
        <v>0</v>
      </c>
      <c r="BT12" s="318">
        <f>+AX12</f>
        <v>1567316</v>
      </c>
      <c r="BU12" s="318">
        <v>0</v>
      </c>
      <c r="BV12" s="318">
        <v>0</v>
      </c>
      <c r="BW12" s="318"/>
    </row>
    <row r="13" spans="1:75" s="303" customFormat="1" x14ac:dyDescent="0.25">
      <c r="A13" s="303">
        <v>2024</v>
      </c>
      <c r="B13" s="303">
        <v>8</v>
      </c>
      <c r="C13" s="304">
        <v>45292</v>
      </c>
      <c r="D13" s="304">
        <v>45535</v>
      </c>
      <c r="E13" s="303" t="s">
        <v>481</v>
      </c>
      <c r="F13" s="304">
        <v>45519</v>
      </c>
      <c r="G13" s="303" t="s">
        <v>505</v>
      </c>
      <c r="H13" s="303" t="s">
        <v>506</v>
      </c>
      <c r="I13" s="303" t="s">
        <v>554</v>
      </c>
      <c r="J13" s="304">
        <v>45520</v>
      </c>
      <c r="K13" s="304">
        <v>45657</v>
      </c>
      <c r="L13" s="303" t="s">
        <v>555</v>
      </c>
      <c r="M13" s="303" t="s">
        <v>486</v>
      </c>
      <c r="N13" s="303" t="s">
        <v>487</v>
      </c>
      <c r="O13" s="303">
        <v>1551</v>
      </c>
      <c r="P13" s="303">
        <v>1772</v>
      </c>
      <c r="Q13" s="303" t="s">
        <v>556</v>
      </c>
      <c r="R13" s="303" t="s">
        <v>489</v>
      </c>
      <c r="S13" s="303" t="s">
        <v>490</v>
      </c>
      <c r="T13" s="303" t="s">
        <v>491</v>
      </c>
      <c r="U13" s="303" t="s">
        <v>492</v>
      </c>
      <c r="V13" s="303" t="s">
        <v>509</v>
      </c>
      <c r="W13" s="303" t="s">
        <v>510</v>
      </c>
      <c r="X13" s="303" t="s">
        <v>495</v>
      </c>
      <c r="Y13" s="303" t="s">
        <v>496</v>
      </c>
      <c r="Z13" s="303" t="s">
        <v>497</v>
      </c>
      <c r="AA13" s="303" t="s">
        <v>511</v>
      </c>
      <c r="AB13" s="303" t="s">
        <v>512</v>
      </c>
      <c r="AC13" s="303" t="s">
        <v>557</v>
      </c>
      <c r="AD13" s="303" t="s">
        <v>514</v>
      </c>
      <c r="AE13" s="303" t="s">
        <v>558</v>
      </c>
      <c r="AF13" s="303" t="s">
        <v>559</v>
      </c>
      <c r="AG13" s="305">
        <v>4333724</v>
      </c>
      <c r="AH13" s="305">
        <v>0</v>
      </c>
      <c r="AI13" s="305">
        <v>0</v>
      </c>
      <c r="AJ13" s="305">
        <v>4333724</v>
      </c>
      <c r="AK13" s="319">
        <v>321017</v>
      </c>
      <c r="AL13" s="305">
        <v>4333724</v>
      </c>
      <c r="AM13" s="303">
        <v>5000724814</v>
      </c>
      <c r="AN13" s="303">
        <v>2</v>
      </c>
      <c r="AO13" s="303">
        <v>590985</v>
      </c>
      <c r="AP13" s="303">
        <v>2</v>
      </c>
      <c r="AQ13" s="304">
        <v>45519</v>
      </c>
      <c r="AR13" s="306">
        <v>8198</v>
      </c>
      <c r="AS13" s="307">
        <f>5665000*17%</f>
        <v>963050.00000000012</v>
      </c>
      <c r="AT13" s="308">
        <v>45525</v>
      </c>
      <c r="AU13" s="308">
        <v>45657</v>
      </c>
      <c r="AV13" s="309" t="s">
        <v>504</v>
      </c>
      <c r="AW13" s="310">
        <f>AS13/30*10</f>
        <v>321016.66666666674</v>
      </c>
      <c r="AX13" s="319">
        <v>321017</v>
      </c>
      <c r="AY13" s="310">
        <f t="shared" si="2"/>
        <v>963050.00000000012</v>
      </c>
      <c r="AZ13" s="310"/>
      <c r="BA13" s="310">
        <f t="shared" si="3"/>
        <v>963050.00000000012</v>
      </c>
      <c r="BB13" s="310"/>
      <c r="BC13" s="310">
        <f t="shared" si="4"/>
        <v>963050.00000000012</v>
      </c>
      <c r="BD13" s="310"/>
      <c r="BE13" s="310">
        <f>+AS13</f>
        <v>963050.00000000012</v>
      </c>
      <c r="BF13" s="311"/>
      <c r="BG13" s="312">
        <f>+AS13/30*5</f>
        <v>160508.33333333337</v>
      </c>
      <c r="BH13" s="313">
        <f t="shared" si="1"/>
        <v>-1</v>
      </c>
      <c r="BI13" s="305"/>
      <c r="BJ13" s="314">
        <v>0</v>
      </c>
      <c r="BK13" s="314">
        <v>0</v>
      </c>
      <c r="BL13" s="314">
        <v>0</v>
      </c>
      <c r="BM13" s="315">
        <f>+AG13</f>
        <v>4333724</v>
      </c>
      <c r="BN13" s="314">
        <v>0</v>
      </c>
      <c r="BP13" s="316">
        <f t="shared" si="0"/>
        <v>0</v>
      </c>
      <c r="BR13" s="318">
        <v>0</v>
      </c>
      <c r="BS13" s="318">
        <v>0</v>
      </c>
      <c r="BT13" s="318">
        <v>0</v>
      </c>
      <c r="BU13" s="318">
        <f>+AX13</f>
        <v>321017</v>
      </c>
      <c r="BV13" s="318">
        <v>0</v>
      </c>
      <c r="BW13" s="318"/>
    </row>
    <row r="14" spans="1:75" s="433" customFormat="1" x14ac:dyDescent="0.25">
      <c r="A14" s="433">
        <v>2024</v>
      </c>
      <c r="B14" s="433">
        <v>8</v>
      </c>
      <c r="C14" s="434">
        <v>45292</v>
      </c>
      <c r="D14" s="434">
        <v>45535</v>
      </c>
      <c r="E14" s="433" t="s">
        <v>481</v>
      </c>
      <c r="F14" s="434">
        <v>45524</v>
      </c>
      <c r="G14" s="433" t="s">
        <v>505</v>
      </c>
      <c r="H14" s="433" t="s">
        <v>506</v>
      </c>
      <c r="I14" s="433" t="s">
        <v>560</v>
      </c>
      <c r="J14" s="434">
        <v>45524</v>
      </c>
      <c r="K14" s="434">
        <v>45657</v>
      </c>
      <c r="L14" s="433" t="s">
        <v>561</v>
      </c>
      <c r="M14" s="433" t="s">
        <v>486</v>
      </c>
      <c r="N14" s="433" t="s">
        <v>487</v>
      </c>
      <c r="O14" s="433">
        <v>1566</v>
      </c>
      <c r="P14" s="433">
        <v>1811</v>
      </c>
      <c r="Q14" s="433" t="s">
        <v>562</v>
      </c>
      <c r="R14" s="433" t="s">
        <v>489</v>
      </c>
      <c r="S14" s="433" t="s">
        <v>490</v>
      </c>
      <c r="T14" s="433" t="s">
        <v>491</v>
      </c>
      <c r="U14" s="433" t="s">
        <v>492</v>
      </c>
      <c r="V14" s="433" t="s">
        <v>509</v>
      </c>
      <c r="W14" s="433" t="s">
        <v>510</v>
      </c>
      <c r="X14" s="433" t="s">
        <v>495</v>
      </c>
      <c r="Y14" s="433" t="s">
        <v>496</v>
      </c>
      <c r="Z14" s="433" t="s">
        <v>497</v>
      </c>
      <c r="AA14" s="433" t="s">
        <v>511</v>
      </c>
      <c r="AB14" s="433" t="s">
        <v>512</v>
      </c>
      <c r="AC14" s="433" t="s">
        <v>563</v>
      </c>
      <c r="AD14" s="433" t="s">
        <v>514</v>
      </c>
      <c r="AE14" s="433" t="s">
        <v>564</v>
      </c>
      <c r="AF14" s="433" t="s">
        <v>565</v>
      </c>
      <c r="AG14" s="435">
        <v>15946667</v>
      </c>
      <c r="AH14" s="435">
        <v>0</v>
      </c>
      <c r="AI14" s="435">
        <v>0</v>
      </c>
      <c r="AJ14" s="435">
        <v>15946667</v>
      </c>
      <c r="AK14" s="436">
        <v>981334</v>
      </c>
      <c r="AL14" s="435">
        <v>15946667</v>
      </c>
      <c r="AM14" s="433">
        <v>5000726899</v>
      </c>
      <c r="AN14" s="433">
        <v>1</v>
      </c>
      <c r="AO14" s="433">
        <v>591064</v>
      </c>
      <c r="AP14" s="433">
        <v>1</v>
      </c>
      <c r="AQ14" s="434">
        <v>45524</v>
      </c>
      <c r="AR14" s="437">
        <v>8198</v>
      </c>
      <c r="AS14" s="438">
        <f>4600000*80%</f>
        <v>3680000</v>
      </c>
      <c r="AT14" s="439">
        <v>45527</v>
      </c>
      <c r="AU14" s="439">
        <v>45657</v>
      </c>
      <c r="AV14" s="440" t="s">
        <v>504</v>
      </c>
      <c r="AW14" s="441">
        <f>AS14/30*8</f>
        <v>981333.33333333337</v>
      </c>
      <c r="AX14" s="436">
        <v>981334</v>
      </c>
      <c r="AY14" s="441">
        <f t="shared" si="2"/>
        <v>3680000</v>
      </c>
      <c r="AZ14" s="441"/>
      <c r="BA14" s="441">
        <f t="shared" si="3"/>
        <v>3680000</v>
      </c>
      <c r="BB14" s="441"/>
      <c r="BC14" s="441">
        <f t="shared" si="4"/>
        <v>3680000</v>
      </c>
      <c r="BD14" s="441"/>
      <c r="BE14" s="441">
        <f t="shared" ref="BE14:BE29" si="5">AS14</f>
        <v>3680000</v>
      </c>
      <c r="BF14" s="442"/>
      <c r="BG14" s="443">
        <f>AS14/30*2</f>
        <v>245333.33333333334</v>
      </c>
      <c r="BH14" s="444">
        <f t="shared" si="1"/>
        <v>0.33333333395421505</v>
      </c>
      <c r="BI14" s="435"/>
      <c r="BJ14" s="445">
        <v>0</v>
      </c>
      <c r="BK14" s="445">
        <v>0</v>
      </c>
      <c r="BL14" s="446">
        <f>+AJ14</f>
        <v>15946667</v>
      </c>
      <c r="BM14" s="445">
        <v>0</v>
      </c>
      <c r="BN14" s="445">
        <v>0</v>
      </c>
      <c r="BP14" s="447">
        <f t="shared" si="0"/>
        <v>0</v>
      </c>
      <c r="BR14" s="448">
        <v>0</v>
      </c>
      <c r="BS14" s="448">
        <v>0</v>
      </c>
      <c r="BT14" s="448">
        <f t="shared" ref="BT14" si="6">+AX14</f>
        <v>981334</v>
      </c>
      <c r="BU14" s="448">
        <v>0</v>
      </c>
      <c r="BV14" s="448">
        <v>0</v>
      </c>
      <c r="BW14" s="448"/>
    </row>
    <row r="15" spans="1:75" s="433" customFormat="1" x14ac:dyDescent="0.25">
      <c r="A15" s="433">
        <v>2024</v>
      </c>
      <c r="B15" s="433">
        <v>8</v>
      </c>
      <c r="C15" s="434">
        <v>45292</v>
      </c>
      <c r="D15" s="434">
        <v>45535</v>
      </c>
      <c r="E15" s="433" t="s">
        <v>481</v>
      </c>
      <c r="F15" s="434">
        <v>45524</v>
      </c>
      <c r="G15" s="433" t="s">
        <v>505</v>
      </c>
      <c r="H15" s="433" t="s">
        <v>506</v>
      </c>
      <c r="I15" s="433" t="s">
        <v>560</v>
      </c>
      <c r="J15" s="434">
        <v>45524</v>
      </c>
      <c r="K15" s="434">
        <v>45657</v>
      </c>
      <c r="L15" s="433" t="s">
        <v>561</v>
      </c>
      <c r="M15" s="433" t="s">
        <v>486</v>
      </c>
      <c r="N15" s="433" t="s">
        <v>487</v>
      </c>
      <c r="O15" s="433">
        <v>1566</v>
      </c>
      <c r="P15" s="433">
        <v>1811</v>
      </c>
      <c r="Q15" s="433" t="s">
        <v>562</v>
      </c>
      <c r="R15" s="433" t="s">
        <v>489</v>
      </c>
      <c r="S15" s="433" t="s">
        <v>490</v>
      </c>
      <c r="T15" s="433" t="s">
        <v>491</v>
      </c>
      <c r="U15" s="433" t="s">
        <v>492</v>
      </c>
      <c r="V15" s="433" t="s">
        <v>509</v>
      </c>
      <c r="W15" s="433" t="s">
        <v>510</v>
      </c>
      <c r="X15" s="433" t="s">
        <v>495</v>
      </c>
      <c r="Y15" s="433" t="s">
        <v>496</v>
      </c>
      <c r="Z15" s="433" t="s">
        <v>497</v>
      </c>
      <c r="AA15" s="433" t="s">
        <v>511</v>
      </c>
      <c r="AB15" s="433" t="s">
        <v>512</v>
      </c>
      <c r="AC15" s="433" t="s">
        <v>563</v>
      </c>
      <c r="AD15" s="433" t="s">
        <v>514</v>
      </c>
      <c r="AE15" s="433" t="s">
        <v>564</v>
      </c>
      <c r="AF15" s="433" t="s">
        <v>565</v>
      </c>
      <c r="AG15" s="435">
        <v>3986666</v>
      </c>
      <c r="AH15" s="435">
        <v>0</v>
      </c>
      <c r="AI15" s="435">
        <v>0</v>
      </c>
      <c r="AJ15" s="435">
        <v>3986666</v>
      </c>
      <c r="AK15" s="436">
        <v>245333</v>
      </c>
      <c r="AL15" s="435">
        <v>3986666</v>
      </c>
      <c r="AM15" s="433">
        <v>5000726899</v>
      </c>
      <c r="AN15" s="433">
        <v>2</v>
      </c>
      <c r="AO15" s="433">
        <v>591064</v>
      </c>
      <c r="AP15" s="433">
        <v>2</v>
      </c>
      <c r="AQ15" s="434">
        <v>45524</v>
      </c>
      <c r="AR15" s="437">
        <v>8198</v>
      </c>
      <c r="AS15" s="438">
        <f>4600000*20%</f>
        <v>920000</v>
      </c>
      <c r="AT15" s="439">
        <v>45527</v>
      </c>
      <c r="AU15" s="439">
        <v>45657</v>
      </c>
      <c r="AV15" s="440" t="s">
        <v>504</v>
      </c>
      <c r="AW15" s="441">
        <f>AS15/30*8</f>
        <v>245333.33333333334</v>
      </c>
      <c r="AX15" s="436">
        <v>245333</v>
      </c>
      <c r="AY15" s="441">
        <f t="shared" si="2"/>
        <v>920000</v>
      </c>
      <c r="AZ15" s="441"/>
      <c r="BA15" s="441">
        <f t="shared" si="3"/>
        <v>920000</v>
      </c>
      <c r="BB15" s="441"/>
      <c r="BC15" s="441">
        <f t="shared" si="4"/>
        <v>920000</v>
      </c>
      <c r="BD15" s="441"/>
      <c r="BE15" s="441">
        <f t="shared" si="5"/>
        <v>920000</v>
      </c>
      <c r="BF15" s="442"/>
      <c r="BG15" s="443">
        <f>AS15/30*2</f>
        <v>61333.333333333336</v>
      </c>
      <c r="BH15" s="444">
        <f t="shared" si="1"/>
        <v>-0.66666666651144624</v>
      </c>
      <c r="BI15" s="435"/>
      <c r="BJ15" s="445">
        <v>0</v>
      </c>
      <c r="BK15" s="445">
        <v>0</v>
      </c>
      <c r="BL15" s="445">
        <v>0</v>
      </c>
      <c r="BM15" s="446">
        <f>+AJ15</f>
        <v>3986666</v>
      </c>
      <c r="BN15" s="445">
        <v>0</v>
      </c>
      <c r="BP15" s="447">
        <f t="shared" si="0"/>
        <v>0</v>
      </c>
      <c r="BR15" s="448">
        <v>0</v>
      </c>
      <c r="BS15" s="448">
        <v>0</v>
      </c>
      <c r="BT15" s="448">
        <v>0</v>
      </c>
      <c r="BU15" s="448">
        <f t="shared" ref="BU15" si="7">+AX15</f>
        <v>245333</v>
      </c>
      <c r="BV15" s="448">
        <v>0</v>
      </c>
      <c r="BW15" s="448"/>
    </row>
    <row r="16" spans="1:75" s="433" customFormat="1" x14ac:dyDescent="0.25">
      <c r="A16" s="433">
        <v>2024</v>
      </c>
      <c r="B16" s="433">
        <v>8</v>
      </c>
      <c r="C16" s="434">
        <v>45292</v>
      </c>
      <c r="D16" s="434">
        <v>45535</v>
      </c>
      <c r="E16" s="433" t="s">
        <v>481</v>
      </c>
      <c r="F16" s="434">
        <v>45524</v>
      </c>
      <c r="G16" s="433" t="s">
        <v>505</v>
      </c>
      <c r="H16" s="433" t="s">
        <v>506</v>
      </c>
      <c r="I16" s="433" t="s">
        <v>566</v>
      </c>
      <c r="J16" s="434">
        <v>45524</v>
      </c>
      <c r="K16" s="434">
        <v>45657</v>
      </c>
      <c r="L16" s="433" t="s">
        <v>561</v>
      </c>
      <c r="M16" s="433" t="s">
        <v>486</v>
      </c>
      <c r="N16" s="433" t="s">
        <v>487</v>
      </c>
      <c r="O16" s="433">
        <v>1562</v>
      </c>
      <c r="P16" s="433">
        <v>1813</v>
      </c>
      <c r="Q16" s="433" t="s">
        <v>562</v>
      </c>
      <c r="R16" s="433" t="s">
        <v>489</v>
      </c>
      <c r="S16" s="433" t="s">
        <v>490</v>
      </c>
      <c r="T16" s="433" t="s">
        <v>491</v>
      </c>
      <c r="U16" s="433" t="s">
        <v>492</v>
      </c>
      <c r="V16" s="433" t="s">
        <v>509</v>
      </c>
      <c r="W16" s="433" t="s">
        <v>510</v>
      </c>
      <c r="X16" s="433" t="s">
        <v>495</v>
      </c>
      <c r="Y16" s="433" t="s">
        <v>496</v>
      </c>
      <c r="Z16" s="433" t="s">
        <v>497</v>
      </c>
      <c r="AA16" s="433" t="s">
        <v>511</v>
      </c>
      <c r="AB16" s="433" t="s">
        <v>512</v>
      </c>
      <c r="AC16" s="433" t="s">
        <v>567</v>
      </c>
      <c r="AD16" s="433" t="s">
        <v>514</v>
      </c>
      <c r="AE16" s="433" t="s">
        <v>568</v>
      </c>
      <c r="AF16" s="433" t="s">
        <v>569</v>
      </c>
      <c r="AG16" s="435">
        <v>15946667</v>
      </c>
      <c r="AH16" s="435">
        <v>0</v>
      </c>
      <c r="AI16" s="435">
        <v>0</v>
      </c>
      <c r="AJ16" s="435">
        <v>15946667</v>
      </c>
      <c r="AK16" s="436">
        <v>613334</v>
      </c>
      <c r="AL16" s="435">
        <v>15946667</v>
      </c>
      <c r="AM16" s="433">
        <v>5000726902</v>
      </c>
      <c r="AN16" s="433">
        <v>1</v>
      </c>
      <c r="AO16" s="433">
        <v>591024</v>
      </c>
      <c r="AP16" s="433">
        <v>1</v>
      </c>
      <c r="AQ16" s="434">
        <v>45524</v>
      </c>
      <c r="AR16" s="437">
        <v>8198</v>
      </c>
      <c r="AS16" s="438">
        <f>4600000*80%</f>
        <v>3680000</v>
      </c>
      <c r="AT16" s="439">
        <v>45530</v>
      </c>
      <c r="AU16" s="439">
        <v>45657</v>
      </c>
      <c r="AV16" s="440" t="s">
        <v>504</v>
      </c>
      <c r="AW16" s="441">
        <f>AS16/30*5</f>
        <v>613333.33333333337</v>
      </c>
      <c r="AX16" s="436">
        <v>613334</v>
      </c>
      <c r="AY16" s="441">
        <f t="shared" si="2"/>
        <v>3680000</v>
      </c>
      <c r="AZ16" s="441"/>
      <c r="BA16" s="441">
        <f t="shared" si="3"/>
        <v>3680000</v>
      </c>
      <c r="BB16" s="441"/>
      <c r="BC16" s="441">
        <f t="shared" si="4"/>
        <v>3680000</v>
      </c>
      <c r="BD16" s="441"/>
      <c r="BE16" s="441">
        <f t="shared" si="5"/>
        <v>3680000</v>
      </c>
      <c r="BF16" s="442"/>
      <c r="BG16" s="443">
        <f>AS16/30*5</f>
        <v>613333.33333333337</v>
      </c>
      <c r="BH16" s="444">
        <f t="shared" si="1"/>
        <v>0.33333333395421505</v>
      </c>
      <c r="BI16" s="435"/>
      <c r="BJ16" s="445">
        <v>0</v>
      </c>
      <c r="BK16" s="445">
        <v>0</v>
      </c>
      <c r="BL16" s="446">
        <f>+AJ16</f>
        <v>15946667</v>
      </c>
      <c r="BM16" s="445">
        <v>0</v>
      </c>
      <c r="BN16" s="445">
        <v>0</v>
      </c>
      <c r="BP16" s="447">
        <f t="shared" si="0"/>
        <v>0</v>
      </c>
      <c r="BR16" s="448">
        <v>0</v>
      </c>
      <c r="BS16" s="448">
        <v>0</v>
      </c>
      <c r="BT16" s="448">
        <f t="shared" ref="BT16" si="8">+AX16</f>
        <v>613334</v>
      </c>
      <c r="BU16" s="448">
        <v>0</v>
      </c>
      <c r="BV16" s="448">
        <v>0</v>
      </c>
      <c r="BW16" s="448"/>
    </row>
    <row r="17" spans="1:75" s="433" customFormat="1" x14ac:dyDescent="0.25">
      <c r="A17" s="433">
        <v>2024</v>
      </c>
      <c r="B17" s="433">
        <v>8</v>
      </c>
      <c r="C17" s="434">
        <v>45292</v>
      </c>
      <c r="D17" s="434">
        <v>45535</v>
      </c>
      <c r="E17" s="433" t="s">
        <v>481</v>
      </c>
      <c r="F17" s="434">
        <v>45524</v>
      </c>
      <c r="G17" s="433" t="s">
        <v>505</v>
      </c>
      <c r="H17" s="433" t="s">
        <v>506</v>
      </c>
      <c r="I17" s="433" t="s">
        <v>566</v>
      </c>
      <c r="J17" s="434">
        <v>45524</v>
      </c>
      <c r="K17" s="434">
        <v>45657</v>
      </c>
      <c r="L17" s="433" t="s">
        <v>561</v>
      </c>
      <c r="M17" s="433" t="s">
        <v>486</v>
      </c>
      <c r="N17" s="433" t="s">
        <v>487</v>
      </c>
      <c r="O17" s="433">
        <v>1562</v>
      </c>
      <c r="P17" s="433">
        <v>1813</v>
      </c>
      <c r="Q17" s="433" t="s">
        <v>562</v>
      </c>
      <c r="R17" s="433" t="s">
        <v>489</v>
      </c>
      <c r="S17" s="433" t="s">
        <v>490</v>
      </c>
      <c r="T17" s="433" t="s">
        <v>491</v>
      </c>
      <c r="U17" s="433" t="s">
        <v>492</v>
      </c>
      <c r="V17" s="433" t="s">
        <v>509</v>
      </c>
      <c r="W17" s="433" t="s">
        <v>510</v>
      </c>
      <c r="X17" s="433" t="s">
        <v>495</v>
      </c>
      <c r="Y17" s="433" t="s">
        <v>496</v>
      </c>
      <c r="Z17" s="433" t="s">
        <v>497</v>
      </c>
      <c r="AA17" s="433" t="s">
        <v>511</v>
      </c>
      <c r="AB17" s="433" t="s">
        <v>512</v>
      </c>
      <c r="AC17" s="433" t="s">
        <v>567</v>
      </c>
      <c r="AD17" s="433" t="s">
        <v>514</v>
      </c>
      <c r="AE17" s="433" t="s">
        <v>568</v>
      </c>
      <c r="AF17" s="433" t="s">
        <v>569</v>
      </c>
      <c r="AG17" s="435">
        <v>3986666</v>
      </c>
      <c r="AH17" s="435">
        <v>0</v>
      </c>
      <c r="AI17" s="435">
        <v>0</v>
      </c>
      <c r="AJ17" s="435">
        <v>3986666</v>
      </c>
      <c r="AK17" s="436">
        <v>153333</v>
      </c>
      <c r="AL17" s="435">
        <v>3986666</v>
      </c>
      <c r="AM17" s="433">
        <v>5000726902</v>
      </c>
      <c r="AN17" s="433">
        <v>2</v>
      </c>
      <c r="AO17" s="433">
        <v>591024</v>
      </c>
      <c r="AP17" s="433">
        <v>2</v>
      </c>
      <c r="AQ17" s="434">
        <v>45524</v>
      </c>
      <c r="AR17" s="437">
        <v>8198</v>
      </c>
      <c r="AS17" s="438">
        <f>4600000*20%</f>
        <v>920000</v>
      </c>
      <c r="AT17" s="439">
        <v>45530</v>
      </c>
      <c r="AU17" s="439">
        <v>45657</v>
      </c>
      <c r="AV17" s="440" t="s">
        <v>504</v>
      </c>
      <c r="AW17" s="441">
        <f>AS17/30*5</f>
        <v>153333.33333333334</v>
      </c>
      <c r="AX17" s="436">
        <v>153333</v>
      </c>
      <c r="AY17" s="441">
        <f t="shared" si="2"/>
        <v>920000</v>
      </c>
      <c r="AZ17" s="441"/>
      <c r="BA17" s="441">
        <f t="shared" si="3"/>
        <v>920000</v>
      </c>
      <c r="BB17" s="441"/>
      <c r="BC17" s="441">
        <f t="shared" si="4"/>
        <v>920000</v>
      </c>
      <c r="BD17" s="441"/>
      <c r="BE17" s="441">
        <f t="shared" si="5"/>
        <v>920000</v>
      </c>
      <c r="BF17" s="442"/>
      <c r="BG17" s="443">
        <f>AS17/30*5</f>
        <v>153333.33333333334</v>
      </c>
      <c r="BH17" s="444">
        <f t="shared" si="1"/>
        <v>-0.66666666651144624</v>
      </c>
      <c r="BI17" s="435"/>
      <c r="BJ17" s="445">
        <v>0</v>
      </c>
      <c r="BK17" s="445">
        <v>0</v>
      </c>
      <c r="BL17" s="445">
        <v>0</v>
      </c>
      <c r="BM17" s="446">
        <f>+AJ17</f>
        <v>3986666</v>
      </c>
      <c r="BN17" s="445">
        <v>0</v>
      </c>
      <c r="BP17" s="447">
        <f t="shared" si="0"/>
        <v>0</v>
      </c>
      <c r="BR17" s="448">
        <v>0</v>
      </c>
      <c r="BS17" s="448">
        <v>0</v>
      </c>
      <c r="BT17" s="448">
        <v>0</v>
      </c>
      <c r="BU17" s="448">
        <f t="shared" ref="BU17" si="9">+AX17</f>
        <v>153333</v>
      </c>
      <c r="BV17" s="448">
        <v>0</v>
      </c>
      <c r="BW17" s="448"/>
    </row>
    <row r="18" spans="1:75" s="433" customFormat="1" x14ac:dyDescent="0.25">
      <c r="A18" s="433">
        <v>2024</v>
      </c>
      <c r="B18" s="433">
        <v>8</v>
      </c>
      <c r="C18" s="434">
        <v>45292</v>
      </c>
      <c r="D18" s="434">
        <v>45535</v>
      </c>
      <c r="E18" s="433" t="s">
        <v>481</v>
      </c>
      <c r="F18" s="434">
        <v>45524</v>
      </c>
      <c r="G18" s="433" t="s">
        <v>505</v>
      </c>
      <c r="H18" s="433" t="s">
        <v>506</v>
      </c>
      <c r="I18" s="433" t="s">
        <v>570</v>
      </c>
      <c r="J18" s="434">
        <v>45524</v>
      </c>
      <c r="K18" s="434">
        <v>45657</v>
      </c>
      <c r="L18" s="433" t="s">
        <v>561</v>
      </c>
      <c r="M18" s="433" t="s">
        <v>486</v>
      </c>
      <c r="N18" s="433" t="s">
        <v>487</v>
      </c>
      <c r="O18" s="433">
        <v>1553</v>
      </c>
      <c r="P18" s="433">
        <v>1815</v>
      </c>
      <c r="Q18" s="433" t="s">
        <v>562</v>
      </c>
      <c r="R18" s="433" t="s">
        <v>489</v>
      </c>
      <c r="S18" s="433" t="s">
        <v>490</v>
      </c>
      <c r="T18" s="433" t="s">
        <v>491</v>
      </c>
      <c r="U18" s="433" t="s">
        <v>492</v>
      </c>
      <c r="V18" s="433" t="s">
        <v>509</v>
      </c>
      <c r="W18" s="433" t="s">
        <v>510</v>
      </c>
      <c r="X18" s="433" t="s">
        <v>495</v>
      </c>
      <c r="Y18" s="433" t="s">
        <v>496</v>
      </c>
      <c r="Z18" s="433" t="s">
        <v>497</v>
      </c>
      <c r="AA18" s="433" t="s">
        <v>511</v>
      </c>
      <c r="AB18" s="433" t="s">
        <v>512</v>
      </c>
      <c r="AC18" s="433" t="s">
        <v>571</v>
      </c>
      <c r="AD18" s="433" t="s">
        <v>514</v>
      </c>
      <c r="AE18" s="433" t="s">
        <v>572</v>
      </c>
      <c r="AF18" s="433" t="s">
        <v>573</v>
      </c>
      <c r="AG18" s="435">
        <v>15946667</v>
      </c>
      <c r="AH18" s="435">
        <v>0</v>
      </c>
      <c r="AI18" s="435">
        <v>0</v>
      </c>
      <c r="AJ18" s="435">
        <v>15946667</v>
      </c>
      <c r="AK18" s="436">
        <v>368000</v>
      </c>
      <c r="AL18" s="435">
        <v>15946667</v>
      </c>
      <c r="AM18" s="433">
        <v>5000726904</v>
      </c>
      <c r="AN18" s="433">
        <v>1</v>
      </c>
      <c r="AO18" s="433">
        <v>590991</v>
      </c>
      <c r="AP18" s="433">
        <v>1</v>
      </c>
      <c r="AQ18" s="434">
        <v>45524</v>
      </c>
      <c r="AR18" s="437">
        <v>8198</v>
      </c>
      <c r="AS18" s="438">
        <f>4600000*80%</f>
        <v>3680000</v>
      </c>
      <c r="AT18" s="439">
        <v>45532</v>
      </c>
      <c r="AU18" s="439">
        <v>45657</v>
      </c>
      <c r="AV18" s="440" t="s">
        <v>504</v>
      </c>
      <c r="AW18" s="441">
        <f>AS18/30*3</f>
        <v>368000</v>
      </c>
      <c r="AX18" s="436">
        <v>368000</v>
      </c>
      <c r="AY18" s="441">
        <f t="shared" si="2"/>
        <v>3680000</v>
      </c>
      <c r="AZ18" s="441"/>
      <c r="BA18" s="441">
        <f t="shared" si="3"/>
        <v>3680000</v>
      </c>
      <c r="BB18" s="441"/>
      <c r="BC18" s="441">
        <f t="shared" si="4"/>
        <v>3680000</v>
      </c>
      <c r="BD18" s="441"/>
      <c r="BE18" s="441">
        <f t="shared" si="5"/>
        <v>3680000</v>
      </c>
      <c r="BF18" s="442"/>
      <c r="BG18" s="443">
        <f>AS18/30*7</f>
        <v>858666.66666666674</v>
      </c>
      <c r="BH18" s="444">
        <f t="shared" si="1"/>
        <v>0.33333333395421505</v>
      </c>
      <c r="BI18" s="435"/>
      <c r="BJ18" s="445">
        <v>0</v>
      </c>
      <c r="BK18" s="445">
        <v>0</v>
      </c>
      <c r="BL18" s="446">
        <f>+AJ18</f>
        <v>15946667</v>
      </c>
      <c r="BM18" s="445">
        <v>0</v>
      </c>
      <c r="BN18" s="445">
        <v>0</v>
      </c>
      <c r="BP18" s="447">
        <f t="shared" si="0"/>
        <v>0</v>
      </c>
      <c r="BR18" s="448">
        <v>0</v>
      </c>
      <c r="BS18" s="448">
        <v>0</v>
      </c>
      <c r="BT18" s="448">
        <f t="shared" ref="BT18" si="10">+AX18</f>
        <v>368000</v>
      </c>
      <c r="BU18" s="448">
        <v>0</v>
      </c>
      <c r="BV18" s="448">
        <v>0</v>
      </c>
      <c r="BW18" s="448"/>
    </row>
    <row r="19" spans="1:75" s="433" customFormat="1" x14ac:dyDescent="0.25">
      <c r="A19" s="433">
        <v>2024</v>
      </c>
      <c r="B19" s="433">
        <v>8</v>
      </c>
      <c r="C19" s="434">
        <v>45292</v>
      </c>
      <c r="D19" s="434">
        <v>45535</v>
      </c>
      <c r="E19" s="433" t="s">
        <v>481</v>
      </c>
      <c r="F19" s="434">
        <v>45524</v>
      </c>
      <c r="G19" s="433" t="s">
        <v>505</v>
      </c>
      <c r="H19" s="433" t="s">
        <v>506</v>
      </c>
      <c r="I19" s="433" t="s">
        <v>570</v>
      </c>
      <c r="J19" s="434">
        <v>45524</v>
      </c>
      <c r="K19" s="434">
        <v>45657</v>
      </c>
      <c r="L19" s="433" t="s">
        <v>561</v>
      </c>
      <c r="M19" s="433" t="s">
        <v>486</v>
      </c>
      <c r="N19" s="433" t="s">
        <v>487</v>
      </c>
      <c r="O19" s="433">
        <v>1553</v>
      </c>
      <c r="P19" s="433">
        <v>1815</v>
      </c>
      <c r="Q19" s="433" t="s">
        <v>562</v>
      </c>
      <c r="R19" s="433" t="s">
        <v>489</v>
      </c>
      <c r="S19" s="433" t="s">
        <v>490</v>
      </c>
      <c r="T19" s="433" t="s">
        <v>491</v>
      </c>
      <c r="U19" s="433" t="s">
        <v>492</v>
      </c>
      <c r="V19" s="433" t="s">
        <v>509</v>
      </c>
      <c r="W19" s="433" t="s">
        <v>510</v>
      </c>
      <c r="X19" s="433" t="s">
        <v>495</v>
      </c>
      <c r="Y19" s="433" t="s">
        <v>496</v>
      </c>
      <c r="Z19" s="433" t="s">
        <v>497</v>
      </c>
      <c r="AA19" s="433" t="s">
        <v>511</v>
      </c>
      <c r="AB19" s="433" t="s">
        <v>512</v>
      </c>
      <c r="AC19" s="433" t="s">
        <v>571</v>
      </c>
      <c r="AD19" s="433" t="s">
        <v>514</v>
      </c>
      <c r="AE19" s="433" t="s">
        <v>572</v>
      </c>
      <c r="AF19" s="433" t="s">
        <v>573</v>
      </c>
      <c r="AG19" s="435">
        <v>3986666</v>
      </c>
      <c r="AH19" s="435">
        <v>0</v>
      </c>
      <c r="AI19" s="435">
        <v>0</v>
      </c>
      <c r="AJ19" s="435">
        <v>3986666</v>
      </c>
      <c r="AK19" s="436">
        <v>92000</v>
      </c>
      <c r="AL19" s="435">
        <v>3986666</v>
      </c>
      <c r="AM19" s="433">
        <v>5000726904</v>
      </c>
      <c r="AN19" s="433">
        <v>2</v>
      </c>
      <c r="AO19" s="433">
        <v>590991</v>
      </c>
      <c r="AP19" s="433">
        <v>2</v>
      </c>
      <c r="AQ19" s="434">
        <v>45524</v>
      </c>
      <c r="AR19" s="437">
        <v>8198</v>
      </c>
      <c r="AS19" s="438">
        <f>4600000*20%</f>
        <v>920000</v>
      </c>
      <c r="AT19" s="439">
        <v>45532</v>
      </c>
      <c r="AU19" s="439">
        <v>45657</v>
      </c>
      <c r="AV19" s="440" t="s">
        <v>504</v>
      </c>
      <c r="AW19" s="441">
        <f>AS19/30*3</f>
        <v>92000</v>
      </c>
      <c r="AX19" s="436">
        <v>92000</v>
      </c>
      <c r="AY19" s="441">
        <f t="shared" si="2"/>
        <v>920000</v>
      </c>
      <c r="AZ19" s="441"/>
      <c r="BA19" s="441">
        <f t="shared" si="3"/>
        <v>920000</v>
      </c>
      <c r="BB19" s="441"/>
      <c r="BC19" s="441">
        <f t="shared" si="4"/>
        <v>920000</v>
      </c>
      <c r="BD19" s="441"/>
      <c r="BE19" s="441">
        <f t="shared" si="5"/>
        <v>920000</v>
      </c>
      <c r="BF19" s="442"/>
      <c r="BG19" s="443">
        <f>AS19/30*7</f>
        <v>214666.66666666669</v>
      </c>
      <c r="BH19" s="444">
        <f t="shared" si="1"/>
        <v>-0.66666666651144624</v>
      </c>
      <c r="BI19" s="435"/>
      <c r="BJ19" s="445">
        <v>0</v>
      </c>
      <c r="BK19" s="445">
        <v>0</v>
      </c>
      <c r="BL19" s="445">
        <v>0</v>
      </c>
      <c r="BM19" s="446">
        <f>+AJ19</f>
        <v>3986666</v>
      </c>
      <c r="BN19" s="445">
        <v>0</v>
      </c>
      <c r="BP19" s="447">
        <f t="shared" si="0"/>
        <v>0</v>
      </c>
      <c r="BR19" s="448">
        <v>0</v>
      </c>
      <c r="BS19" s="448">
        <v>0</v>
      </c>
      <c r="BT19" s="448">
        <v>0</v>
      </c>
      <c r="BU19" s="448">
        <f t="shared" ref="BU19" si="11">+AX19</f>
        <v>92000</v>
      </c>
      <c r="BV19" s="448">
        <v>0</v>
      </c>
      <c r="BW19" s="448"/>
    </row>
    <row r="20" spans="1:75" s="433" customFormat="1" x14ac:dyDescent="0.25">
      <c r="A20" s="433">
        <v>2024</v>
      </c>
      <c r="B20" s="433">
        <v>8</v>
      </c>
      <c r="C20" s="434">
        <v>45292</v>
      </c>
      <c r="D20" s="434">
        <v>45535</v>
      </c>
      <c r="E20" s="433" t="s">
        <v>481</v>
      </c>
      <c r="F20" s="434">
        <v>45524</v>
      </c>
      <c r="G20" s="433" t="s">
        <v>505</v>
      </c>
      <c r="H20" s="433" t="s">
        <v>506</v>
      </c>
      <c r="I20" s="433" t="s">
        <v>574</v>
      </c>
      <c r="J20" s="434">
        <v>45524</v>
      </c>
      <c r="K20" s="434">
        <v>45657</v>
      </c>
      <c r="L20" s="433" t="s">
        <v>561</v>
      </c>
      <c r="M20" s="433" t="s">
        <v>486</v>
      </c>
      <c r="N20" s="433" t="s">
        <v>487</v>
      </c>
      <c r="O20" s="433">
        <v>1559</v>
      </c>
      <c r="P20" s="433">
        <v>1817</v>
      </c>
      <c r="Q20" s="433" t="s">
        <v>562</v>
      </c>
      <c r="R20" s="433" t="s">
        <v>489</v>
      </c>
      <c r="S20" s="433" t="s">
        <v>490</v>
      </c>
      <c r="T20" s="433" t="s">
        <v>491</v>
      </c>
      <c r="U20" s="433" t="s">
        <v>492</v>
      </c>
      <c r="V20" s="433" t="s">
        <v>509</v>
      </c>
      <c r="W20" s="433" t="s">
        <v>510</v>
      </c>
      <c r="X20" s="433" t="s">
        <v>495</v>
      </c>
      <c r="Y20" s="433" t="s">
        <v>496</v>
      </c>
      <c r="Z20" s="433" t="s">
        <v>497</v>
      </c>
      <c r="AA20" s="433" t="s">
        <v>511</v>
      </c>
      <c r="AB20" s="433" t="s">
        <v>512</v>
      </c>
      <c r="AC20" s="433" t="s">
        <v>575</v>
      </c>
      <c r="AD20" s="433" t="s">
        <v>514</v>
      </c>
      <c r="AE20" s="433" t="s">
        <v>576</v>
      </c>
      <c r="AF20" s="433" t="s">
        <v>577</v>
      </c>
      <c r="AG20" s="435">
        <v>15946667</v>
      </c>
      <c r="AH20" s="435">
        <v>0</v>
      </c>
      <c r="AI20" s="435">
        <v>0</v>
      </c>
      <c r="AJ20" s="435">
        <v>15946667</v>
      </c>
      <c r="AK20" s="436">
        <v>368000</v>
      </c>
      <c r="AL20" s="435">
        <v>15946667</v>
      </c>
      <c r="AM20" s="433">
        <v>5000726908</v>
      </c>
      <c r="AN20" s="433">
        <v>1</v>
      </c>
      <c r="AO20" s="433">
        <v>591006</v>
      </c>
      <c r="AP20" s="433">
        <v>1</v>
      </c>
      <c r="AQ20" s="434">
        <v>45524</v>
      </c>
      <c r="AR20" s="437">
        <v>8198</v>
      </c>
      <c r="AS20" s="438">
        <f>4600000*80%</f>
        <v>3680000</v>
      </c>
      <c r="AT20" s="439">
        <v>45532</v>
      </c>
      <c r="AU20" s="439">
        <v>45657</v>
      </c>
      <c r="AV20" s="440" t="s">
        <v>504</v>
      </c>
      <c r="AW20" s="441">
        <f>AS20/30*3</f>
        <v>368000</v>
      </c>
      <c r="AX20" s="436">
        <v>368000</v>
      </c>
      <c r="AY20" s="441">
        <f t="shared" si="2"/>
        <v>3680000</v>
      </c>
      <c r="AZ20" s="441"/>
      <c r="BA20" s="441">
        <f t="shared" si="3"/>
        <v>3680000</v>
      </c>
      <c r="BB20" s="441"/>
      <c r="BC20" s="441">
        <f t="shared" si="4"/>
        <v>3680000</v>
      </c>
      <c r="BD20" s="441"/>
      <c r="BE20" s="441">
        <f t="shared" si="5"/>
        <v>3680000</v>
      </c>
      <c r="BF20" s="442"/>
      <c r="BG20" s="443">
        <f>AS20/30*7</f>
        <v>858666.66666666674</v>
      </c>
      <c r="BH20" s="444">
        <f t="shared" si="1"/>
        <v>0.33333333395421505</v>
      </c>
      <c r="BI20" s="435"/>
      <c r="BJ20" s="445">
        <v>0</v>
      </c>
      <c r="BK20" s="445">
        <v>0</v>
      </c>
      <c r="BL20" s="446">
        <f>+AJ20</f>
        <v>15946667</v>
      </c>
      <c r="BM20" s="445">
        <v>0</v>
      </c>
      <c r="BN20" s="445">
        <v>0</v>
      </c>
      <c r="BP20" s="447">
        <f t="shared" si="0"/>
        <v>0</v>
      </c>
      <c r="BR20" s="448">
        <v>0</v>
      </c>
      <c r="BS20" s="448">
        <v>0</v>
      </c>
      <c r="BT20" s="448">
        <f t="shared" ref="BT20" si="12">+AX20</f>
        <v>368000</v>
      </c>
      <c r="BU20" s="448">
        <v>0</v>
      </c>
      <c r="BV20" s="448">
        <v>0</v>
      </c>
      <c r="BW20" s="448"/>
    </row>
    <row r="21" spans="1:75" s="433" customFormat="1" x14ac:dyDescent="0.25">
      <c r="A21" s="433">
        <v>2024</v>
      </c>
      <c r="B21" s="433">
        <v>8</v>
      </c>
      <c r="C21" s="434">
        <v>45292</v>
      </c>
      <c r="D21" s="434">
        <v>45535</v>
      </c>
      <c r="E21" s="433" t="s">
        <v>481</v>
      </c>
      <c r="F21" s="434">
        <v>45524</v>
      </c>
      <c r="G21" s="433" t="s">
        <v>505</v>
      </c>
      <c r="H21" s="433" t="s">
        <v>506</v>
      </c>
      <c r="I21" s="433" t="s">
        <v>574</v>
      </c>
      <c r="J21" s="434">
        <v>45524</v>
      </c>
      <c r="K21" s="434">
        <v>45657</v>
      </c>
      <c r="L21" s="433" t="s">
        <v>561</v>
      </c>
      <c r="M21" s="433" t="s">
        <v>486</v>
      </c>
      <c r="N21" s="433" t="s">
        <v>487</v>
      </c>
      <c r="O21" s="433">
        <v>1559</v>
      </c>
      <c r="P21" s="433">
        <v>1817</v>
      </c>
      <c r="Q21" s="433" t="s">
        <v>562</v>
      </c>
      <c r="R21" s="433" t="s">
        <v>489</v>
      </c>
      <c r="S21" s="433" t="s">
        <v>490</v>
      </c>
      <c r="T21" s="433" t="s">
        <v>491</v>
      </c>
      <c r="U21" s="433" t="s">
        <v>492</v>
      </c>
      <c r="V21" s="433" t="s">
        <v>509</v>
      </c>
      <c r="W21" s="433" t="s">
        <v>510</v>
      </c>
      <c r="X21" s="433" t="s">
        <v>495</v>
      </c>
      <c r="Y21" s="433" t="s">
        <v>496</v>
      </c>
      <c r="Z21" s="433" t="s">
        <v>497</v>
      </c>
      <c r="AA21" s="433" t="s">
        <v>511</v>
      </c>
      <c r="AB21" s="433" t="s">
        <v>512</v>
      </c>
      <c r="AC21" s="433" t="s">
        <v>575</v>
      </c>
      <c r="AD21" s="433" t="s">
        <v>514</v>
      </c>
      <c r="AE21" s="433" t="s">
        <v>576</v>
      </c>
      <c r="AF21" s="433" t="s">
        <v>577</v>
      </c>
      <c r="AG21" s="435">
        <v>3986666</v>
      </c>
      <c r="AH21" s="435">
        <v>0</v>
      </c>
      <c r="AI21" s="435">
        <v>0</v>
      </c>
      <c r="AJ21" s="435">
        <v>3986666</v>
      </c>
      <c r="AK21" s="436">
        <v>92000</v>
      </c>
      <c r="AL21" s="435">
        <v>3986666</v>
      </c>
      <c r="AM21" s="433">
        <v>5000726908</v>
      </c>
      <c r="AN21" s="433">
        <v>2</v>
      </c>
      <c r="AO21" s="433">
        <v>591006</v>
      </c>
      <c r="AP21" s="433">
        <v>2</v>
      </c>
      <c r="AQ21" s="434">
        <v>45524</v>
      </c>
      <c r="AR21" s="437">
        <v>8198</v>
      </c>
      <c r="AS21" s="438">
        <f>4600000*20%</f>
        <v>920000</v>
      </c>
      <c r="AT21" s="439">
        <v>45532</v>
      </c>
      <c r="AU21" s="439">
        <v>45657</v>
      </c>
      <c r="AV21" s="440" t="s">
        <v>504</v>
      </c>
      <c r="AW21" s="441">
        <f>AS21/30*3</f>
        <v>92000</v>
      </c>
      <c r="AX21" s="436">
        <v>92000</v>
      </c>
      <c r="AY21" s="441">
        <f t="shared" si="2"/>
        <v>920000</v>
      </c>
      <c r="AZ21" s="441"/>
      <c r="BA21" s="441">
        <f t="shared" si="3"/>
        <v>920000</v>
      </c>
      <c r="BB21" s="441"/>
      <c r="BC21" s="441">
        <f t="shared" si="4"/>
        <v>920000</v>
      </c>
      <c r="BD21" s="441"/>
      <c r="BE21" s="441">
        <f t="shared" si="5"/>
        <v>920000</v>
      </c>
      <c r="BF21" s="442"/>
      <c r="BG21" s="443">
        <f>AS21/30*7</f>
        <v>214666.66666666669</v>
      </c>
      <c r="BH21" s="444">
        <f t="shared" si="1"/>
        <v>-0.66666666651144624</v>
      </c>
      <c r="BI21" s="435"/>
      <c r="BJ21" s="445">
        <v>0</v>
      </c>
      <c r="BK21" s="445">
        <v>0</v>
      </c>
      <c r="BL21" s="445">
        <v>0</v>
      </c>
      <c r="BM21" s="446">
        <f>+AJ21</f>
        <v>3986666</v>
      </c>
      <c r="BN21" s="445">
        <v>0</v>
      </c>
      <c r="BP21" s="447">
        <f t="shared" si="0"/>
        <v>0</v>
      </c>
      <c r="BR21" s="448">
        <v>0</v>
      </c>
      <c r="BS21" s="448">
        <v>0</v>
      </c>
      <c r="BT21" s="448">
        <v>0</v>
      </c>
      <c r="BU21" s="448">
        <f t="shared" ref="BU21" si="13">+AX21</f>
        <v>92000</v>
      </c>
      <c r="BV21" s="448">
        <v>0</v>
      </c>
      <c r="BW21" s="448"/>
    </row>
    <row r="22" spans="1:75" s="433" customFormat="1" x14ac:dyDescent="0.25">
      <c r="A22" s="433">
        <v>2024</v>
      </c>
      <c r="B22" s="433">
        <v>8</v>
      </c>
      <c r="C22" s="434">
        <v>45292</v>
      </c>
      <c r="D22" s="434">
        <v>45535</v>
      </c>
      <c r="E22" s="433" t="s">
        <v>481</v>
      </c>
      <c r="F22" s="434">
        <v>45524</v>
      </c>
      <c r="G22" s="433" t="s">
        <v>505</v>
      </c>
      <c r="H22" s="433" t="s">
        <v>506</v>
      </c>
      <c r="I22" s="433" t="s">
        <v>578</v>
      </c>
      <c r="J22" s="434">
        <v>45524</v>
      </c>
      <c r="K22" s="434">
        <v>45657</v>
      </c>
      <c r="L22" s="433" t="s">
        <v>561</v>
      </c>
      <c r="M22" s="433" t="s">
        <v>486</v>
      </c>
      <c r="N22" s="433" t="s">
        <v>487</v>
      </c>
      <c r="O22" s="433">
        <v>1555</v>
      </c>
      <c r="P22" s="433">
        <v>1819</v>
      </c>
      <c r="Q22" s="433" t="s">
        <v>562</v>
      </c>
      <c r="R22" s="433" t="s">
        <v>489</v>
      </c>
      <c r="S22" s="433" t="s">
        <v>490</v>
      </c>
      <c r="T22" s="433" t="s">
        <v>491</v>
      </c>
      <c r="U22" s="433" t="s">
        <v>492</v>
      </c>
      <c r="V22" s="433" t="s">
        <v>509</v>
      </c>
      <c r="W22" s="433" t="s">
        <v>510</v>
      </c>
      <c r="X22" s="433" t="s">
        <v>495</v>
      </c>
      <c r="Y22" s="433" t="s">
        <v>496</v>
      </c>
      <c r="Z22" s="433" t="s">
        <v>497</v>
      </c>
      <c r="AA22" s="433" t="s">
        <v>511</v>
      </c>
      <c r="AB22" s="433" t="s">
        <v>512</v>
      </c>
      <c r="AC22" s="433" t="s">
        <v>579</v>
      </c>
      <c r="AD22" s="433" t="s">
        <v>514</v>
      </c>
      <c r="AE22" s="433" t="s">
        <v>580</v>
      </c>
      <c r="AF22" s="433" t="s">
        <v>581</v>
      </c>
      <c r="AG22" s="435">
        <v>15946667</v>
      </c>
      <c r="AH22" s="435">
        <v>0</v>
      </c>
      <c r="AI22" s="435">
        <v>0</v>
      </c>
      <c r="AJ22" s="435">
        <v>15946667</v>
      </c>
      <c r="AK22" s="436">
        <v>1226666</v>
      </c>
      <c r="AL22" s="435">
        <v>15946667</v>
      </c>
      <c r="AM22" s="433">
        <v>5000726915</v>
      </c>
      <c r="AN22" s="433">
        <v>1</v>
      </c>
      <c r="AO22" s="433">
        <v>590996</v>
      </c>
      <c r="AP22" s="433">
        <v>1</v>
      </c>
      <c r="AQ22" s="434">
        <v>45524</v>
      </c>
      <c r="AR22" s="437">
        <v>8198</v>
      </c>
      <c r="AS22" s="438">
        <f>4600000*80%</f>
        <v>3680000</v>
      </c>
      <c r="AT22" s="439">
        <v>45525</v>
      </c>
      <c r="AU22" s="439">
        <v>45657</v>
      </c>
      <c r="AV22" s="440" t="s">
        <v>504</v>
      </c>
      <c r="AW22" s="441">
        <f>AS22/30*10</f>
        <v>1226666.6666666667</v>
      </c>
      <c r="AX22" s="436">
        <v>1226666</v>
      </c>
      <c r="AY22" s="441">
        <f t="shared" si="2"/>
        <v>3680000</v>
      </c>
      <c r="AZ22" s="441"/>
      <c r="BA22" s="441">
        <f t="shared" si="3"/>
        <v>3680000</v>
      </c>
      <c r="BB22" s="441"/>
      <c r="BC22" s="441">
        <f t="shared" si="4"/>
        <v>3680000</v>
      </c>
      <c r="BD22" s="441"/>
      <c r="BE22" s="441">
        <f t="shared" si="5"/>
        <v>3680000</v>
      </c>
      <c r="BF22" s="442"/>
      <c r="BG22" s="443">
        <v>0</v>
      </c>
      <c r="BH22" s="444">
        <f t="shared" si="1"/>
        <v>0.3333333320915699</v>
      </c>
      <c r="BI22" s="435"/>
      <c r="BJ22" s="445">
        <v>0</v>
      </c>
      <c r="BK22" s="445">
        <v>0</v>
      </c>
      <c r="BL22" s="446">
        <f>+AJ22</f>
        <v>15946667</v>
      </c>
      <c r="BM22" s="445">
        <v>0</v>
      </c>
      <c r="BN22" s="445">
        <v>0</v>
      </c>
      <c r="BP22" s="447">
        <f t="shared" si="0"/>
        <v>0</v>
      </c>
      <c r="BR22" s="448">
        <v>0</v>
      </c>
      <c r="BS22" s="448">
        <v>0</v>
      </c>
      <c r="BT22" s="448">
        <f t="shared" ref="BT22" si="14">+AX22</f>
        <v>1226666</v>
      </c>
      <c r="BU22" s="448">
        <v>0</v>
      </c>
      <c r="BV22" s="448">
        <v>0</v>
      </c>
      <c r="BW22" s="448"/>
    </row>
    <row r="23" spans="1:75" s="433" customFormat="1" x14ac:dyDescent="0.25">
      <c r="A23" s="433">
        <v>2024</v>
      </c>
      <c r="B23" s="433">
        <v>8</v>
      </c>
      <c r="C23" s="434">
        <v>45292</v>
      </c>
      <c r="D23" s="434">
        <v>45535</v>
      </c>
      <c r="E23" s="433" t="s">
        <v>481</v>
      </c>
      <c r="F23" s="434">
        <v>45524</v>
      </c>
      <c r="G23" s="433" t="s">
        <v>505</v>
      </c>
      <c r="H23" s="433" t="s">
        <v>506</v>
      </c>
      <c r="I23" s="433" t="s">
        <v>578</v>
      </c>
      <c r="J23" s="434">
        <v>45524</v>
      </c>
      <c r="K23" s="434">
        <v>45657</v>
      </c>
      <c r="L23" s="433" t="s">
        <v>561</v>
      </c>
      <c r="M23" s="433" t="s">
        <v>486</v>
      </c>
      <c r="N23" s="433" t="s">
        <v>487</v>
      </c>
      <c r="O23" s="433">
        <v>1555</v>
      </c>
      <c r="P23" s="433">
        <v>1819</v>
      </c>
      <c r="Q23" s="433" t="s">
        <v>562</v>
      </c>
      <c r="R23" s="433" t="s">
        <v>489</v>
      </c>
      <c r="S23" s="433" t="s">
        <v>490</v>
      </c>
      <c r="T23" s="433" t="s">
        <v>491</v>
      </c>
      <c r="U23" s="433" t="s">
        <v>492</v>
      </c>
      <c r="V23" s="433" t="s">
        <v>509</v>
      </c>
      <c r="W23" s="433" t="s">
        <v>510</v>
      </c>
      <c r="X23" s="433" t="s">
        <v>495</v>
      </c>
      <c r="Y23" s="433" t="s">
        <v>496</v>
      </c>
      <c r="Z23" s="433" t="s">
        <v>497</v>
      </c>
      <c r="AA23" s="433" t="s">
        <v>511</v>
      </c>
      <c r="AB23" s="433" t="s">
        <v>512</v>
      </c>
      <c r="AC23" s="433" t="s">
        <v>579</v>
      </c>
      <c r="AD23" s="433" t="s">
        <v>514</v>
      </c>
      <c r="AE23" s="433" t="s">
        <v>580</v>
      </c>
      <c r="AF23" s="433" t="s">
        <v>581</v>
      </c>
      <c r="AG23" s="435">
        <v>3986666</v>
      </c>
      <c r="AH23" s="435">
        <v>0</v>
      </c>
      <c r="AI23" s="435">
        <v>0</v>
      </c>
      <c r="AJ23" s="435">
        <v>3986666</v>
      </c>
      <c r="AK23" s="436">
        <v>306667</v>
      </c>
      <c r="AL23" s="435">
        <v>3986666</v>
      </c>
      <c r="AM23" s="433">
        <v>5000726915</v>
      </c>
      <c r="AN23" s="433">
        <v>2</v>
      </c>
      <c r="AO23" s="433">
        <v>590996</v>
      </c>
      <c r="AP23" s="433">
        <v>2</v>
      </c>
      <c r="AQ23" s="434">
        <v>45524</v>
      </c>
      <c r="AR23" s="437">
        <v>8198</v>
      </c>
      <c r="AS23" s="438">
        <f>4600000*20%</f>
        <v>920000</v>
      </c>
      <c r="AT23" s="439">
        <v>45525</v>
      </c>
      <c r="AU23" s="439">
        <v>45657</v>
      </c>
      <c r="AV23" s="440" t="s">
        <v>504</v>
      </c>
      <c r="AW23" s="441">
        <f>AS23/30*10</f>
        <v>306666.66666666669</v>
      </c>
      <c r="AX23" s="436">
        <v>306667</v>
      </c>
      <c r="AY23" s="441">
        <f t="shared" si="2"/>
        <v>920000</v>
      </c>
      <c r="AZ23" s="441"/>
      <c r="BA23" s="441">
        <f t="shared" si="3"/>
        <v>920000</v>
      </c>
      <c r="BB23" s="441"/>
      <c r="BC23" s="441">
        <f t="shared" si="4"/>
        <v>920000</v>
      </c>
      <c r="BD23" s="441"/>
      <c r="BE23" s="441">
        <f t="shared" si="5"/>
        <v>920000</v>
      </c>
      <c r="BF23" s="442"/>
      <c r="BG23" s="443">
        <v>0</v>
      </c>
      <c r="BH23" s="444">
        <f t="shared" si="1"/>
        <v>-0.66666666697710752</v>
      </c>
      <c r="BI23" s="435"/>
      <c r="BJ23" s="445">
        <v>0</v>
      </c>
      <c r="BK23" s="445">
        <v>0</v>
      </c>
      <c r="BL23" s="445">
        <v>0</v>
      </c>
      <c r="BM23" s="446">
        <f>+AJ23</f>
        <v>3986666</v>
      </c>
      <c r="BN23" s="445">
        <v>0</v>
      </c>
      <c r="BP23" s="447">
        <f t="shared" si="0"/>
        <v>0</v>
      </c>
      <c r="BR23" s="448">
        <v>0</v>
      </c>
      <c r="BS23" s="448">
        <v>0</v>
      </c>
      <c r="BT23" s="448">
        <v>0</v>
      </c>
      <c r="BU23" s="448">
        <f t="shared" ref="BU23" si="15">+AX23</f>
        <v>306667</v>
      </c>
      <c r="BV23" s="448">
        <v>0</v>
      </c>
      <c r="BW23" s="448"/>
    </row>
    <row r="24" spans="1:75" s="433" customFormat="1" x14ac:dyDescent="0.25">
      <c r="A24" s="433">
        <v>2024</v>
      </c>
      <c r="B24" s="433">
        <v>8</v>
      </c>
      <c r="C24" s="434">
        <v>45292</v>
      </c>
      <c r="D24" s="434">
        <v>45535</v>
      </c>
      <c r="E24" s="433" t="s">
        <v>481</v>
      </c>
      <c r="F24" s="434">
        <v>45524</v>
      </c>
      <c r="G24" s="433" t="s">
        <v>505</v>
      </c>
      <c r="H24" s="433" t="s">
        <v>506</v>
      </c>
      <c r="I24" s="433" t="s">
        <v>582</v>
      </c>
      <c r="J24" s="434">
        <v>45525</v>
      </c>
      <c r="K24" s="434">
        <v>45655</v>
      </c>
      <c r="L24" s="433" t="s">
        <v>583</v>
      </c>
      <c r="M24" s="433" t="s">
        <v>486</v>
      </c>
      <c r="N24" s="433" t="s">
        <v>487</v>
      </c>
      <c r="O24" s="433">
        <v>1560</v>
      </c>
      <c r="P24" s="433">
        <v>1834</v>
      </c>
      <c r="Q24" s="433" t="s">
        <v>562</v>
      </c>
      <c r="R24" s="433" t="s">
        <v>489</v>
      </c>
      <c r="S24" s="433" t="s">
        <v>490</v>
      </c>
      <c r="T24" s="433" t="s">
        <v>491</v>
      </c>
      <c r="U24" s="433" t="s">
        <v>492</v>
      </c>
      <c r="V24" s="433" t="s">
        <v>509</v>
      </c>
      <c r="W24" s="433" t="s">
        <v>510</v>
      </c>
      <c r="X24" s="433" t="s">
        <v>495</v>
      </c>
      <c r="Y24" s="433" t="s">
        <v>496</v>
      </c>
      <c r="Z24" s="433" t="s">
        <v>497</v>
      </c>
      <c r="AA24" s="433" t="s">
        <v>511</v>
      </c>
      <c r="AB24" s="433" t="s">
        <v>512</v>
      </c>
      <c r="AC24" s="433" t="s">
        <v>584</v>
      </c>
      <c r="AD24" s="433" t="s">
        <v>514</v>
      </c>
      <c r="AE24" s="433" t="s">
        <v>585</v>
      </c>
      <c r="AF24" s="433" t="s">
        <v>586</v>
      </c>
      <c r="AG24" s="435">
        <v>15946667</v>
      </c>
      <c r="AH24" s="435">
        <v>0</v>
      </c>
      <c r="AI24" s="435">
        <v>0</v>
      </c>
      <c r="AJ24" s="435">
        <v>15946667</v>
      </c>
      <c r="AK24" s="436">
        <v>1226666</v>
      </c>
      <c r="AL24" s="435">
        <v>15946667</v>
      </c>
      <c r="AM24" s="433">
        <v>5000727533</v>
      </c>
      <c r="AN24" s="433">
        <v>1</v>
      </c>
      <c r="AO24" s="433">
        <v>591018</v>
      </c>
      <c r="AP24" s="433">
        <v>1</v>
      </c>
      <c r="AQ24" s="434">
        <v>45524</v>
      </c>
      <c r="AR24" s="437">
        <v>8198</v>
      </c>
      <c r="AS24" s="438">
        <f>4600000*80%</f>
        <v>3680000</v>
      </c>
      <c r="AT24" s="439">
        <v>45525</v>
      </c>
      <c r="AU24" s="439">
        <v>45657</v>
      </c>
      <c r="AV24" s="440" t="s">
        <v>504</v>
      </c>
      <c r="AW24" s="441">
        <f>AS24/30*10</f>
        <v>1226666.6666666667</v>
      </c>
      <c r="AX24" s="436">
        <v>1226666</v>
      </c>
      <c r="AY24" s="441">
        <f t="shared" si="2"/>
        <v>3680000</v>
      </c>
      <c r="AZ24" s="441"/>
      <c r="BA24" s="441">
        <f t="shared" si="3"/>
        <v>3680000</v>
      </c>
      <c r="BB24" s="441"/>
      <c r="BC24" s="441">
        <f t="shared" si="4"/>
        <v>3680000</v>
      </c>
      <c r="BD24" s="441"/>
      <c r="BE24" s="441">
        <f t="shared" si="5"/>
        <v>3680000</v>
      </c>
      <c r="BF24" s="442"/>
      <c r="BG24" s="443">
        <v>0</v>
      </c>
      <c r="BH24" s="444">
        <f t="shared" si="1"/>
        <v>0.3333333320915699</v>
      </c>
      <c r="BI24" s="435"/>
      <c r="BJ24" s="445">
        <v>0</v>
      </c>
      <c r="BK24" s="445">
        <v>0</v>
      </c>
      <c r="BL24" s="446">
        <f>+AJ24</f>
        <v>15946667</v>
      </c>
      <c r="BM24" s="445">
        <v>0</v>
      </c>
      <c r="BN24" s="445">
        <v>0</v>
      </c>
      <c r="BP24" s="447">
        <f t="shared" si="0"/>
        <v>0</v>
      </c>
      <c r="BR24" s="448">
        <v>0</v>
      </c>
      <c r="BS24" s="448">
        <v>0</v>
      </c>
      <c r="BT24" s="448">
        <f t="shared" ref="BT24" si="16">+AX24</f>
        <v>1226666</v>
      </c>
      <c r="BU24" s="448">
        <v>0</v>
      </c>
      <c r="BV24" s="448">
        <v>0</v>
      </c>
      <c r="BW24" s="448"/>
    </row>
    <row r="25" spans="1:75" s="433" customFormat="1" x14ac:dyDescent="0.25">
      <c r="A25" s="433">
        <v>2024</v>
      </c>
      <c r="B25" s="433">
        <v>8</v>
      </c>
      <c r="C25" s="434">
        <v>45292</v>
      </c>
      <c r="D25" s="434">
        <v>45535</v>
      </c>
      <c r="E25" s="433" t="s">
        <v>481</v>
      </c>
      <c r="F25" s="434">
        <v>45524</v>
      </c>
      <c r="G25" s="433" t="s">
        <v>505</v>
      </c>
      <c r="H25" s="433" t="s">
        <v>506</v>
      </c>
      <c r="I25" s="433" t="s">
        <v>582</v>
      </c>
      <c r="J25" s="434">
        <v>45525</v>
      </c>
      <c r="K25" s="434">
        <v>45655</v>
      </c>
      <c r="L25" s="433" t="s">
        <v>583</v>
      </c>
      <c r="M25" s="433" t="s">
        <v>486</v>
      </c>
      <c r="N25" s="433" t="s">
        <v>487</v>
      </c>
      <c r="O25" s="433">
        <v>1560</v>
      </c>
      <c r="P25" s="433">
        <v>1834</v>
      </c>
      <c r="Q25" s="433" t="s">
        <v>562</v>
      </c>
      <c r="R25" s="433" t="s">
        <v>489</v>
      </c>
      <c r="S25" s="433" t="s">
        <v>490</v>
      </c>
      <c r="T25" s="433" t="s">
        <v>491</v>
      </c>
      <c r="U25" s="433" t="s">
        <v>492</v>
      </c>
      <c r="V25" s="433" t="s">
        <v>509</v>
      </c>
      <c r="W25" s="433" t="s">
        <v>510</v>
      </c>
      <c r="X25" s="433" t="s">
        <v>495</v>
      </c>
      <c r="Y25" s="433" t="s">
        <v>496</v>
      </c>
      <c r="Z25" s="433" t="s">
        <v>497</v>
      </c>
      <c r="AA25" s="433" t="s">
        <v>511</v>
      </c>
      <c r="AB25" s="433" t="s">
        <v>512</v>
      </c>
      <c r="AC25" s="433" t="s">
        <v>584</v>
      </c>
      <c r="AD25" s="433" t="s">
        <v>514</v>
      </c>
      <c r="AE25" s="433" t="s">
        <v>585</v>
      </c>
      <c r="AF25" s="433" t="s">
        <v>586</v>
      </c>
      <c r="AG25" s="435">
        <v>3986666</v>
      </c>
      <c r="AH25" s="435">
        <v>0</v>
      </c>
      <c r="AI25" s="435">
        <v>0</v>
      </c>
      <c r="AJ25" s="435">
        <v>3986666</v>
      </c>
      <c r="AK25" s="436">
        <v>306667</v>
      </c>
      <c r="AL25" s="435">
        <v>3986666</v>
      </c>
      <c r="AM25" s="433">
        <v>5000727533</v>
      </c>
      <c r="AN25" s="433">
        <v>2</v>
      </c>
      <c r="AO25" s="433">
        <v>591018</v>
      </c>
      <c r="AP25" s="433">
        <v>2</v>
      </c>
      <c r="AQ25" s="434">
        <v>45524</v>
      </c>
      <c r="AR25" s="437">
        <v>8198</v>
      </c>
      <c r="AS25" s="438">
        <f>4600000*20%</f>
        <v>920000</v>
      </c>
      <c r="AT25" s="439">
        <v>45525</v>
      </c>
      <c r="AU25" s="439">
        <v>45657</v>
      </c>
      <c r="AV25" s="440" t="s">
        <v>504</v>
      </c>
      <c r="AW25" s="441">
        <f>AS25/30*10</f>
        <v>306666.66666666669</v>
      </c>
      <c r="AX25" s="436">
        <v>306667</v>
      </c>
      <c r="AY25" s="441">
        <f t="shared" si="2"/>
        <v>920000</v>
      </c>
      <c r="AZ25" s="441"/>
      <c r="BA25" s="441">
        <f t="shared" si="3"/>
        <v>920000</v>
      </c>
      <c r="BB25" s="441"/>
      <c r="BC25" s="441">
        <f t="shared" si="4"/>
        <v>920000</v>
      </c>
      <c r="BD25" s="441"/>
      <c r="BE25" s="441">
        <f t="shared" si="5"/>
        <v>920000</v>
      </c>
      <c r="BF25" s="442"/>
      <c r="BG25" s="443">
        <v>0</v>
      </c>
      <c r="BH25" s="444">
        <f t="shared" si="1"/>
        <v>-0.66666666697710752</v>
      </c>
      <c r="BI25" s="435"/>
      <c r="BJ25" s="445">
        <v>0</v>
      </c>
      <c r="BK25" s="445">
        <v>0</v>
      </c>
      <c r="BL25" s="445">
        <v>0</v>
      </c>
      <c r="BM25" s="446">
        <f>+AJ25</f>
        <v>3986666</v>
      </c>
      <c r="BN25" s="445">
        <v>0</v>
      </c>
      <c r="BP25" s="447">
        <f t="shared" si="0"/>
        <v>0</v>
      </c>
      <c r="BR25" s="448">
        <v>0</v>
      </c>
      <c r="BS25" s="448">
        <v>0</v>
      </c>
      <c r="BT25" s="448">
        <v>0</v>
      </c>
      <c r="BU25" s="448">
        <f t="shared" ref="BU25" si="17">+AX25</f>
        <v>306667</v>
      </c>
      <c r="BV25" s="448">
        <v>0</v>
      </c>
      <c r="BW25" s="448"/>
    </row>
    <row r="26" spans="1:75" s="433" customFormat="1" x14ac:dyDescent="0.25">
      <c r="A26" s="433">
        <v>2024</v>
      </c>
      <c r="B26" s="433">
        <v>8</v>
      </c>
      <c r="C26" s="434">
        <v>45292</v>
      </c>
      <c r="D26" s="434">
        <v>45535</v>
      </c>
      <c r="E26" s="433" t="s">
        <v>481</v>
      </c>
      <c r="F26" s="434">
        <v>45524</v>
      </c>
      <c r="G26" s="433" t="s">
        <v>505</v>
      </c>
      <c r="H26" s="433" t="s">
        <v>506</v>
      </c>
      <c r="I26" s="433" t="s">
        <v>587</v>
      </c>
      <c r="J26" s="434">
        <v>45525</v>
      </c>
      <c r="K26" s="434">
        <v>45657</v>
      </c>
      <c r="L26" s="433" t="s">
        <v>588</v>
      </c>
      <c r="M26" s="433" t="s">
        <v>486</v>
      </c>
      <c r="N26" s="433" t="s">
        <v>487</v>
      </c>
      <c r="O26" s="433">
        <v>1558</v>
      </c>
      <c r="P26" s="433">
        <v>1835</v>
      </c>
      <c r="Q26" s="433" t="s">
        <v>562</v>
      </c>
      <c r="R26" s="433" t="s">
        <v>489</v>
      </c>
      <c r="S26" s="433" t="s">
        <v>490</v>
      </c>
      <c r="T26" s="433" t="s">
        <v>491</v>
      </c>
      <c r="U26" s="433" t="s">
        <v>492</v>
      </c>
      <c r="V26" s="433" t="s">
        <v>509</v>
      </c>
      <c r="W26" s="433" t="s">
        <v>510</v>
      </c>
      <c r="X26" s="433" t="s">
        <v>495</v>
      </c>
      <c r="Y26" s="433" t="s">
        <v>496</v>
      </c>
      <c r="Z26" s="433" t="s">
        <v>497</v>
      </c>
      <c r="AA26" s="433" t="s">
        <v>511</v>
      </c>
      <c r="AB26" s="433" t="s">
        <v>512</v>
      </c>
      <c r="AC26" s="433" t="s">
        <v>589</v>
      </c>
      <c r="AD26" s="433" t="s">
        <v>514</v>
      </c>
      <c r="AE26" s="433" t="s">
        <v>590</v>
      </c>
      <c r="AF26" s="433" t="s">
        <v>591</v>
      </c>
      <c r="AG26" s="435">
        <v>15946667</v>
      </c>
      <c r="AH26" s="435">
        <v>0</v>
      </c>
      <c r="AI26" s="435">
        <v>0</v>
      </c>
      <c r="AJ26" s="435">
        <v>15946667</v>
      </c>
      <c r="AK26" s="436">
        <v>981334</v>
      </c>
      <c r="AL26" s="435">
        <v>15946667</v>
      </c>
      <c r="AM26" s="433">
        <v>5000727535</v>
      </c>
      <c r="AN26" s="433">
        <v>1</v>
      </c>
      <c r="AO26" s="433">
        <v>591001</v>
      </c>
      <c r="AP26" s="433">
        <v>1</v>
      </c>
      <c r="AQ26" s="434">
        <v>45524</v>
      </c>
      <c r="AR26" s="437">
        <v>8198</v>
      </c>
      <c r="AS26" s="438">
        <f>4600000*80%</f>
        <v>3680000</v>
      </c>
      <c r="AT26" s="439">
        <v>45527</v>
      </c>
      <c r="AU26" s="439">
        <v>45657</v>
      </c>
      <c r="AV26" s="440" t="s">
        <v>504</v>
      </c>
      <c r="AW26" s="441">
        <f>AS26/30*8</f>
        <v>981333.33333333337</v>
      </c>
      <c r="AX26" s="436">
        <v>981334</v>
      </c>
      <c r="AY26" s="441">
        <f t="shared" si="2"/>
        <v>3680000</v>
      </c>
      <c r="AZ26" s="441"/>
      <c r="BA26" s="441">
        <f t="shared" si="3"/>
        <v>3680000</v>
      </c>
      <c r="BB26" s="441"/>
      <c r="BC26" s="441">
        <f t="shared" si="4"/>
        <v>3680000</v>
      </c>
      <c r="BD26" s="441"/>
      <c r="BE26" s="441">
        <f t="shared" si="5"/>
        <v>3680000</v>
      </c>
      <c r="BF26" s="442"/>
      <c r="BG26" s="443">
        <f>AY26/30*2</f>
        <v>245333.33333333334</v>
      </c>
      <c r="BH26" s="444">
        <f t="shared" si="1"/>
        <v>0.33333333395421505</v>
      </c>
      <c r="BI26" s="435"/>
      <c r="BJ26" s="445">
        <v>0</v>
      </c>
      <c r="BK26" s="445">
        <v>0</v>
      </c>
      <c r="BL26" s="446">
        <f>+AJ26</f>
        <v>15946667</v>
      </c>
      <c r="BM26" s="445">
        <v>0</v>
      </c>
      <c r="BN26" s="445">
        <v>0</v>
      </c>
      <c r="BP26" s="447">
        <f t="shared" si="0"/>
        <v>0</v>
      </c>
      <c r="BR26" s="448">
        <v>0</v>
      </c>
      <c r="BS26" s="448">
        <v>0</v>
      </c>
      <c r="BT26" s="448">
        <f t="shared" ref="BT26" si="18">+AX26</f>
        <v>981334</v>
      </c>
      <c r="BU26" s="448">
        <v>0</v>
      </c>
      <c r="BV26" s="448">
        <v>0</v>
      </c>
      <c r="BW26" s="448"/>
    </row>
    <row r="27" spans="1:75" s="433" customFormat="1" x14ac:dyDescent="0.25">
      <c r="A27" s="433">
        <v>2024</v>
      </c>
      <c r="B27" s="433">
        <v>8</v>
      </c>
      <c r="C27" s="434">
        <v>45292</v>
      </c>
      <c r="D27" s="434">
        <v>45535</v>
      </c>
      <c r="E27" s="433" t="s">
        <v>481</v>
      </c>
      <c r="F27" s="434">
        <v>45524</v>
      </c>
      <c r="G27" s="433" t="s">
        <v>505</v>
      </c>
      <c r="H27" s="433" t="s">
        <v>506</v>
      </c>
      <c r="I27" s="433" t="s">
        <v>587</v>
      </c>
      <c r="J27" s="434">
        <v>45525</v>
      </c>
      <c r="K27" s="434">
        <v>45657</v>
      </c>
      <c r="L27" s="433" t="s">
        <v>588</v>
      </c>
      <c r="M27" s="433" t="s">
        <v>486</v>
      </c>
      <c r="N27" s="433" t="s">
        <v>487</v>
      </c>
      <c r="O27" s="433">
        <v>1558</v>
      </c>
      <c r="P27" s="433">
        <v>1835</v>
      </c>
      <c r="Q27" s="433" t="s">
        <v>562</v>
      </c>
      <c r="R27" s="433" t="s">
        <v>489</v>
      </c>
      <c r="S27" s="433" t="s">
        <v>490</v>
      </c>
      <c r="T27" s="433" t="s">
        <v>491</v>
      </c>
      <c r="U27" s="433" t="s">
        <v>492</v>
      </c>
      <c r="V27" s="433" t="s">
        <v>509</v>
      </c>
      <c r="W27" s="433" t="s">
        <v>510</v>
      </c>
      <c r="X27" s="433" t="s">
        <v>495</v>
      </c>
      <c r="Y27" s="433" t="s">
        <v>496</v>
      </c>
      <c r="Z27" s="433" t="s">
        <v>497</v>
      </c>
      <c r="AA27" s="433" t="s">
        <v>511</v>
      </c>
      <c r="AB27" s="433" t="s">
        <v>512</v>
      </c>
      <c r="AC27" s="433" t="s">
        <v>589</v>
      </c>
      <c r="AD27" s="433" t="s">
        <v>514</v>
      </c>
      <c r="AE27" s="433" t="s">
        <v>590</v>
      </c>
      <c r="AF27" s="433" t="s">
        <v>591</v>
      </c>
      <c r="AG27" s="435">
        <v>3986666</v>
      </c>
      <c r="AH27" s="435">
        <v>0</v>
      </c>
      <c r="AI27" s="435">
        <v>0</v>
      </c>
      <c r="AJ27" s="435">
        <v>3986666</v>
      </c>
      <c r="AK27" s="436">
        <v>245333</v>
      </c>
      <c r="AL27" s="435">
        <v>3986666</v>
      </c>
      <c r="AM27" s="433">
        <v>5000727535</v>
      </c>
      <c r="AN27" s="433">
        <v>2</v>
      </c>
      <c r="AO27" s="433">
        <v>591001</v>
      </c>
      <c r="AP27" s="433">
        <v>2</v>
      </c>
      <c r="AQ27" s="434">
        <v>45524</v>
      </c>
      <c r="AR27" s="437">
        <v>8198</v>
      </c>
      <c r="AS27" s="438">
        <f>4600000*20%</f>
        <v>920000</v>
      </c>
      <c r="AT27" s="439">
        <v>45527</v>
      </c>
      <c r="AU27" s="439">
        <v>45657</v>
      </c>
      <c r="AV27" s="440" t="s">
        <v>504</v>
      </c>
      <c r="AW27" s="441">
        <f>AS27/30*8</f>
        <v>245333.33333333334</v>
      </c>
      <c r="AX27" s="436">
        <v>245333</v>
      </c>
      <c r="AY27" s="441">
        <f t="shared" si="2"/>
        <v>920000</v>
      </c>
      <c r="AZ27" s="441"/>
      <c r="BA27" s="441">
        <f t="shared" si="3"/>
        <v>920000</v>
      </c>
      <c r="BB27" s="441"/>
      <c r="BC27" s="441">
        <f t="shared" si="4"/>
        <v>920000</v>
      </c>
      <c r="BD27" s="441"/>
      <c r="BE27" s="441">
        <f t="shared" si="5"/>
        <v>920000</v>
      </c>
      <c r="BF27" s="442"/>
      <c r="BG27" s="443">
        <f>AY27/30*2</f>
        <v>61333.333333333336</v>
      </c>
      <c r="BH27" s="444">
        <f t="shared" si="1"/>
        <v>-0.66666666651144624</v>
      </c>
      <c r="BI27" s="435"/>
      <c r="BJ27" s="445">
        <v>0</v>
      </c>
      <c r="BK27" s="445">
        <v>0</v>
      </c>
      <c r="BL27" s="445">
        <v>0</v>
      </c>
      <c r="BM27" s="446">
        <f>+AJ27</f>
        <v>3986666</v>
      </c>
      <c r="BN27" s="445">
        <v>0</v>
      </c>
      <c r="BP27" s="447">
        <f t="shared" si="0"/>
        <v>0</v>
      </c>
      <c r="BR27" s="448">
        <v>0</v>
      </c>
      <c r="BS27" s="448">
        <v>0</v>
      </c>
      <c r="BT27" s="448">
        <v>0</v>
      </c>
      <c r="BU27" s="448">
        <f t="shared" ref="BU27" si="19">+AX27</f>
        <v>245333</v>
      </c>
      <c r="BV27" s="448">
        <v>0</v>
      </c>
      <c r="BW27" s="448"/>
    </row>
    <row r="28" spans="1:75" s="433" customFormat="1" x14ac:dyDescent="0.25">
      <c r="A28" s="433">
        <v>2024</v>
      </c>
      <c r="B28" s="433">
        <v>8</v>
      </c>
      <c r="C28" s="434">
        <v>45292</v>
      </c>
      <c r="D28" s="434">
        <v>45535</v>
      </c>
      <c r="E28" s="433" t="s">
        <v>481</v>
      </c>
      <c r="F28" s="434">
        <v>45524</v>
      </c>
      <c r="G28" s="433" t="s">
        <v>505</v>
      </c>
      <c r="H28" s="433" t="s">
        <v>506</v>
      </c>
      <c r="I28" s="433" t="s">
        <v>592</v>
      </c>
      <c r="J28" s="434">
        <v>45525</v>
      </c>
      <c r="K28" s="434">
        <v>45657</v>
      </c>
      <c r="L28" s="433" t="s">
        <v>588</v>
      </c>
      <c r="M28" s="433" t="s">
        <v>486</v>
      </c>
      <c r="N28" s="433" t="s">
        <v>487</v>
      </c>
      <c r="O28" s="433">
        <v>1564</v>
      </c>
      <c r="P28" s="433">
        <v>1836</v>
      </c>
      <c r="Q28" s="433" t="s">
        <v>562</v>
      </c>
      <c r="R28" s="433" t="s">
        <v>489</v>
      </c>
      <c r="S28" s="433" t="s">
        <v>490</v>
      </c>
      <c r="T28" s="433" t="s">
        <v>491</v>
      </c>
      <c r="U28" s="433" t="s">
        <v>492</v>
      </c>
      <c r="V28" s="433" t="s">
        <v>509</v>
      </c>
      <c r="W28" s="433" t="s">
        <v>510</v>
      </c>
      <c r="X28" s="433" t="s">
        <v>495</v>
      </c>
      <c r="Y28" s="433" t="s">
        <v>496</v>
      </c>
      <c r="Z28" s="433" t="s">
        <v>497</v>
      </c>
      <c r="AA28" s="433" t="s">
        <v>511</v>
      </c>
      <c r="AB28" s="433" t="s">
        <v>512</v>
      </c>
      <c r="AC28" s="433" t="s">
        <v>593</v>
      </c>
      <c r="AD28" s="433" t="s">
        <v>514</v>
      </c>
      <c r="AE28" s="433" t="s">
        <v>594</v>
      </c>
      <c r="AF28" s="433" t="s">
        <v>595</v>
      </c>
      <c r="AG28" s="435">
        <v>15946667</v>
      </c>
      <c r="AH28" s="435">
        <v>0</v>
      </c>
      <c r="AI28" s="435">
        <v>0</v>
      </c>
      <c r="AJ28" s="435">
        <v>15946667</v>
      </c>
      <c r="AK28" s="436">
        <v>613334</v>
      </c>
      <c r="AL28" s="435">
        <v>15946667</v>
      </c>
      <c r="AM28" s="433">
        <v>5000727546</v>
      </c>
      <c r="AN28" s="433">
        <v>1</v>
      </c>
      <c r="AO28" s="433">
        <v>591051</v>
      </c>
      <c r="AP28" s="433">
        <v>1</v>
      </c>
      <c r="AQ28" s="434">
        <v>45524</v>
      </c>
      <c r="AR28" s="437">
        <v>8198</v>
      </c>
      <c r="AS28" s="438">
        <f>4600000*80%</f>
        <v>3680000</v>
      </c>
      <c r="AT28" s="439">
        <v>45530</v>
      </c>
      <c r="AU28" s="439">
        <v>45657</v>
      </c>
      <c r="AV28" s="440" t="s">
        <v>504</v>
      </c>
      <c r="AW28" s="441">
        <f>AS28/30*5</f>
        <v>613333.33333333337</v>
      </c>
      <c r="AX28" s="436">
        <v>613334</v>
      </c>
      <c r="AY28" s="441">
        <f t="shared" si="2"/>
        <v>3680000</v>
      </c>
      <c r="AZ28" s="441"/>
      <c r="BA28" s="441">
        <f t="shared" si="3"/>
        <v>3680000</v>
      </c>
      <c r="BB28" s="441"/>
      <c r="BC28" s="441">
        <f t="shared" si="4"/>
        <v>3680000</v>
      </c>
      <c r="BD28" s="441"/>
      <c r="BE28" s="441">
        <f t="shared" si="5"/>
        <v>3680000</v>
      </c>
      <c r="BF28" s="442"/>
      <c r="BG28" s="443">
        <f>AS28/30*5</f>
        <v>613333.33333333337</v>
      </c>
      <c r="BH28" s="444">
        <f t="shared" si="1"/>
        <v>0.33333333395421505</v>
      </c>
      <c r="BI28" s="435"/>
      <c r="BJ28" s="445">
        <v>0</v>
      </c>
      <c r="BK28" s="445">
        <v>0</v>
      </c>
      <c r="BL28" s="446">
        <f>+AJ28</f>
        <v>15946667</v>
      </c>
      <c r="BM28" s="445">
        <v>0</v>
      </c>
      <c r="BN28" s="445">
        <v>0</v>
      </c>
      <c r="BP28" s="447">
        <f>+AJ28-SUM(BJ28:BN28)</f>
        <v>0</v>
      </c>
      <c r="BR28" s="448">
        <v>0</v>
      </c>
      <c r="BS28" s="448">
        <v>0</v>
      </c>
      <c r="BT28" s="448">
        <f t="shared" ref="BT28" si="20">+AX28</f>
        <v>613334</v>
      </c>
      <c r="BU28" s="448">
        <v>0</v>
      </c>
      <c r="BV28" s="448">
        <v>0</v>
      </c>
      <c r="BW28" s="448"/>
    </row>
    <row r="29" spans="1:75" s="433" customFormat="1" x14ac:dyDescent="0.25">
      <c r="A29" s="433">
        <v>2024</v>
      </c>
      <c r="B29" s="433">
        <v>8</v>
      </c>
      <c r="C29" s="434">
        <v>45292</v>
      </c>
      <c r="D29" s="434">
        <v>45535</v>
      </c>
      <c r="E29" s="433" t="s">
        <v>481</v>
      </c>
      <c r="F29" s="434">
        <v>45524</v>
      </c>
      <c r="G29" s="433" t="s">
        <v>505</v>
      </c>
      <c r="H29" s="433" t="s">
        <v>506</v>
      </c>
      <c r="I29" s="433" t="s">
        <v>592</v>
      </c>
      <c r="J29" s="434">
        <v>45525</v>
      </c>
      <c r="K29" s="434">
        <v>45657</v>
      </c>
      <c r="L29" s="433" t="s">
        <v>588</v>
      </c>
      <c r="M29" s="433" t="s">
        <v>486</v>
      </c>
      <c r="N29" s="433" t="s">
        <v>487</v>
      </c>
      <c r="O29" s="433">
        <v>1564</v>
      </c>
      <c r="P29" s="433">
        <v>1836</v>
      </c>
      <c r="Q29" s="433" t="s">
        <v>562</v>
      </c>
      <c r="R29" s="433" t="s">
        <v>489</v>
      </c>
      <c r="S29" s="433" t="s">
        <v>490</v>
      </c>
      <c r="T29" s="433" t="s">
        <v>491</v>
      </c>
      <c r="U29" s="433" t="s">
        <v>492</v>
      </c>
      <c r="V29" s="433" t="s">
        <v>509</v>
      </c>
      <c r="W29" s="433" t="s">
        <v>510</v>
      </c>
      <c r="X29" s="433" t="s">
        <v>495</v>
      </c>
      <c r="Y29" s="433" t="s">
        <v>496</v>
      </c>
      <c r="Z29" s="433" t="s">
        <v>497</v>
      </c>
      <c r="AA29" s="433" t="s">
        <v>511</v>
      </c>
      <c r="AB29" s="433" t="s">
        <v>512</v>
      </c>
      <c r="AC29" s="433" t="s">
        <v>593</v>
      </c>
      <c r="AD29" s="433" t="s">
        <v>514</v>
      </c>
      <c r="AE29" s="433" t="s">
        <v>594</v>
      </c>
      <c r="AF29" s="433" t="s">
        <v>595</v>
      </c>
      <c r="AG29" s="435">
        <v>3986666</v>
      </c>
      <c r="AH29" s="435">
        <v>0</v>
      </c>
      <c r="AI29" s="435">
        <v>0</v>
      </c>
      <c r="AJ29" s="435">
        <v>3986666</v>
      </c>
      <c r="AK29" s="436">
        <v>153333</v>
      </c>
      <c r="AL29" s="435">
        <v>3986666</v>
      </c>
      <c r="AM29" s="433">
        <v>5000727546</v>
      </c>
      <c r="AN29" s="433">
        <v>2</v>
      </c>
      <c r="AO29" s="433">
        <v>591051</v>
      </c>
      <c r="AP29" s="433">
        <v>2</v>
      </c>
      <c r="AQ29" s="434">
        <v>45524</v>
      </c>
      <c r="AR29" s="437">
        <v>8198</v>
      </c>
      <c r="AS29" s="438">
        <f>4600000*20%</f>
        <v>920000</v>
      </c>
      <c r="AT29" s="439">
        <v>45530</v>
      </c>
      <c r="AU29" s="439">
        <v>45657</v>
      </c>
      <c r="AV29" s="440" t="s">
        <v>504</v>
      </c>
      <c r="AW29" s="441">
        <f>AS29/30*5</f>
        <v>153333.33333333334</v>
      </c>
      <c r="AX29" s="436">
        <v>153333</v>
      </c>
      <c r="AY29" s="441">
        <f t="shared" si="2"/>
        <v>920000</v>
      </c>
      <c r="AZ29" s="441"/>
      <c r="BA29" s="441">
        <f t="shared" si="3"/>
        <v>920000</v>
      </c>
      <c r="BB29" s="441"/>
      <c r="BC29" s="441">
        <f t="shared" si="4"/>
        <v>920000</v>
      </c>
      <c r="BD29" s="441"/>
      <c r="BE29" s="441">
        <f t="shared" si="5"/>
        <v>920000</v>
      </c>
      <c r="BF29" s="442"/>
      <c r="BG29" s="443">
        <f>AS29/30*5</f>
        <v>153333.33333333334</v>
      </c>
      <c r="BH29" s="444">
        <f t="shared" si="1"/>
        <v>-0.66666666651144624</v>
      </c>
      <c r="BI29" s="435"/>
      <c r="BJ29" s="445">
        <v>0</v>
      </c>
      <c r="BK29" s="445">
        <v>0</v>
      </c>
      <c r="BL29" s="445">
        <v>0</v>
      </c>
      <c r="BM29" s="446">
        <f>+AJ29</f>
        <v>3986666</v>
      </c>
      <c r="BN29" s="445">
        <v>0</v>
      </c>
      <c r="BP29" s="447">
        <f t="shared" si="0"/>
        <v>0</v>
      </c>
      <c r="BR29" s="448">
        <v>0</v>
      </c>
      <c r="BS29" s="448">
        <v>0</v>
      </c>
      <c r="BT29" s="448">
        <v>0</v>
      </c>
      <c r="BU29" s="448">
        <f t="shared" ref="BU29" si="21">+AX29</f>
        <v>153333</v>
      </c>
      <c r="BV29" s="448">
        <v>0</v>
      </c>
      <c r="BW29" s="448"/>
    </row>
    <row r="30" spans="1:75" s="303" customFormat="1" ht="12" x14ac:dyDescent="0.25">
      <c r="C30" s="304"/>
      <c r="D30" s="304"/>
      <c r="F30" s="304"/>
      <c r="J30" s="304"/>
      <c r="K30" s="304"/>
      <c r="AF30" s="303" t="s">
        <v>596</v>
      </c>
      <c r="AG30" s="305">
        <f>9500000*3</f>
        <v>28500000</v>
      </c>
      <c r="AH30" s="305"/>
      <c r="AI30" s="305"/>
      <c r="AJ30" s="305"/>
      <c r="AK30" s="305"/>
      <c r="AL30" s="305">
        <f>9500000*3</f>
        <v>28500000</v>
      </c>
      <c r="AQ30" s="304"/>
      <c r="AR30" s="306"/>
      <c r="AS30" s="307"/>
      <c r="AT30" s="308"/>
      <c r="AU30" s="308"/>
      <c r="AV30" s="309"/>
      <c r="AW30" s="310"/>
      <c r="AX30" s="310"/>
      <c r="AY30" s="310">
        <v>0</v>
      </c>
      <c r="AZ30" s="310"/>
      <c r="BA30" s="310">
        <v>9500000</v>
      </c>
      <c r="BB30" s="310"/>
      <c r="BC30" s="310">
        <v>9500000</v>
      </c>
      <c r="BD30" s="310"/>
      <c r="BE30" s="310">
        <v>9500000</v>
      </c>
      <c r="BF30" s="311"/>
      <c r="BG30" s="312">
        <v>0</v>
      </c>
      <c r="BH30" s="313">
        <f t="shared" si="1"/>
        <v>-28500000</v>
      </c>
      <c r="BI30" s="305"/>
      <c r="BJ30" s="314"/>
      <c r="BK30" s="314"/>
      <c r="BL30" s="314"/>
      <c r="BM30" s="315"/>
      <c r="BN30" s="314"/>
      <c r="BP30" s="316"/>
      <c r="BR30" s="318">
        <v>0</v>
      </c>
      <c r="BS30" s="318">
        <v>0</v>
      </c>
      <c r="BT30" s="318">
        <v>0</v>
      </c>
      <c r="BU30" s="318">
        <v>0</v>
      </c>
      <c r="BV30" s="318">
        <v>0</v>
      </c>
      <c r="BW30" s="318"/>
    </row>
    <row r="31" spans="1:75" s="303" customFormat="1" ht="12" x14ac:dyDescent="0.25">
      <c r="C31" s="304"/>
      <c r="D31" s="304"/>
      <c r="F31" s="304"/>
      <c r="J31" s="304"/>
      <c r="K31" s="304"/>
      <c r="AF31" s="303" t="s">
        <v>597</v>
      </c>
      <c r="AG31" s="305">
        <f>7210000*3</f>
        <v>21630000</v>
      </c>
      <c r="AH31" s="305"/>
      <c r="AI31" s="305"/>
      <c r="AJ31" s="305"/>
      <c r="AK31" s="305"/>
      <c r="AL31" s="305">
        <f>7210000*3</f>
        <v>21630000</v>
      </c>
      <c r="AQ31" s="304"/>
      <c r="AR31" s="306"/>
      <c r="AS31" s="307"/>
      <c r="AT31" s="308"/>
      <c r="AU31" s="308"/>
      <c r="AV31" s="309"/>
      <c r="AW31" s="310"/>
      <c r="AX31" s="310"/>
      <c r="AY31" s="310">
        <v>0</v>
      </c>
      <c r="AZ31" s="310"/>
      <c r="BA31" s="310">
        <v>7210000</v>
      </c>
      <c r="BB31" s="310"/>
      <c r="BC31" s="310">
        <v>7210000</v>
      </c>
      <c r="BD31" s="310"/>
      <c r="BE31" s="310">
        <v>7210000</v>
      </c>
      <c r="BF31" s="311"/>
      <c r="BG31" s="312">
        <v>0</v>
      </c>
      <c r="BH31" s="313">
        <f t="shared" si="1"/>
        <v>-21630000</v>
      </c>
      <c r="BI31" s="305"/>
      <c r="BJ31" s="314"/>
      <c r="BK31" s="314"/>
      <c r="BL31" s="314"/>
      <c r="BM31" s="315"/>
      <c r="BN31" s="314"/>
      <c r="BO31" s="303">
        <v>573562104</v>
      </c>
      <c r="BP31" s="316"/>
      <c r="BR31" s="318">
        <v>0</v>
      </c>
      <c r="BS31" s="318">
        <v>0</v>
      </c>
      <c r="BT31" s="318">
        <v>0</v>
      </c>
      <c r="BU31" s="318">
        <v>0</v>
      </c>
      <c r="BV31" s="318">
        <v>0</v>
      </c>
      <c r="BW31" s="318"/>
    </row>
    <row r="32" spans="1:75" s="303" customFormat="1" ht="12" x14ac:dyDescent="0.25">
      <c r="C32" s="304"/>
      <c r="D32" s="304"/>
      <c r="F32" s="304"/>
      <c r="J32" s="304"/>
      <c r="K32" s="304"/>
      <c r="AF32" s="303" t="s">
        <v>598</v>
      </c>
      <c r="AG32" s="305">
        <f>9000000*2</f>
        <v>18000000</v>
      </c>
      <c r="AH32" s="305"/>
      <c r="AI32" s="305"/>
      <c r="AJ32" s="305"/>
      <c r="AK32" s="305"/>
      <c r="AL32" s="305">
        <f>9000000*2</f>
        <v>18000000</v>
      </c>
      <c r="AQ32" s="304"/>
      <c r="AR32" s="306"/>
      <c r="AS32" s="307"/>
      <c r="AT32" s="308"/>
      <c r="AU32" s="308"/>
      <c r="AV32" s="309"/>
      <c r="AW32" s="310"/>
      <c r="AX32" s="310"/>
      <c r="AY32" s="310">
        <v>0</v>
      </c>
      <c r="AZ32" s="310"/>
      <c r="BA32" s="310">
        <v>0</v>
      </c>
      <c r="BB32" s="310"/>
      <c r="BC32" s="310">
        <v>9000000</v>
      </c>
      <c r="BD32" s="310"/>
      <c r="BE32" s="310">
        <v>9000000</v>
      </c>
      <c r="BF32" s="311"/>
      <c r="BG32" s="312">
        <v>0</v>
      </c>
      <c r="BH32" s="313">
        <f t="shared" si="1"/>
        <v>-18000000</v>
      </c>
      <c r="BI32" s="305"/>
      <c r="BJ32" s="314"/>
      <c r="BK32" s="314"/>
      <c r="BL32" s="314"/>
      <c r="BM32" s="315"/>
      <c r="BN32" s="314"/>
      <c r="BP32" s="316"/>
      <c r="BR32" s="318">
        <v>0</v>
      </c>
      <c r="BS32" s="318">
        <v>0</v>
      </c>
      <c r="BT32" s="318">
        <v>0</v>
      </c>
      <c r="BU32" s="318">
        <v>0</v>
      </c>
      <c r="BV32" s="318">
        <v>0</v>
      </c>
      <c r="BW32" s="318"/>
    </row>
    <row r="33" spans="1:75" s="303" customFormat="1" ht="12" x14ac:dyDescent="0.25">
      <c r="C33" s="304"/>
      <c r="D33" s="304"/>
      <c r="F33" s="304"/>
      <c r="J33" s="304"/>
      <c r="K33" s="304"/>
      <c r="AF33" s="303" t="s">
        <v>599</v>
      </c>
      <c r="AG33" s="305">
        <f>4165000</f>
        <v>4165000</v>
      </c>
      <c r="AH33" s="305"/>
      <c r="AI33" s="305"/>
      <c r="AJ33" s="305"/>
      <c r="AK33" s="305"/>
      <c r="AL33" s="305">
        <f>4165000</f>
        <v>4165000</v>
      </c>
      <c r="AQ33" s="304"/>
      <c r="AR33" s="306"/>
      <c r="AS33" s="307"/>
      <c r="AT33" s="308"/>
      <c r="AU33" s="308"/>
      <c r="AV33" s="309"/>
      <c r="AW33" s="310"/>
      <c r="AX33" s="310"/>
      <c r="AY33" s="310">
        <f>(8400000-AY7)/2</f>
        <v>595000</v>
      </c>
      <c r="AZ33" s="310"/>
      <c r="BA33" s="310">
        <f>8400000-BA7</f>
        <v>1190000</v>
      </c>
      <c r="BB33" s="310"/>
      <c r="BC33" s="310">
        <f>8400000-BC7</f>
        <v>1190000</v>
      </c>
      <c r="BD33" s="310"/>
      <c r="BE33" s="310">
        <f>8400000-BE7</f>
        <v>1190000</v>
      </c>
      <c r="BF33" s="311"/>
      <c r="BG33" s="312">
        <v>0</v>
      </c>
      <c r="BH33" s="313">
        <f t="shared" si="1"/>
        <v>-4165000</v>
      </c>
      <c r="BI33" s="305"/>
      <c r="BJ33" s="314"/>
      <c r="BK33" s="314"/>
      <c r="BL33" s="314"/>
      <c r="BM33" s="315"/>
      <c r="BN33" s="314"/>
      <c r="BP33" s="316"/>
      <c r="BR33" s="318"/>
      <c r="BS33" s="318"/>
      <c r="BT33" s="318"/>
      <c r="BU33" s="318"/>
      <c r="BV33" s="318"/>
      <c r="BW33" s="318"/>
    </row>
    <row r="34" spans="1:75" x14ac:dyDescent="0.25">
      <c r="AY34" s="321"/>
      <c r="AZ34" s="321"/>
      <c r="BA34" s="321"/>
      <c r="BB34" s="321"/>
      <c r="BC34" s="321"/>
      <c r="BD34" s="321"/>
      <c r="BE34" s="321"/>
      <c r="BF34" s="321"/>
      <c r="BO34" s="323"/>
      <c r="BR34" s="318"/>
      <c r="BS34" s="318"/>
      <c r="BT34" s="318"/>
      <c r="BU34" s="318"/>
      <c r="BV34" s="318"/>
      <c r="BW34" s="318"/>
    </row>
    <row r="35" spans="1:75" s="325" customFormat="1" ht="12" x14ac:dyDescent="0.25">
      <c r="A35" s="324"/>
      <c r="I35" s="324"/>
      <c r="Q35" s="324"/>
      <c r="R35" s="324"/>
      <c r="S35" s="324"/>
      <c r="X35" s="324"/>
      <c r="AF35" s="324">
        <v>8198</v>
      </c>
      <c r="AG35" s="326">
        <f t="shared" ref="AG35:AL35" si="22">+AG2+AG3+AG4+AG5+AG6+AG7+AG8+AG9+AG10+AG11+AG12+AG13+AG14+AG15+AG16+AG17+AG18+AG19+AG20+AG21+AG22+AG23+AG24+AG25+AG26+AG27+AG28+AG29</f>
        <v>513933318</v>
      </c>
      <c r="AH35" s="326">
        <f t="shared" si="22"/>
        <v>0</v>
      </c>
      <c r="AI35" s="326">
        <f t="shared" si="22"/>
        <v>0</v>
      </c>
      <c r="AJ35" s="326">
        <f t="shared" si="22"/>
        <v>513933318</v>
      </c>
      <c r="AK35" s="326">
        <f t="shared" si="22"/>
        <v>56696990</v>
      </c>
      <c r="AL35" s="326">
        <f t="shared" si="22"/>
        <v>513933318</v>
      </c>
      <c r="AM35" s="326"/>
      <c r="AR35" s="327"/>
      <c r="AS35" s="328"/>
      <c r="AT35" s="329"/>
      <c r="AU35" s="329"/>
      <c r="AV35" s="324"/>
      <c r="AW35" s="326">
        <f>+AW2+AW3+AW4+AW5+AW6+AW7+AW8+AW9+AW10+AW11+AW12+AW13+AW14+AW15+AW16+AW17+AW18+AW19+AW20+AW21+AW22+AW23+AW24+AW25+AW26+AW27+AW28+AW29+AW30+AW31+AW32+AW33</f>
        <v>56696990.000000007</v>
      </c>
      <c r="AX35" s="326">
        <f>SUM(AX2:AX33)</f>
        <v>56696990</v>
      </c>
      <c r="AY35" s="326">
        <f t="shared" ref="AY35:BG35" si="23">+AY2+AY3+AY4+AY5+AY6+AY7+AY8+AY9+AY10+AY11+AY12+AY13+AY14+AY15+AY16+AY17+AY18+AY19+AY20+AY21+AY22+AY23+AY24+AY25+AY26+AY27+AY28+AY29+AY30+AY31+AY32+AY33</f>
        <v>113019396</v>
      </c>
      <c r="AZ35" s="326"/>
      <c r="BA35" s="326">
        <f t="shared" si="23"/>
        <v>125785450</v>
      </c>
      <c r="BB35" s="326"/>
      <c r="BC35" s="326">
        <f t="shared" si="23"/>
        <v>134785450</v>
      </c>
      <c r="BD35" s="326"/>
      <c r="BE35" s="326">
        <f t="shared" si="23"/>
        <v>140385941.66666666</v>
      </c>
      <c r="BF35" s="326"/>
      <c r="BG35" s="330">
        <f t="shared" si="23"/>
        <v>15555093.333333338</v>
      </c>
      <c r="BH35" s="326">
        <f>+BH2+BH3+BH4+BH5+BH6+BH7+BH8+BH9+BH10+BH11+BH12+BH13+BH14+BH15+BH16+BH17+BH18+BH19+BH20+BH21+BH22+BH23+BH24+BH25+BH26+BH27+BH28+BH29</f>
        <v>-2.9999999972060323</v>
      </c>
      <c r="BI35" s="326">
        <f>+AW35+AY35+BA35+BC35+BE35</f>
        <v>570673227.66666663</v>
      </c>
      <c r="BJ35" s="331">
        <f>+BJ2+BJ3+BJ4+BJ5+BJ6+BJ7+BJ8+BJ9+BJ10+BJ11+BJ12+BJ13+BJ14+BJ15+BJ16+BJ17+BJ18+BJ19+BJ20+BJ21+BJ22+BJ23+BJ24+BJ25+BJ26+BJ27+BJ28+BJ29</f>
        <v>55697250</v>
      </c>
      <c r="BK35" s="331">
        <f>+BK2+BK3+BK4+BK5+BK6+BK7+BK8+BK9+BK10+BK11+BK12+BK13+BK14+BK15+BK16+BK17+BK18+BK19+BK20+BK21+BK22+BK23+BK24+BK25+BK26+BK27+BK28+BK29</f>
        <v>0</v>
      </c>
      <c r="BL35" s="331">
        <f>+BL2+BL3+BL4+BL5+BL6+BL7+BL8+BL9+BL10+BL11+BL12+BL13+BL14+BL15+BL16+BL17+BL18+BL19+BL20+BL21+BL22+BL23+BL24+BL25+BL26+BL27+BL28+BL29</f>
        <v>334634016</v>
      </c>
      <c r="BM35" s="331">
        <f>+BM2+BM3+BM4+BM5+BM6+BM7+BM8+BM9+BM10+BM11+BM12+BM13+BM14+BM15+BM16+BM17+BM18+BM19+BM20+BM21+BM22+BM23+BM24+BM25+BM26+BM27+BM28+BM29</f>
        <v>72277052</v>
      </c>
      <c r="BN35" s="331">
        <f>+BN2+BN3+BN4+BN5+BN6+BN7+BN8+BN9+BN10+BN11+BN12+BN13+BN14+BN15+BN16+BN17+BN18+BN19+BN20+BN21+BN22+BN23+BN24+BN25+BN26+BN27+BN28+BN29</f>
        <v>51325000</v>
      </c>
      <c r="BO35" s="323">
        <f>+BJ35+BK35+BL35+BM35+BN35</f>
        <v>513933318</v>
      </c>
      <c r="BP35" s="332"/>
      <c r="BR35" s="318">
        <f>SUM(BR2:BR34)</f>
        <v>9654190</v>
      </c>
      <c r="BS35" s="318">
        <f>SUM(BS2:BS34)</f>
        <v>0</v>
      </c>
      <c r="BT35" s="318">
        <f>SUM(BT2:BT34)</f>
        <v>32741317</v>
      </c>
      <c r="BU35" s="318">
        <f>SUM(BU2:BU34)</f>
        <v>7203016</v>
      </c>
      <c r="BV35" s="318">
        <f>SUM(BV2:BV34)</f>
        <v>7098467</v>
      </c>
      <c r="BW35" s="318">
        <f>SUM(BR35:BV35)</f>
        <v>56696990</v>
      </c>
    </row>
    <row r="36" spans="1:75" x14ac:dyDescent="0.25">
      <c r="AW36" s="333" t="s">
        <v>600</v>
      </c>
      <c r="AX36" s="333"/>
      <c r="BO36" s="321">
        <f>+BO31-BO35</f>
        <v>59628786</v>
      </c>
      <c r="BR36" s="318"/>
      <c r="BS36" s="318"/>
      <c r="BT36" s="318"/>
      <c r="BU36" s="318"/>
      <c r="BV36" s="318"/>
      <c r="BW36" s="318">
        <f>+BW35-AW35</f>
        <v>0</v>
      </c>
    </row>
    <row r="37" spans="1:75" x14ac:dyDescent="0.25">
      <c r="AW37" s="321"/>
      <c r="AX37" s="321"/>
    </row>
    <row r="39" spans="1:75" s="325" customFormat="1" ht="12" x14ac:dyDescent="0.25">
      <c r="A39" s="324">
        <v>2024</v>
      </c>
      <c r="B39" s="325">
        <v>7</v>
      </c>
      <c r="C39" s="335">
        <v>45292</v>
      </c>
      <c r="D39" s="335">
        <v>45535</v>
      </c>
      <c r="E39" s="325" t="s">
        <v>481</v>
      </c>
      <c r="F39" s="335">
        <v>45504</v>
      </c>
      <c r="G39" s="325" t="s">
        <v>482</v>
      </c>
      <c r="H39" s="325" t="s">
        <v>483</v>
      </c>
      <c r="I39" s="324" t="s">
        <v>484</v>
      </c>
      <c r="J39" s="335">
        <v>45498</v>
      </c>
      <c r="K39" s="335">
        <v>45657</v>
      </c>
      <c r="L39" s="325" t="s">
        <v>485</v>
      </c>
      <c r="M39" s="325" t="s">
        <v>486</v>
      </c>
      <c r="N39" s="325" t="s">
        <v>487</v>
      </c>
      <c r="O39" s="325">
        <v>1171</v>
      </c>
      <c r="P39" s="325">
        <v>1289</v>
      </c>
      <c r="Q39" s="324" t="s">
        <v>488</v>
      </c>
      <c r="R39" s="324" t="s">
        <v>489</v>
      </c>
      <c r="S39" s="324" t="s">
        <v>490</v>
      </c>
      <c r="T39" s="325" t="s">
        <v>491</v>
      </c>
      <c r="U39" s="325" t="s">
        <v>492</v>
      </c>
      <c r="V39" s="325" t="s">
        <v>493</v>
      </c>
      <c r="W39" s="325" t="s">
        <v>494</v>
      </c>
      <c r="X39" s="324" t="s">
        <v>495</v>
      </c>
      <c r="Y39" s="325" t="s">
        <v>496</v>
      </c>
      <c r="Z39" s="325" t="s">
        <v>497</v>
      </c>
      <c r="AA39" s="325" t="s">
        <v>498</v>
      </c>
      <c r="AB39" s="325" t="s">
        <v>499</v>
      </c>
      <c r="AC39" s="325" t="s">
        <v>500</v>
      </c>
      <c r="AD39" s="325" t="s">
        <v>501</v>
      </c>
      <c r="AE39" s="325" t="s">
        <v>502</v>
      </c>
      <c r="AF39" s="324" t="s">
        <v>503</v>
      </c>
      <c r="AG39" s="336">
        <v>27376904</v>
      </c>
      <c r="AH39" s="336">
        <v>0</v>
      </c>
      <c r="AI39" s="336">
        <v>0</v>
      </c>
      <c r="AJ39" s="336">
        <v>27376904</v>
      </c>
      <c r="AK39" s="336">
        <v>0</v>
      </c>
      <c r="AL39" s="336">
        <v>27376904</v>
      </c>
      <c r="AM39" s="325">
        <v>5000717080</v>
      </c>
      <c r="AN39" s="325">
        <v>1</v>
      </c>
      <c r="AO39" s="325">
        <v>587548</v>
      </c>
      <c r="AP39" s="325">
        <v>3</v>
      </c>
      <c r="AQ39" s="335">
        <v>45504</v>
      </c>
      <c r="AR39" s="337">
        <v>8198</v>
      </c>
      <c r="AS39" s="338"/>
      <c r="AT39" s="339"/>
      <c r="AU39" s="339"/>
      <c r="AV39" s="340" t="s">
        <v>504</v>
      </c>
      <c r="AW39" s="341">
        <v>0</v>
      </c>
      <c r="AX39" s="341"/>
      <c r="AY39" s="341">
        <v>0</v>
      </c>
      <c r="AZ39" s="341"/>
      <c r="BA39" s="341">
        <v>0</v>
      </c>
      <c r="BB39" s="341"/>
      <c r="BC39" s="341">
        <v>0</v>
      </c>
      <c r="BD39" s="341"/>
      <c r="BE39" s="341">
        <v>0</v>
      </c>
      <c r="BF39" s="342"/>
      <c r="BG39" s="343">
        <v>0</v>
      </c>
      <c r="BH39" s="344">
        <f>27376904/2</f>
        <v>13688452</v>
      </c>
      <c r="BI39" s="336"/>
      <c r="BJ39" s="327">
        <v>0</v>
      </c>
      <c r="BK39" s="327">
        <v>0</v>
      </c>
      <c r="BL39" s="345">
        <f>+AG39</f>
        <v>27376904</v>
      </c>
      <c r="BM39" s="327">
        <v>0</v>
      </c>
      <c r="BN39" s="327">
        <v>0</v>
      </c>
      <c r="BO39" s="325" t="s">
        <v>601</v>
      </c>
      <c r="BP39" s="332">
        <f t="shared" ref="BP39:BP40" si="24">+AJ39-SUM(BJ39:BN39)</f>
        <v>0</v>
      </c>
      <c r="BQ39" s="346"/>
      <c r="BR39" s="347"/>
      <c r="BS39" s="348"/>
      <c r="BT39" s="347"/>
      <c r="BU39" s="347"/>
      <c r="BV39" s="347"/>
    </row>
    <row r="40" spans="1:75" s="325" customFormat="1" ht="12" x14ac:dyDescent="0.25">
      <c r="A40" s="324">
        <v>2024</v>
      </c>
      <c r="B40" s="325">
        <v>7</v>
      </c>
      <c r="C40" s="335">
        <v>45292</v>
      </c>
      <c r="D40" s="335">
        <v>45535</v>
      </c>
      <c r="E40" s="325" t="s">
        <v>481</v>
      </c>
      <c r="F40" s="335">
        <v>45504</v>
      </c>
      <c r="G40" s="325" t="s">
        <v>482</v>
      </c>
      <c r="H40" s="325" t="s">
        <v>483</v>
      </c>
      <c r="I40" s="324" t="s">
        <v>484</v>
      </c>
      <c r="J40" s="335">
        <v>45498</v>
      </c>
      <c r="K40" s="335">
        <v>45657</v>
      </c>
      <c r="L40" s="325" t="s">
        <v>485</v>
      </c>
      <c r="M40" s="325" t="s">
        <v>486</v>
      </c>
      <c r="N40" s="325" t="s">
        <v>487</v>
      </c>
      <c r="O40" s="325">
        <v>1171</v>
      </c>
      <c r="P40" s="325">
        <v>1289</v>
      </c>
      <c r="Q40" s="324" t="s">
        <v>488</v>
      </c>
      <c r="R40" s="324" t="s">
        <v>489</v>
      </c>
      <c r="S40" s="324" t="s">
        <v>490</v>
      </c>
      <c r="T40" s="325" t="s">
        <v>491</v>
      </c>
      <c r="U40" s="325" t="s">
        <v>492</v>
      </c>
      <c r="V40" s="325" t="s">
        <v>493</v>
      </c>
      <c r="W40" s="325" t="s">
        <v>494</v>
      </c>
      <c r="X40" s="324" t="s">
        <v>495</v>
      </c>
      <c r="Y40" s="325" t="s">
        <v>496</v>
      </c>
      <c r="Z40" s="325" t="s">
        <v>497</v>
      </c>
      <c r="AA40" s="325" t="s">
        <v>498</v>
      </c>
      <c r="AB40" s="325" t="s">
        <v>499</v>
      </c>
      <c r="AC40" s="325" t="s">
        <v>500</v>
      </c>
      <c r="AD40" s="325" t="s">
        <v>501</v>
      </c>
      <c r="AE40" s="325" t="s">
        <v>502</v>
      </c>
      <c r="AF40" s="324" t="s">
        <v>503</v>
      </c>
      <c r="AG40" s="336">
        <v>6405667</v>
      </c>
      <c r="AH40" s="336">
        <v>0</v>
      </c>
      <c r="AI40" s="336">
        <v>0</v>
      </c>
      <c r="AJ40" s="336">
        <v>6405667</v>
      </c>
      <c r="AK40" s="336">
        <v>0</v>
      </c>
      <c r="AL40" s="336">
        <v>6405667</v>
      </c>
      <c r="AM40" s="325">
        <v>5000717080</v>
      </c>
      <c r="AN40" s="325">
        <v>2</v>
      </c>
      <c r="AO40" s="325">
        <v>587548</v>
      </c>
      <c r="AP40" s="325">
        <v>4</v>
      </c>
      <c r="AQ40" s="335">
        <v>45504</v>
      </c>
      <c r="AR40" s="337">
        <v>8198</v>
      </c>
      <c r="AS40" s="338"/>
      <c r="AT40" s="339"/>
      <c r="AU40" s="339"/>
      <c r="AV40" s="340" t="s">
        <v>504</v>
      </c>
      <c r="AW40" s="341">
        <v>0</v>
      </c>
      <c r="AX40" s="341"/>
      <c r="AY40" s="341">
        <v>0</v>
      </c>
      <c r="AZ40" s="341"/>
      <c r="BA40" s="341">
        <v>0</v>
      </c>
      <c r="BB40" s="341"/>
      <c r="BC40" s="341">
        <v>0</v>
      </c>
      <c r="BD40" s="341"/>
      <c r="BE40" s="341">
        <v>0</v>
      </c>
      <c r="BF40" s="342"/>
      <c r="BG40" s="343">
        <v>0</v>
      </c>
      <c r="BH40" s="344">
        <f>6405667/2</f>
        <v>3202833.5</v>
      </c>
      <c r="BI40" s="336"/>
      <c r="BJ40" s="327">
        <v>0</v>
      </c>
      <c r="BK40" s="327">
        <v>0</v>
      </c>
      <c r="BL40" s="345">
        <f>+AG40</f>
        <v>6405667</v>
      </c>
      <c r="BM40" s="327">
        <v>0</v>
      </c>
      <c r="BN40" s="327">
        <v>0</v>
      </c>
      <c r="BO40" s="325" t="s">
        <v>601</v>
      </c>
      <c r="BP40" s="332">
        <f t="shared" si="24"/>
        <v>0</v>
      </c>
      <c r="BQ40" s="346"/>
      <c r="BR40" s="347"/>
      <c r="BS40" s="348"/>
      <c r="BT40" s="347"/>
      <c r="BU40" s="347"/>
      <c r="BV40" s="347"/>
    </row>
    <row r="41" spans="1:75" s="362" customFormat="1" ht="12" x14ac:dyDescent="0.25">
      <c r="A41" s="349">
        <v>2024</v>
      </c>
      <c r="B41" s="350">
        <v>8</v>
      </c>
      <c r="C41" s="351">
        <v>45292</v>
      </c>
      <c r="D41" s="351">
        <v>45535</v>
      </c>
      <c r="E41" s="350" t="s">
        <v>481</v>
      </c>
      <c r="F41" s="351">
        <v>45509</v>
      </c>
      <c r="G41" s="350" t="s">
        <v>505</v>
      </c>
      <c r="H41" s="350" t="s">
        <v>506</v>
      </c>
      <c r="I41" s="349" t="s">
        <v>602</v>
      </c>
      <c r="J41" s="351">
        <v>45509</v>
      </c>
      <c r="K41" s="351">
        <v>45636</v>
      </c>
      <c r="L41" s="350" t="s">
        <v>534</v>
      </c>
      <c r="M41" s="350" t="s">
        <v>486</v>
      </c>
      <c r="N41" s="350" t="s">
        <v>487</v>
      </c>
      <c r="O41" s="350">
        <v>1542</v>
      </c>
      <c r="P41" s="350">
        <v>1527</v>
      </c>
      <c r="Q41" s="349" t="s">
        <v>535</v>
      </c>
      <c r="R41" s="349" t="s">
        <v>489</v>
      </c>
      <c r="S41" s="349" t="s">
        <v>490</v>
      </c>
      <c r="T41" s="350" t="s">
        <v>491</v>
      </c>
      <c r="U41" s="350" t="s">
        <v>492</v>
      </c>
      <c r="V41" s="350" t="s">
        <v>509</v>
      </c>
      <c r="W41" s="350" t="s">
        <v>510</v>
      </c>
      <c r="X41" s="349" t="s">
        <v>495</v>
      </c>
      <c r="Y41" s="350" t="s">
        <v>496</v>
      </c>
      <c r="Z41" s="350" t="s">
        <v>497</v>
      </c>
      <c r="AA41" s="350" t="s">
        <v>511</v>
      </c>
      <c r="AB41" s="350" t="s">
        <v>512</v>
      </c>
      <c r="AC41" s="350" t="s">
        <v>536</v>
      </c>
      <c r="AD41" s="350" t="s">
        <v>514</v>
      </c>
      <c r="AE41" s="350" t="s">
        <v>537</v>
      </c>
      <c r="AF41" s="349" t="s">
        <v>538</v>
      </c>
      <c r="AG41" s="352">
        <v>0</v>
      </c>
      <c r="AH41" s="352">
        <v>0</v>
      </c>
      <c r="AI41" s="352">
        <v>0</v>
      </c>
      <c r="AJ41" s="352">
        <v>0</v>
      </c>
      <c r="AK41" s="352">
        <v>0</v>
      </c>
      <c r="AL41" s="352">
        <v>0</v>
      </c>
      <c r="AM41" s="350">
        <v>5000720509</v>
      </c>
      <c r="AN41" s="350">
        <v>1</v>
      </c>
      <c r="AO41" s="350">
        <v>590961</v>
      </c>
      <c r="AP41" s="350">
        <v>1</v>
      </c>
      <c r="AQ41" s="351">
        <v>45509</v>
      </c>
      <c r="AR41" s="353">
        <v>8198</v>
      </c>
      <c r="AS41" s="354">
        <v>6366000</v>
      </c>
      <c r="AT41" s="355">
        <v>45648</v>
      </c>
      <c r="AU41" s="355">
        <v>45657</v>
      </c>
      <c r="AV41" s="356" t="s">
        <v>504</v>
      </c>
      <c r="AW41" s="357">
        <v>0</v>
      </c>
      <c r="AX41" s="357"/>
      <c r="AY41" s="357">
        <v>0</v>
      </c>
      <c r="AZ41" s="357"/>
      <c r="BA41" s="357">
        <v>0</v>
      </c>
      <c r="BB41" s="357"/>
      <c r="BC41" s="357">
        <v>0</v>
      </c>
      <c r="BD41" s="357"/>
      <c r="BE41" s="357">
        <f>AS41/30*9</f>
        <v>1909800</v>
      </c>
      <c r="BF41" s="358"/>
      <c r="BG41" s="359">
        <v>0</v>
      </c>
      <c r="BH41" s="357">
        <v>0</v>
      </c>
      <c r="BI41" s="352"/>
      <c r="BJ41" s="360">
        <v>0</v>
      </c>
      <c r="BK41" s="360">
        <v>0</v>
      </c>
      <c r="BL41" s="360">
        <v>0</v>
      </c>
      <c r="BM41" s="360">
        <v>0</v>
      </c>
      <c r="BN41" s="361">
        <f>+BE41</f>
        <v>1909800</v>
      </c>
      <c r="BO41" s="362" t="s">
        <v>603</v>
      </c>
      <c r="BP41" s="323"/>
      <c r="BR41" s="363"/>
      <c r="BS41" s="363"/>
      <c r="BT41" s="363"/>
      <c r="BU41" s="363"/>
      <c r="BV41" s="363"/>
    </row>
    <row r="42" spans="1:75" s="350" customFormat="1" ht="12" x14ac:dyDescent="0.25">
      <c r="A42" s="364">
        <v>2024</v>
      </c>
      <c r="B42" s="350">
        <v>8</v>
      </c>
      <c r="C42" s="351">
        <v>45292</v>
      </c>
      <c r="D42" s="351">
        <v>45535</v>
      </c>
      <c r="E42" s="350" t="s">
        <v>481</v>
      </c>
      <c r="F42" s="351">
        <v>45509</v>
      </c>
      <c r="G42" s="350" t="s">
        <v>505</v>
      </c>
      <c r="H42" s="350" t="s">
        <v>506</v>
      </c>
      <c r="I42" s="364" t="s">
        <v>545</v>
      </c>
      <c r="J42" s="351">
        <v>45509</v>
      </c>
      <c r="K42" s="351">
        <v>45657</v>
      </c>
      <c r="L42" s="350" t="s">
        <v>540</v>
      </c>
      <c r="M42" s="350" t="s">
        <v>486</v>
      </c>
      <c r="N42" s="350" t="s">
        <v>487</v>
      </c>
      <c r="O42" s="350">
        <v>1548</v>
      </c>
      <c r="P42" s="350">
        <v>1532</v>
      </c>
      <c r="Q42" s="364" t="s">
        <v>546</v>
      </c>
      <c r="R42" s="364" t="s">
        <v>489</v>
      </c>
      <c r="S42" s="364" t="s">
        <v>490</v>
      </c>
      <c r="T42" s="350" t="s">
        <v>491</v>
      </c>
      <c r="U42" s="350" t="s">
        <v>492</v>
      </c>
      <c r="V42" s="350" t="s">
        <v>509</v>
      </c>
      <c r="W42" s="350" t="s">
        <v>510</v>
      </c>
      <c r="X42" s="364" t="s">
        <v>495</v>
      </c>
      <c r="Y42" s="350" t="s">
        <v>496</v>
      </c>
      <c r="Z42" s="350" t="s">
        <v>497</v>
      </c>
      <c r="AA42" s="350" t="s">
        <v>511</v>
      </c>
      <c r="AB42" s="350" t="s">
        <v>512</v>
      </c>
      <c r="AC42" s="350" t="s">
        <v>547</v>
      </c>
      <c r="AD42" s="350" t="s">
        <v>514</v>
      </c>
      <c r="AE42" s="350" t="s">
        <v>548</v>
      </c>
      <c r="AF42" s="364" t="s">
        <v>549</v>
      </c>
      <c r="AG42" s="365">
        <v>0</v>
      </c>
      <c r="AH42" s="365">
        <v>0</v>
      </c>
      <c r="AI42" s="365">
        <v>0</v>
      </c>
      <c r="AJ42" s="365">
        <v>0</v>
      </c>
      <c r="AK42" s="365">
        <v>0</v>
      </c>
      <c r="AL42" s="365">
        <v>0</v>
      </c>
      <c r="AM42" s="350">
        <v>5000720566</v>
      </c>
      <c r="AN42" s="350">
        <v>1</v>
      </c>
      <c r="AO42" s="350">
        <v>590977</v>
      </c>
      <c r="AP42" s="350">
        <v>1</v>
      </c>
      <c r="AQ42" s="351">
        <v>45509</v>
      </c>
      <c r="AR42" s="366">
        <v>8198</v>
      </c>
      <c r="AS42" s="367">
        <v>4000000</v>
      </c>
      <c r="AT42" s="368">
        <v>45644</v>
      </c>
      <c r="AU42" s="368">
        <v>45657</v>
      </c>
      <c r="AV42" s="369" t="s">
        <v>504</v>
      </c>
      <c r="AW42" s="344">
        <v>0</v>
      </c>
      <c r="AX42" s="344"/>
      <c r="AY42" s="344">
        <v>0</v>
      </c>
      <c r="AZ42" s="344"/>
      <c r="BA42" s="344">
        <v>0</v>
      </c>
      <c r="BB42" s="344"/>
      <c r="BC42" s="344">
        <v>0</v>
      </c>
      <c r="BD42" s="344"/>
      <c r="BE42" s="344">
        <f>AS42/30*13</f>
        <v>1733333.3333333335</v>
      </c>
      <c r="BF42" s="370"/>
      <c r="BG42" s="359">
        <v>0</v>
      </c>
      <c r="BH42" s="344">
        <v>-0.3333333358168602</v>
      </c>
      <c r="BI42" s="365"/>
      <c r="BJ42" s="371">
        <v>0</v>
      </c>
      <c r="BK42" s="371">
        <v>0</v>
      </c>
      <c r="BL42" s="371">
        <v>0</v>
      </c>
      <c r="BM42" s="371">
        <v>0</v>
      </c>
      <c r="BN42" s="331">
        <f>+BE42</f>
        <v>1733333.3333333335</v>
      </c>
      <c r="BO42" s="350" t="s">
        <v>604</v>
      </c>
      <c r="BP42" s="323"/>
      <c r="BR42" s="372"/>
      <c r="BS42" s="372"/>
      <c r="BT42" s="372"/>
      <c r="BU42" s="372"/>
      <c r="BV42" s="372"/>
    </row>
    <row r="43" spans="1:75" s="383" customFormat="1" ht="12" x14ac:dyDescent="0.25">
      <c r="A43" s="373">
        <v>2024</v>
      </c>
      <c r="B43" s="325">
        <v>8</v>
      </c>
      <c r="C43" s="335">
        <v>45292</v>
      </c>
      <c r="D43" s="335">
        <v>45535</v>
      </c>
      <c r="E43" s="325" t="s">
        <v>481</v>
      </c>
      <c r="F43" s="335">
        <v>45506</v>
      </c>
      <c r="G43" s="325" t="s">
        <v>505</v>
      </c>
      <c r="H43" s="325" t="s">
        <v>506</v>
      </c>
      <c r="I43" s="373" t="s">
        <v>605</v>
      </c>
      <c r="J43" s="335">
        <v>45506</v>
      </c>
      <c r="K43" s="335">
        <v>45657</v>
      </c>
      <c r="L43" s="325" t="s">
        <v>507</v>
      </c>
      <c r="M43" s="325" t="s">
        <v>486</v>
      </c>
      <c r="N43" s="325" t="s">
        <v>487</v>
      </c>
      <c r="O43" s="325">
        <v>1525</v>
      </c>
      <c r="P43" s="325">
        <v>1383</v>
      </c>
      <c r="Q43" s="373" t="s">
        <v>508</v>
      </c>
      <c r="R43" s="373" t="s">
        <v>489</v>
      </c>
      <c r="S43" s="373" t="s">
        <v>490</v>
      </c>
      <c r="T43" s="325" t="s">
        <v>491</v>
      </c>
      <c r="U43" s="325" t="s">
        <v>492</v>
      </c>
      <c r="V43" s="325" t="s">
        <v>509</v>
      </c>
      <c r="W43" s="325" t="s">
        <v>510</v>
      </c>
      <c r="X43" s="373" t="s">
        <v>495</v>
      </c>
      <c r="Y43" s="325" t="s">
        <v>496</v>
      </c>
      <c r="Z43" s="325" t="s">
        <v>497</v>
      </c>
      <c r="AA43" s="325" t="s">
        <v>511</v>
      </c>
      <c r="AB43" s="325" t="s">
        <v>512</v>
      </c>
      <c r="AC43" s="325" t="s">
        <v>513</v>
      </c>
      <c r="AD43" s="325" t="s">
        <v>514</v>
      </c>
      <c r="AE43" s="325" t="s">
        <v>515</v>
      </c>
      <c r="AF43" s="373" t="s">
        <v>516</v>
      </c>
      <c r="AG43" s="374">
        <v>0</v>
      </c>
      <c r="AH43" s="374">
        <v>0</v>
      </c>
      <c r="AI43" s="374">
        <v>0</v>
      </c>
      <c r="AJ43" s="374">
        <v>0</v>
      </c>
      <c r="AK43" s="374">
        <v>0</v>
      </c>
      <c r="AL43" s="374">
        <v>0</v>
      </c>
      <c r="AM43" s="325">
        <v>5000718988</v>
      </c>
      <c r="AN43" s="325">
        <v>1</v>
      </c>
      <c r="AO43" s="325">
        <v>590899</v>
      </c>
      <c r="AP43" s="325">
        <v>1</v>
      </c>
      <c r="AQ43" s="335">
        <v>45506</v>
      </c>
      <c r="AR43" s="375">
        <v>8198</v>
      </c>
      <c r="AS43" s="376">
        <v>11139450</v>
      </c>
      <c r="AT43" s="377">
        <v>45658</v>
      </c>
      <c r="AU43" s="377">
        <v>45677</v>
      </c>
      <c r="AV43" s="378" t="s">
        <v>504</v>
      </c>
      <c r="AW43" s="379">
        <v>0</v>
      </c>
      <c r="AX43" s="379"/>
      <c r="AY43" s="379">
        <v>0</v>
      </c>
      <c r="AZ43" s="379"/>
      <c r="BA43" s="379">
        <v>0</v>
      </c>
      <c r="BB43" s="379"/>
      <c r="BC43" s="379">
        <v>0</v>
      </c>
      <c r="BD43" s="379"/>
      <c r="BE43" s="379">
        <v>0</v>
      </c>
      <c r="BF43" s="380"/>
      <c r="BG43" s="343">
        <v>0</v>
      </c>
      <c r="BH43" s="379">
        <f>AS43/30*20</f>
        <v>7426300</v>
      </c>
      <c r="BI43" s="374"/>
      <c r="BJ43" s="381">
        <f>+BH43</f>
        <v>7426300</v>
      </c>
      <c r="BK43" s="382">
        <v>0</v>
      </c>
      <c r="BL43" s="382">
        <v>0</v>
      </c>
      <c r="BM43" s="382">
        <v>0</v>
      </c>
      <c r="BN43" s="382">
        <v>0</v>
      </c>
      <c r="BO43" s="383" t="s">
        <v>606</v>
      </c>
      <c r="BP43" s="332"/>
      <c r="BR43" s="384"/>
      <c r="BS43" s="384"/>
      <c r="BT43" s="384"/>
      <c r="BU43" s="384"/>
      <c r="BV43" s="384"/>
    </row>
    <row r="44" spans="1:75" s="383" customFormat="1" ht="12" x14ac:dyDescent="0.25">
      <c r="A44" s="373">
        <v>2024</v>
      </c>
      <c r="B44" s="325">
        <v>8</v>
      </c>
      <c r="C44" s="335">
        <v>45292</v>
      </c>
      <c r="D44" s="335">
        <v>45535</v>
      </c>
      <c r="E44" s="325" t="s">
        <v>481</v>
      </c>
      <c r="F44" s="335">
        <v>45506</v>
      </c>
      <c r="G44" s="325" t="s">
        <v>505</v>
      </c>
      <c r="H44" s="325" t="s">
        <v>506</v>
      </c>
      <c r="I44" s="373" t="s">
        <v>607</v>
      </c>
      <c r="J44" s="335">
        <v>45506</v>
      </c>
      <c r="K44" s="335">
        <v>45657</v>
      </c>
      <c r="L44" s="325" t="s">
        <v>507</v>
      </c>
      <c r="M44" s="325" t="s">
        <v>486</v>
      </c>
      <c r="N44" s="325" t="s">
        <v>487</v>
      </c>
      <c r="O44" s="325">
        <v>1414</v>
      </c>
      <c r="P44" s="325">
        <v>1385</v>
      </c>
      <c r="Q44" s="373" t="s">
        <v>517</v>
      </c>
      <c r="R44" s="373" t="s">
        <v>489</v>
      </c>
      <c r="S44" s="373" t="s">
        <v>490</v>
      </c>
      <c r="T44" s="325" t="s">
        <v>491</v>
      </c>
      <c r="U44" s="325" t="s">
        <v>492</v>
      </c>
      <c r="V44" s="325" t="s">
        <v>518</v>
      </c>
      <c r="W44" s="325" t="s">
        <v>519</v>
      </c>
      <c r="X44" s="373" t="s">
        <v>495</v>
      </c>
      <c r="Y44" s="325" t="s">
        <v>496</v>
      </c>
      <c r="Z44" s="325" t="s">
        <v>497</v>
      </c>
      <c r="AA44" s="325" t="s">
        <v>511</v>
      </c>
      <c r="AB44" s="325" t="s">
        <v>512</v>
      </c>
      <c r="AC44" s="325" t="s">
        <v>520</v>
      </c>
      <c r="AD44" s="325" t="s">
        <v>514</v>
      </c>
      <c r="AE44" s="325" t="s">
        <v>521</v>
      </c>
      <c r="AF44" s="373" t="s">
        <v>522</v>
      </c>
      <c r="AG44" s="374">
        <v>0</v>
      </c>
      <c r="AH44" s="374">
        <v>0</v>
      </c>
      <c r="AI44" s="374">
        <v>0</v>
      </c>
      <c r="AJ44" s="374">
        <v>0</v>
      </c>
      <c r="AK44" s="374">
        <v>0</v>
      </c>
      <c r="AL44" s="374">
        <v>0</v>
      </c>
      <c r="AM44" s="325">
        <v>5000718992</v>
      </c>
      <c r="AN44" s="325">
        <v>1</v>
      </c>
      <c r="AO44" s="325">
        <v>590274</v>
      </c>
      <c r="AP44" s="325">
        <v>1</v>
      </c>
      <c r="AQ44" s="335">
        <v>45506</v>
      </c>
      <c r="AR44" s="375">
        <v>8198</v>
      </c>
      <c r="AS44" s="376">
        <v>9785000</v>
      </c>
      <c r="AT44" s="377">
        <v>45658</v>
      </c>
      <c r="AU44" s="377">
        <v>45677</v>
      </c>
      <c r="AV44" s="378" t="s">
        <v>504</v>
      </c>
      <c r="AW44" s="379">
        <v>0</v>
      </c>
      <c r="AX44" s="379"/>
      <c r="AY44" s="379">
        <v>0</v>
      </c>
      <c r="AZ44" s="379"/>
      <c r="BA44" s="379">
        <v>0</v>
      </c>
      <c r="BB44" s="379"/>
      <c r="BC44" s="379">
        <v>0</v>
      </c>
      <c r="BD44" s="379"/>
      <c r="BE44" s="379">
        <v>0</v>
      </c>
      <c r="BF44" s="380"/>
      <c r="BG44" s="343">
        <v>0</v>
      </c>
      <c r="BH44" s="379">
        <f>AS44/30*20</f>
        <v>6523333.333333334</v>
      </c>
      <c r="BI44" s="374"/>
      <c r="BJ44" s="382">
        <v>0</v>
      </c>
      <c r="BK44" s="382">
        <v>0</v>
      </c>
      <c r="BL44" s="381">
        <f>+BH44</f>
        <v>6523333.333333334</v>
      </c>
      <c r="BM44" s="382">
        <v>0</v>
      </c>
      <c r="BN44" s="382">
        <v>0</v>
      </c>
      <c r="BO44" s="383" t="s">
        <v>608</v>
      </c>
      <c r="BP44" s="332"/>
      <c r="BR44" s="384"/>
      <c r="BS44" s="384"/>
      <c r="BT44" s="384"/>
      <c r="BU44" s="384"/>
      <c r="BV44" s="384"/>
    </row>
    <row r="45" spans="1:75" s="383" customFormat="1" ht="12" x14ac:dyDescent="0.25">
      <c r="A45" s="373">
        <v>2024</v>
      </c>
      <c r="B45" s="325">
        <v>8</v>
      </c>
      <c r="C45" s="335">
        <v>45292</v>
      </c>
      <c r="D45" s="335">
        <v>45535</v>
      </c>
      <c r="E45" s="325" t="s">
        <v>481</v>
      </c>
      <c r="F45" s="335">
        <v>45512</v>
      </c>
      <c r="G45" s="325" t="s">
        <v>505</v>
      </c>
      <c r="H45" s="325" t="s">
        <v>506</v>
      </c>
      <c r="I45" s="373" t="s">
        <v>609</v>
      </c>
      <c r="J45" s="335">
        <v>45512</v>
      </c>
      <c r="K45" s="335">
        <v>45657</v>
      </c>
      <c r="L45" s="325" t="s">
        <v>505</v>
      </c>
      <c r="M45" s="325" t="s">
        <v>486</v>
      </c>
      <c r="N45" s="325" t="s">
        <v>487</v>
      </c>
      <c r="O45" s="325">
        <v>1544</v>
      </c>
      <c r="P45" s="325">
        <v>1563</v>
      </c>
      <c r="Q45" s="373" t="s">
        <v>550</v>
      </c>
      <c r="R45" s="373" t="s">
        <v>489</v>
      </c>
      <c r="S45" s="373" t="s">
        <v>490</v>
      </c>
      <c r="T45" s="325" t="s">
        <v>491</v>
      </c>
      <c r="U45" s="325" t="s">
        <v>492</v>
      </c>
      <c r="V45" s="325" t="s">
        <v>509</v>
      </c>
      <c r="W45" s="325" t="s">
        <v>510</v>
      </c>
      <c r="X45" s="373" t="s">
        <v>495</v>
      </c>
      <c r="Y45" s="325" t="s">
        <v>496</v>
      </c>
      <c r="Z45" s="325" t="s">
        <v>497</v>
      </c>
      <c r="AA45" s="325" t="s">
        <v>511</v>
      </c>
      <c r="AB45" s="325" t="s">
        <v>512</v>
      </c>
      <c r="AC45" s="325" t="s">
        <v>551</v>
      </c>
      <c r="AD45" s="325" t="s">
        <v>514</v>
      </c>
      <c r="AE45" s="325" t="s">
        <v>552</v>
      </c>
      <c r="AF45" s="373" t="s">
        <v>553</v>
      </c>
      <c r="AG45" s="374">
        <v>0</v>
      </c>
      <c r="AH45" s="374">
        <v>0</v>
      </c>
      <c r="AI45" s="374">
        <v>0</v>
      </c>
      <c r="AJ45" s="374">
        <v>0</v>
      </c>
      <c r="AK45" s="374">
        <v>0</v>
      </c>
      <c r="AL45" s="374">
        <v>0</v>
      </c>
      <c r="AM45" s="325">
        <v>5000721160</v>
      </c>
      <c r="AN45" s="325">
        <v>1</v>
      </c>
      <c r="AO45" s="325">
        <v>590965</v>
      </c>
      <c r="AP45" s="325">
        <v>1</v>
      </c>
      <c r="AQ45" s="335">
        <v>45512</v>
      </c>
      <c r="AR45" s="375">
        <v>8198</v>
      </c>
      <c r="AS45" s="376">
        <v>7500000</v>
      </c>
      <c r="AT45" s="377">
        <v>45658</v>
      </c>
      <c r="AU45" s="377">
        <v>45677</v>
      </c>
      <c r="AV45" s="378" t="s">
        <v>504</v>
      </c>
      <c r="AW45" s="379">
        <v>0</v>
      </c>
      <c r="AX45" s="379"/>
      <c r="AY45" s="379">
        <v>0</v>
      </c>
      <c r="AZ45" s="379"/>
      <c r="BA45" s="379">
        <v>0</v>
      </c>
      <c r="BB45" s="379"/>
      <c r="BC45" s="379">
        <v>0</v>
      </c>
      <c r="BD45" s="379"/>
      <c r="BE45" s="379">
        <v>0</v>
      </c>
      <c r="BF45" s="380"/>
      <c r="BG45" s="343">
        <v>0</v>
      </c>
      <c r="BH45" s="379">
        <f>AS45/30*20</f>
        <v>5000000</v>
      </c>
      <c r="BI45" s="374"/>
      <c r="BJ45" s="382">
        <v>0</v>
      </c>
      <c r="BK45" s="382">
        <v>0</v>
      </c>
      <c r="BL45" s="381">
        <f>+BH45</f>
        <v>5000000</v>
      </c>
      <c r="BM45" s="382">
        <v>0</v>
      </c>
      <c r="BN45" s="382">
        <v>0</v>
      </c>
      <c r="BO45" s="383" t="s">
        <v>610</v>
      </c>
      <c r="BP45" s="332"/>
      <c r="BR45" s="384"/>
      <c r="BS45" s="384"/>
      <c r="BT45" s="384"/>
      <c r="BU45" s="384"/>
      <c r="BV45" s="384"/>
    </row>
    <row r="47" spans="1:75" s="325" customFormat="1" ht="12" x14ac:dyDescent="0.25">
      <c r="A47" s="324"/>
      <c r="I47" s="324"/>
      <c r="Q47" s="324"/>
      <c r="R47" s="324"/>
      <c r="S47" s="324"/>
      <c r="X47" s="324"/>
      <c r="AF47" s="324"/>
      <c r="AG47" s="326"/>
      <c r="AH47" s="326"/>
      <c r="AI47" s="326"/>
      <c r="AJ47" s="326"/>
      <c r="AK47" s="326"/>
      <c r="AL47" s="326"/>
      <c r="AM47" s="326"/>
      <c r="AR47" s="327"/>
      <c r="AS47" s="328"/>
      <c r="AT47" s="329"/>
      <c r="AU47" s="329"/>
      <c r="AV47" s="324"/>
      <c r="AW47" s="326">
        <f t="shared" ref="AW47:BG47" si="25">+AW35+AW39+AW40+AW41+AW42+AW43+AW44+AW45</f>
        <v>56696990.000000007</v>
      </c>
      <c r="AX47" s="326"/>
      <c r="AY47" s="326">
        <f t="shared" si="25"/>
        <v>113019396</v>
      </c>
      <c r="AZ47" s="326"/>
      <c r="BA47" s="326">
        <f t="shared" si="25"/>
        <v>125785450</v>
      </c>
      <c r="BB47" s="326"/>
      <c r="BC47" s="326">
        <f t="shared" si="25"/>
        <v>134785450</v>
      </c>
      <c r="BD47" s="326"/>
      <c r="BE47" s="326">
        <f t="shared" si="25"/>
        <v>144029075</v>
      </c>
      <c r="BF47" s="326"/>
      <c r="BG47" s="326">
        <f t="shared" si="25"/>
        <v>15555093.333333338</v>
      </c>
      <c r="BH47" s="326"/>
      <c r="BI47" s="326">
        <f>+AW47+AY47+BA47+BC47+BE47</f>
        <v>574316361</v>
      </c>
      <c r="BJ47" s="331"/>
      <c r="BK47" s="331"/>
      <c r="BL47" s="331"/>
      <c r="BM47" s="331"/>
      <c r="BN47" s="331"/>
      <c r="BO47" s="323"/>
      <c r="BP47" s="332"/>
      <c r="BR47" s="347"/>
      <c r="BS47" s="347"/>
      <c r="BT47" s="347"/>
      <c r="BU47" s="347"/>
      <c r="BV47" s="347"/>
    </row>
    <row r="48" spans="1:75" ht="13.15" customHeight="1" x14ac:dyDescent="0.25">
      <c r="BJ48" s="320"/>
      <c r="BK48" s="320"/>
      <c r="BL48" s="320"/>
      <c r="BM48" s="320"/>
      <c r="BN48" s="320"/>
      <c r="BO48" s="385" t="s">
        <v>611</v>
      </c>
      <c r="BP48" s="386">
        <v>573562104</v>
      </c>
      <c r="BR48" s="334" t="s">
        <v>612</v>
      </c>
      <c r="BS48" s="387">
        <v>573562104</v>
      </c>
    </row>
    <row r="49" spans="43:74" ht="13.15" customHeight="1" x14ac:dyDescent="0.25">
      <c r="BJ49" s="320"/>
      <c r="BK49" s="320"/>
      <c r="BL49" s="320"/>
      <c r="BM49" s="320"/>
      <c r="BN49" s="320"/>
      <c r="BO49" s="388" t="s">
        <v>613</v>
      </c>
      <c r="BP49" s="389">
        <f>BO35</f>
        <v>513933318</v>
      </c>
      <c r="BS49" s="390">
        <f>+BP55</f>
        <v>32871216</v>
      </c>
    </row>
    <row r="50" spans="43:74" ht="13.15" customHeight="1" x14ac:dyDescent="0.25">
      <c r="AQ50" s="325"/>
      <c r="AR50" s="325"/>
      <c r="AS50" s="325"/>
      <c r="AT50" s="325"/>
      <c r="AU50" s="325"/>
      <c r="AV50" s="325"/>
      <c r="BJ50" s="320"/>
      <c r="BK50" s="320"/>
      <c r="BL50" s="320"/>
      <c r="BM50" s="320"/>
      <c r="BN50" s="320"/>
      <c r="BO50" s="388"/>
      <c r="BP50" s="323"/>
      <c r="BS50" s="390">
        <f>+BS48+BS49</f>
        <v>606433320</v>
      </c>
    </row>
    <row r="51" spans="43:74" ht="13.15" customHeight="1" x14ac:dyDescent="0.25">
      <c r="AQ51" s="325"/>
      <c r="AR51" s="325"/>
      <c r="AS51" s="325"/>
      <c r="AT51" s="325"/>
      <c r="AU51" s="325"/>
      <c r="AV51" s="325"/>
      <c r="BJ51" s="320"/>
      <c r="BK51" s="320"/>
      <c r="BL51" s="320"/>
      <c r="BM51" s="320"/>
      <c r="BN51" s="320"/>
      <c r="BO51" s="388" t="s">
        <v>614</v>
      </c>
      <c r="BP51" s="391">
        <f>+BP48-BP49</f>
        <v>59628786</v>
      </c>
    </row>
    <row r="52" spans="43:74" ht="13.15" customHeight="1" x14ac:dyDescent="0.25">
      <c r="AQ52" s="325"/>
      <c r="AU52" s="325"/>
      <c r="AV52" s="325"/>
      <c r="BJ52" s="320"/>
      <c r="BK52" s="320"/>
      <c r="BL52" s="320"/>
      <c r="BM52" s="320"/>
      <c r="BN52" s="320"/>
      <c r="BO52" s="323" t="s">
        <v>615</v>
      </c>
      <c r="BP52" s="386">
        <f>+BG35</f>
        <v>15555093.333333338</v>
      </c>
    </row>
    <row r="53" spans="43:74" ht="13.15" customHeight="1" x14ac:dyDescent="0.25">
      <c r="AQ53" s="325"/>
      <c r="AU53" s="325"/>
      <c r="AV53" s="325"/>
      <c r="BJ53" s="320"/>
      <c r="BK53" s="320"/>
      <c r="BL53" s="320"/>
      <c r="BM53" s="320"/>
      <c r="BN53" s="320"/>
      <c r="BO53" s="323" t="s">
        <v>616</v>
      </c>
      <c r="BP53" s="323">
        <v>0</v>
      </c>
    </row>
    <row r="54" spans="43:74" ht="13.15" customHeight="1" x14ac:dyDescent="0.25">
      <c r="AQ54" s="325"/>
      <c r="AU54" s="325"/>
      <c r="AV54" s="325"/>
      <c r="BJ54" s="320"/>
      <c r="BK54" s="320"/>
      <c r="BL54" s="320"/>
      <c r="BM54" s="320"/>
      <c r="BN54" s="320"/>
      <c r="BO54" s="388" t="s">
        <v>617</v>
      </c>
      <c r="BP54" s="323">
        <f>+BP51+BP52+BP53</f>
        <v>75183879.333333343</v>
      </c>
    </row>
    <row r="55" spans="43:74" ht="13.15" customHeight="1" x14ac:dyDescent="0.25">
      <c r="AQ55" s="325"/>
      <c r="AU55" s="325"/>
      <c r="AV55" s="325"/>
      <c r="BJ55" s="320"/>
      <c r="BK55" s="320"/>
      <c r="BL55" s="320"/>
      <c r="BM55" s="320"/>
      <c r="BN55" s="320"/>
      <c r="BO55" s="388" t="s">
        <v>618</v>
      </c>
      <c r="BP55" s="323">
        <v>32871216</v>
      </c>
    </row>
    <row r="56" spans="43:74" ht="13.15" customHeight="1" x14ac:dyDescent="0.25">
      <c r="AQ56" s="325"/>
      <c r="AU56" s="325"/>
      <c r="AV56" s="325"/>
      <c r="BJ56" s="320"/>
      <c r="BK56" s="320"/>
      <c r="BL56" s="320"/>
      <c r="BM56" s="320"/>
      <c r="BN56" s="320"/>
      <c r="BP56" s="323"/>
    </row>
    <row r="57" spans="43:74" s="388" customFormat="1" ht="13.15" customHeight="1" x14ac:dyDescent="0.25">
      <c r="AQ57" s="350"/>
      <c r="AU57" s="350"/>
      <c r="AV57" s="350"/>
      <c r="BO57" s="385" t="s">
        <v>619</v>
      </c>
      <c r="BP57" s="386">
        <f>+BP54+BP55</f>
        <v>108055095.33333334</v>
      </c>
      <c r="BR57" s="392"/>
      <c r="BS57" s="392"/>
      <c r="BT57" s="392"/>
      <c r="BU57" s="392"/>
      <c r="BV57" s="392"/>
    </row>
    <row r="58" spans="43:74" s="388" customFormat="1" ht="13.15" customHeight="1" x14ac:dyDescent="0.25">
      <c r="AQ58" s="350"/>
      <c r="AU58" s="350"/>
      <c r="AV58" s="350"/>
      <c r="BP58" s="323"/>
      <c r="BR58" s="392"/>
      <c r="BS58" s="392"/>
      <c r="BT58" s="392"/>
      <c r="BU58" s="392"/>
      <c r="BV58" s="392"/>
    </row>
    <row r="59" spans="43:74" s="388" customFormat="1" ht="13.15" customHeight="1" x14ac:dyDescent="0.25">
      <c r="AQ59" s="350"/>
      <c r="AU59" s="350"/>
      <c r="AV59" s="350"/>
      <c r="BO59" s="320" t="s">
        <v>620</v>
      </c>
      <c r="BP59" s="332">
        <f>9500000*2.5</f>
        <v>23750000</v>
      </c>
      <c r="BR59" s="392"/>
      <c r="BS59" s="392"/>
      <c r="BT59" s="392"/>
      <c r="BU59" s="392"/>
      <c r="BV59" s="392"/>
    </row>
    <row r="60" spans="43:74" s="388" customFormat="1" ht="13.15" customHeight="1" x14ac:dyDescent="0.25">
      <c r="AQ60" s="350"/>
      <c r="AU60" s="350"/>
      <c r="AV60" s="350"/>
      <c r="BO60" s="393" t="s">
        <v>621</v>
      </c>
      <c r="BP60" s="394">
        <f>(9000000*2.5)</f>
        <v>22500000</v>
      </c>
      <c r="BR60" s="392"/>
      <c r="BS60" s="392"/>
      <c r="BT60" s="392"/>
      <c r="BU60" s="392"/>
      <c r="BV60" s="392"/>
    </row>
    <row r="61" spans="43:74" ht="13.15" customHeight="1" x14ac:dyDescent="0.25">
      <c r="AQ61" s="325"/>
      <c r="AR61" s="325"/>
      <c r="AS61" s="325"/>
      <c r="AT61" s="325"/>
      <c r="AU61" s="325"/>
      <c r="AV61" s="325"/>
      <c r="BJ61" s="320"/>
      <c r="BK61" s="320"/>
      <c r="BL61" s="320"/>
      <c r="BM61" s="320"/>
      <c r="BN61" s="320"/>
      <c r="BO61" s="395" t="s">
        <v>622</v>
      </c>
      <c r="BP61" s="396">
        <f>+BE41+BE42</f>
        <v>3643133.3333333335</v>
      </c>
      <c r="BR61" s="390">
        <f>+BP48+BP55</f>
        <v>606433320</v>
      </c>
      <c r="BS61" s="334" t="s">
        <v>623</v>
      </c>
    </row>
    <row r="62" spans="43:74" ht="13.15" customHeight="1" x14ac:dyDescent="0.25">
      <c r="AQ62" s="325"/>
      <c r="AR62" s="325"/>
      <c r="AS62" s="325"/>
      <c r="AT62" s="325"/>
      <c r="AU62" s="325"/>
      <c r="AV62" s="325"/>
      <c r="BJ62" s="320"/>
      <c r="BK62" s="320"/>
      <c r="BL62" s="320"/>
      <c r="BM62" s="320"/>
      <c r="BN62" s="320"/>
      <c r="BO62" s="388" t="s">
        <v>624</v>
      </c>
      <c r="BP62" s="323">
        <f>BH43+BH44+BH45</f>
        <v>18949633.333333336</v>
      </c>
    </row>
    <row r="63" spans="43:74" ht="13.15" customHeight="1" x14ac:dyDescent="0.25">
      <c r="BJ63" s="320"/>
      <c r="BK63" s="320"/>
      <c r="BL63" s="320"/>
      <c r="BM63" s="320"/>
      <c r="BN63" s="320"/>
      <c r="BO63" s="397" t="s">
        <v>625</v>
      </c>
      <c r="BP63" s="398">
        <f>+(BL39+BL40)/2</f>
        <v>16891285.5</v>
      </c>
      <c r="BQ63" s="321">
        <f>+BP62+BP63</f>
        <v>35840918.833333336</v>
      </c>
      <c r="BR63" s="399">
        <f>+BQ63/BR61</f>
        <v>5.9101170155580064E-2</v>
      </c>
    </row>
    <row r="64" spans="43:74" ht="13.15" customHeight="1" x14ac:dyDescent="0.25">
      <c r="BJ64" s="320"/>
      <c r="BK64" s="320"/>
      <c r="BL64" s="320"/>
      <c r="BM64" s="320"/>
      <c r="BN64" s="320"/>
      <c r="BO64" s="388" t="s">
        <v>626</v>
      </c>
      <c r="BP64" s="323">
        <v>4165000</v>
      </c>
      <c r="BR64" s="334">
        <f>7210000</f>
        <v>7210000</v>
      </c>
    </row>
    <row r="65" spans="62:70" ht="13.15" customHeight="1" x14ac:dyDescent="0.25">
      <c r="BJ65" s="320"/>
      <c r="BK65" s="320"/>
      <c r="BL65" s="320"/>
      <c r="BM65" s="320"/>
      <c r="BN65" s="320"/>
      <c r="BO65" s="388" t="s">
        <v>627</v>
      </c>
      <c r="BP65" s="391">
        <f>(5665000*2)+(5665000/30*25)</f>
        <v>16050833.333333334</v>
      </c>
      <c r="BQ65" s="400"/>
    </row>
    <row r="66" spans="62:70" ht="13.15" customHeight="1" x14ac:dyDescent="0.25">
      <c r="BJ66" s="320"/>
      <c r="BK66" s="320"/>
      <c r="BL66" s="320"/>
      <c r="BM66" s="320"/>
      <c r="BN66" s="320"/>
      <c r="BO66" s="401" t="s">
        <v>628</v>
      </c>
      <c r="BP66" s="402">
        <f>+BP57-BP59-BP60-BP61-BP62-BP63-BP64-BP65</f>
        <v>2105209.8333333377</v>
      </c>
    </row>
    <row r="67" spans="62:70" ht="13.15" customHeight="1" x14ac:dyDescent="0.25"/>
    <row r="68" spans="62:70" ht="13.15" customHeight="1" x14ac:dyDescent="0.25"/>
    <row r="69" spans="62:70" ht="13.15" customHeight="1" x14ac:dyDescent="0.25">
      <c r="BO69" s="388" t="s">
        <v>618</v>
      </c>
      <c r="BP69" s="323">
        <v>32871216</v>
      </c>
    </row>
    <row r="70" spans="62:70" ht="13.15" customHeight="1" x14ac:dyDescent="0.25">
      <c r="BO70" s="388" t="s">
        <v>629</v>
      </c>
      <c r="BP70" s="391">
        <f>7210000*3</f>
        <v>21630000</v>
      </c>
    </row>
    <row r="71" spans="62:70" ht="13.15" customHeight="1" x14ac:dyDescent="0.25">
      <c r="BO71" s="395" t="s">
        <v>622</v>
      </c>
      <c r="BP71" s="396">
        <f>+BP61</f>
        <v>3643133.3333333335</v>
      </c>
    </row>
    <row r="72" spans="62:70" ht="13.15" customHeight="1" x14ac:dyDescent="0.25">
      <c r="BO72" s="388"/>
      <c r="BP72" s="323"/>
    </row>
    <row r="73" spans="62:70" ht="13.15" customHeight="1" x14ac:dyDescent="0.25">
      <c r="BP73" s="321">
        <f>+BP69-BP70-BP71-BP72</f>
        <v>7598082.666666666</v>
      </c>
      <c r="BR73" s="390"/>
    </row>
    <row r="75" spans="62:70" x14ac:dyDescent="0.25">
      <c r="BO75" s="320" t="s">
        <v>630</v>
      </c>
    </row>
    <row r="76" spans="62:70" ht="29.45" customHeight="1" x14ac:dyDescent="0.25">
      <c r="BO76" s="403" t="s">
        <v>631</v>
      </c>
      <c r="BP76" s="404" t="s">
        <v>632</v>
      </c>
      <c r="BQ76" s="404" t="s">
        <v>410</v>
      </c>
    </row>
    <row r="77" spans="62:70" ht="24" x14ac:dyDescent="0.25">
      <c r="BO77" s="403" t="s">
        <v>633</v>
      </c>
      <c r="BP77" s="405">
        <f>+BR61</f>
        <v>606433320</v>
      </c>
      <c r="BQ77" s="406">
        <v>1</v>
      </c>
    </row>
    <row r="78" spans="62:70" ht="24" x14ac:dyDescent="0.25">
      <c r="BO78" s="403" t="s">
        <v>634</v>
      </c>
      <c r="BP78" s="407">
        <f>+AW47</f>
        <v>56696990.000000007</v>
      </c>
      <c r="BQ78" s="408">
        <f>+BP78/$BS$50</f>
        <v>9.3492537646183441E-2</v>
      </c>
    </row>
    <row r="79" spans="62:70" ht="36" x14ac:dyDescent="0.25">
      <c r="BO79" s="403" t="s">
        <v>635</v>
      </c>
      <c r="BP79" s="407">
        <f>+AY47</f>
        <v>113019396</v>
      </c>
      <c r="BQ79" s="408">
        <f t="shared" ref="BQ79:BQ84" si="26">+BP79/$BS$50</f>
        <v>0.18636739155427673</v>
      </c>
    </row>
    <row r="80" spans="62:70" ht="24" x14ac:dyDescent="0.25">
      <c r="BO80" s="403" t="s">
        <v>636</v>
      </c>
      <c r="BP80" s="407">
        <f>+BA47</f>
        <v>125785450</v>
      </c>
      <c r="BQ80" s="408">
        <f t="shared" si="26"/>
        <v>0.20741843472584917</v>
      </c>
    </row>
    <row r="81" spans="67:71" ht="24" x14ac:dyDescent="0.25">
      <c r="BO81" s="403" t="s">
        <v>637</v>
      </c>
      <c r="BP81" s="407">
        <f>+BC47</f>
        <v>134785450</v>
      </c>
      <c r="BQ81" s="408">
        <f t="shared" si="26"/>
        <v>0.22225930791533685</v>
      </c>
    </row>
    <row r="82" spans="67:71" ht="29.45" customHeight="1" x14ac:dyDescent="0.25">
      <c r="BO82" s="403" t="s">
        <v>638</v>
      </c>
      <c r="BP82" s="407">
        <f>+BE47</f>
        <v>144029075</v>
      </c>
      <c r="BQ82" s="408">
        <f t="shared" si="26"/>
        <v>0.23750191529713441</v>
      </c>
    </row>
    <row r="83" spans="67:71" ht="13.15" customHeight="1" x14ac:dyDescent="0.25">
      <c r="BO83" s="403" t="s">
        <v>639</v>
      </c>
      <c r="BP83" s="407">
        <f>+BH39+BH40</f>
        <v>16891285.5</v>
      </c>
      <c r="BQ83" s="408">
        <f t="shared" si="26"/>
        <v>2.7853491790325768E-2</v>
      </c>
    </row>
    <row r="84" spans="67:71" ht="24" x14ac:dyDescent="0.25">
      <c r="BO84" s="403" t="s">
        <v>640</v>
      </c>
      <c r="BP84" s="407">
        <f>+BH41+BH42+BH43+BH44+BH45</f>
        <v>18949633</v>
      </c>
      <c r="BQ84" s="408">
        <f t="shared" si="26"/>
        <v>3.1247677815592324E-2</v>
      </c>
      <c r="BR84" s="390">
        <f>+BP83+BP84</f>
        <v>35840918.5</v>
      </c>
      <c r="BS84" s="409">
        <f>+BQ83+BQ84</f>
        <v>5.9101169605918089E-2</v>
      </c>
    </row>
    <row r="85" spans="67:71" x14ac:dyDescent="0.25">
      <c r="BP85" s="410">
        <f>SUM(BP78:BP84)</f>
        <v>610157279.5</v>
      </c>
      <c r="BQ85" s="411">
        <f>SUM(BQ78:BQ84)</f>
        <v>1.0061407567446987</v>
      </c>
    </row>
    <row r="86" spans="67:71" x14ac:dyDescent="0.25">
      <c r="BP86" s="410">
        <f>+BP77-BP85</f>
        <v>-3723959.5</v>
      </c>
      <c r="BQ86" s="411">
        <f>+BP86/$BS$50</f>
        <v>-6.1407567446986585E-3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28515625" style="2" customWidth="1"/>
  </cols>
  <sheetData>
    <row r="1" spans="1:10" ht="25.5" x14ac:dyDescent="0.25">
      <c r="A1" s="9" t="s">
        <v>641</v>
      </c>
      <c r="B1" s="9" t="s">
        <v>14</v>
      </c>
      <c r="C1" s="9" t="s">
        <v>642</v>
      </c>
      <c r="D1" s="9" t="s">
        <v>643</v>
      </c>
      <c r="E1" s="9" t="s">
        <v>644</v>
      </c>
      <c r="F1" s="10" t="s">
        <v>645</v>
      </c>
      <c r="G1" s="10" t="s">
        <v>86</v>
      </c>
      <c r="H1" s="10" t="s">
        <v>646</v>
      </c>
      <c r="I1" s="10" t="s">
        <v>646</v>
      </c>
      <c r="J1" s="10" t="s">
        <v>346</v>
      </c>
    </row>
    <row r="2" spans="1:10" x14ac:dyDescent="0.25">
      <c r="A2" s="11"/>
      <c r="B2" s="11"/>
      <c r="C2" s="11"/>
      <c r="D2" s="11"/>
      <c r="E2" s="11"/>
      <c r="F2" s="12"/>
      <c r="G2" s="3" t="s">
        <v>647</v>
      </c>
      <c r="H2" s="8" t="s">
        <v>648</v>
      </c>
      <c r="I2" s="8" t="s">
        <v>649</v>
      </c>
      <c r="J2" s="8" t="s">
        <v>650</v>
      </c>
    </row>
    <row r="3" spans="1:10" x14ac:dyDescent="0.25">
      <c r="A3" s="8" t="s">
        <v>651</v>
      </c>
      <c r="B3" s="14" t="s">
        <v>652</v>
      </c>
      <c r="C3" s="13" t="s">
        <v>653</v>
      </c>
      <c r="D3" s="8" t="s">
        <v>654</v>
      </c>
      <c r="E3" s="8" t="s">
        <v>655</v>
      </c>
      <c r="F3" s="8" t="s">
        <v>656</v>
      </c>
      <c r="G3" s="8" t="s">
        <v>657</v>
      </c>
      <c r="H3" s="8" t="s">
        <v>658</v>
      </c>
      <c r="I3" s="8" t="s">
        <v>659</v>
      </c>
      <c r="J3" s="8" t="s">
        <v>355</v>
      </c>
    </row>
    <row r="4" spans="1:10" x14ac:dyDescent="0.25">
      <c r="A4" s="8" t="s">
        <v>134</v>
      </c>
      <c r="B4" s="14" t="s">
        <v>135</v>
      </c>
      <c r="C4" s="13" t="s">
        <v>660</v>
      </c>
      <c r="D4" s="8" t="s">
        <v>661</v>
      </c>
      <c r="E4" s="8" t="s">
        <v>662</v>
      </c>
      <c r="F4" s="8" t="s">
        <v>663</v>
      </c>
      <c r="G4" s="8" t="s">
        <v>664</v>
      </c>
      <c r="H4" s="8" t="s">
        <v>665</v>
      </c>
      <c r="I4" s="8" t="s">
        <v>666</v>
      </c>
      <c r="J4" s="8" t="s">
        <v>667</v>
      </c>
    </row>
    <row r="5" spans="1:10" x14ac:dyDescent="0.25">
      <c r="A5" s="8" t="s">
        <v>668</v>
      </c>
      <c r="B5" s="14" t="s">
        <v>669</v>
      </c>
      <c r="C5" s="13" t="s">
        <v>670</v>
      </c>
      <c r="D5" s="8" t="s">
        <v>671</v>
      </c>
      <c r="E5" s="8" t="s">
        <v>672</v>
      </c>
      <c r="F5" s="8" t="s">
        <v>497</v>
      </c>
      <c r="G5" s="8" t="s">
        <v>673</v>
      </c>
      <c r="H5" s="8" t="s">
        <v>268</v>
      </c>
      <c r="I5" s="8" t="s">
        <v>674</v>
      </c>
      <c r="J5" s="8" t="s">
        <v>351</v>
      </c>
    </row>
    <row r="6" spans="1:10" x14ac:dyDescent="0.25">
      <c r="A6" s="8" t="s">
        <v>675</v>
      </c>
      <c r="B6" s="14" t="s">
        <v>676</v>
      </c>
      <c r="C6" s="13" t="s">
        <v>677</v>
      </c>
      <c r="D6" s="8" t="s">
        <v>678</v>
      </c>
      <c r="E6" s="8" t="s">
        <v>679</v>
      </c>
      <c r="F6" s="8" t="s">
        <v>680</v>
      </c>
      <c r="G6" s="8" t="s">
        <v>681</v>
      </c>
      <c r="H6" s="8"/>
      <c r="I6" s="8" t="s">
        <v>682</v>
      </c>
      <c r="J6" s="8" t="s">
        <v>352</v>
      </c>
    </row>
    <row r="7" spans="1:10" x14ac:dyDescent="0.25">
      <c r="A7" s="8"/>
      <c r="B7" s="14" t="s">
        <v>683</v>
      </c>
      <c r="C7" s="13" t="s">
        <v>684</v>
      </c>
      <c r="D7" s="8" t="s">
        <v>685</v>
      </c>
      <c r="E7" s="8" t="s">
        <v>511</v>
      </c>
      <c r="F7" s="8" t="s">
        <v>686</v>
      </c>
      <c r="G7" s="8" t="s">
        <v>687</v>
      </c>
      <c r="H7" s="8"/>
      <c r="I7" s="8" t="s">
        <v>361</v>
      </c>
      <c r="J7" s="8" t="s">
        <v>353</v>
      </c>
    </row>
    <row r="8" spans="1:10" x14ac:dyDescent="0.25">
      <c r="A8" s="8"/>
      <c r="B8" s="14" t="s">
        <v>688</v>
      </c>
      <c r="C8" s="13" t="s">
        <v>689</v>
      </c>
      <c r="D8" s="8" t="s">
        <v>690</v>
      </c>
      <c r="E8" s="8" t="s">
        <v>691</v>
      </c>
      <c r="F8" s="8" t="s">
        <v>692</v>
      </c>
      <c r="G8" s="8" t="s">
        <v>693</v>
      </c>
      <c r="H8" s="8"/>
      <c r="I8" s="8"/>
      <c r="J8" s="8"/>
    </row>
    <row r="9" spans="1:10" x14ac:dyDescent="0.25">
      <c r="C9" s="13" t="s">
        <v>136</v>
      </c>
      <c r="D9" s="8" t="s">
        <v>694</v>
      </c>
      <c r="E9" s="8"/>
      <c r="F9" s="8"/>
      <c r="G9" s="8" t="s">
        <v>695</v>
      </c>
    </row>
    <row r="10" spans="1:10" x14ac:dyDescent="0.25">
      <c r="C10" s="13" t="s">
        <v>696</v>
      </c>
      <c r="D10" s="8" t="s">
        <v>697</v>
      </c>
      <c r="E10" s="8"/>
      <c r="F10" s="8"/>
      <c r="G10" s="8" t="s">
        <v>698</v>
      </c>
    </row>
    <row r="11" spans="1:10" x14ac:dyDescent="0.25">
      <c r="C11" s="13" t="s">
        <v>699</v>
      </c>
      <c r="D11" s="8" t="s">
        <v>700</v>
      </c>
      <c r="E11" s="8"/>
      <c r="F11" s="8"/>
      <c r="G11" s="8" t="s">
        <v>701</v>
      </c>
    </row>
    <row r="12" spans="1:10" x14ac:dyDescent="0.25">
      <c r="C12" s="13" t="s">
        <v>702</v>
      </c>
      <c r="D12" s="8" t="s">
        <v>703</v>
      </c>
      <c r="E12" s="8"/>
      <c r="F12" s="8"/>
      <c r="G12" s="8" t="s">
        <v>704</v>
      </c>
    </row>
    <row r="13" spans="1:10" x14ac:dyDescent="0.25">
      <c r="C13" s="13" t="s">
        <v>705</v>
      </c>
      <c r="D13" s="8" t="s">
        <v>706</v>
      </c>
      <c r="E13" s="8"/>
      <c r="F13" s="8"/>
      <c r="G13" s="8" t="s">
        <v>707</v>
      </c>
    </row>
    <row r="14" spans="1:10" x14ac:dyDescent="0.25">
      <c r="B14" s="1"/>
      <c r="C14" s="13" t="s">
        <v>708</v>
      </c>
      <c r="D14" s="8" t="s">
        <v>709</v>
      </c>
      <c r="E14" s="8"/>
      <c r="F14" s="8"/>
      <c r="G14" s="8" t="s">
        <v>710</v>
      </c>
    </row>
    <row r="15" spans="1:10" x14ac:dyDescent="0.25">
      <c r="B15" s="1"/>
      <c r="C15" s="13" t="s">
        <v>711</v>
      </c>
      <c r="D15" s="8" t="s">
        <v>133</v>
      </c>
      <c r="E15" s="8"/>
      <c r="F15" s="8"/>
      <c r="G15" s="8" t="s">
        <v>405</v>
      </c>
    </row>
    <row r="16" spans="1:10" x14ac:dyDescent="0.25">
      <c r="C16" s="13" t="s">
        <v>712</v>
      </c>
      <c r="D16" s="8"/>
      <c r="E16" s="1"/>
      <c r="G16" s="5"/>
    </row>
    <row r="17" spans="2:7" x14ac:dyDescent="0.25">
      <c r="C17" s="13" t="s">
        <v>713</v>
      </c>
      <c r="D17" s="8"/>
      <c r="E17" s="1"/>
      <c r="G17" s="5"/>
    </row>
    <row r="18" spans="2:7" x14ac:dyDescent="0.25">
      <c r="C18" s="13" t="s">
        <v>714</v>
      </c>
      <c r="D18" s="8"/>
      <c r="E18" s="1"/>
      <c r="G18" s="5"/>
    </row>
    <row r="19" spans="2:7" x14ac:dyDescent="0.25">
      <c r="C19" s="13" t="s">
        <v>715</v>
      </c>
      <c r="D19" s="8"/>
      <c r="E19" s="1"/>
      <c r="G19" s="5"/>
    </row>
    <row r="20" spans="2:7" x14ac:dyDescent="0.25">
      <c r="B20" s="1"/>
      <c r="C20" s="13" t="s">
        <v>716</v>
      </c>
      <c r="D20" s="8"/>
      <c r="E20" s="1"/>
      <c r="G20" s="5"/>
    </row>
    <row r="21" spans="2:7" x14ac:dyDescent="0.25">
      <c r="E21" s="1"/>
      <c r="G21" s="5"/>
    </row>
    <row r="22" spans="2:7" x14ac:dyDescent="0.25">
      <c r="E22" s="1"/>
      <c r="G22" s="5"/>
    </row>
    <row r="23" spans="2:7" x14ac:dyDescent="0.25">
      <c r="G23" s="5"/>
    </row>
    <row r="24" spans="2:7" x14ac:dyDescent="0.25">
      <c r="G24" s="6" t="s">
        <v>717</v>
      </c>
    </row>
    <row r="25" spans="2:7" x14ac:dyDescent="0.25">
      <c r="G25" s="4" t="s">
        <v>718</v>
      </c>
    </row>
    <row r="26" spans="2:7" x14ac:dyDescent="0.25">
      <c r="G26" s="4" t="s">
        <v>719</v>
      </c>
    </row>
    <row r="27" spans="2:7" x14ac:dyDescent="0.25">
      <c r="G27" s="4" t="s">
        <v>720</v>
      </c>
    </row>
    <row r="28" spans="2:7" x14ac:dyDescent="0.25">
      <c r="G28" s="4" t="s">
        <v>721</v>
      </c>
    </row>
    <row r="29" spans="2:7" x14ac:dyDescent="0.25">
      <c r="G29" s="4" t="s">
        <v>722</v>
      </c>
    </row>
    <row r="30" spans="2:7" x14ac:dyDescent="0.25">
      <c r="G30" s="4" t="s">
        <v>723</v>
      </c>
    </row>
    <row r="31" spans="2:7" x14ac:dyDescent="0.25">
      <c r="G31" s="4" t="s">
        <v>724</v>
      </c>
    </row>
    <row r="32" spans="2:7" x14ac:dyDescent="0.25">
      <c r="G32" s="4" t="s">
        <v>725</v>
      </c>
    </row>
    <row r="33" spans="7:7" x14ac:dyDescent="0.25">
      <c r="G33" s="4" t="s">
        <v>726</v>
      </c>
    </row>
    <row r="34" spans="7:7" x14ac:dyDescent="0.25">
      <c r="G34" s="4" t="s">
        <v>727</v>
      </c>
    </row>
    <row r="35" spans="7:7" x14ac:dyDescent="0.25">
      <c r="G35" s="4" t="s">
        <v>728</v>
      </c>
    </row>
    <row r="36" spans="7:7" x14ac:dyDescent="0.25">
      <c r="G36" s="4" t="s">
        <v>729</v>
      </c>
    </row>
    <row r="37" spans="7:7" x14ac:dyDescent="0.25">
      <c r="G37" s="4" t="s">
        <v>730</v>
      </c>
    </row>
    <row r="38" spans="7:7" x14ac:dyDescent="0.25">
      <c r="G38" s="4" t="s">
        <v>731</v>
      </c>
    </row>
    <row r="39" spans="7:7" x14ac:dyDescent="0.25">
      <c r="G39" s="4" t="s">
        <v>732</v>
      </c>
    </row>
    <row r="40" spans="7:7" x14ac:dyDescent="0.25">
      <c r="G40" s="4" t="s">
        <v>733</v>
      </c>
    </row>
    <row r="41" spans="7:7" x14ac:dyDescent="0.25">
      <c r="G41" s="4" t="s">
        <v>734</v>
      </c>
    </row>
    <row r="42" spans="7:7" x14ac:dyDescent="0.25">
      <c r="G42" s="4" t="s">
        <v>735</v>
      </c>
    </row>
    <row r="43" spans="7:7" x14ac:dyDescent="0.25">
      <c r="G43" s="4" t="s">
        <v>736</v>
      </c>
    </row>
    <row r="44" spans="7:7" x14ac:dyDescent="0.25">
      <c r="G44" s="4" t="s">
        <v>737</v>
      </c>
    </row>
    <row r="45" spans="7:7" x14ac:dyDescent="0.25">
      <c r="G45" s="4" t="s">
        <v>738</v>
      </c>
    </row>
    <row r="46" spans="7:7" x14ac:dyDescent="0.25">
      <c r="G46" s="4" t="s">
        <v>739</v>
      </c>
    </row>
    <row r="47" spans="7:7" x14ac:dyDescent="0.25">
      <c r="G47" s="4" t="s">
        <v>740</v>
      </c>
    </row>
    <row r="48" spans="7:7" x14ac:dyDescent="0.25">
      <c r="G48" s="4" t="s">
        <v>741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www.w3.org/XML/1998/namespace"/>
    <ds:schemaRef ds:uri="http://purl.org/dc/terms/"/>
    <ds:schemaRef ds:uri="http://purl.org/dc/elements/1.1/"/>
    <ds:schemaRef ds:uri="09513e6b-6f73-4b24-b485-ecfb1dade5a0"/>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d95ef6b-5990-4b10-bd7a-7cb80e941752"/>
    <ds:schemaRef ds:uri="http://schemas.microsoft.com/office/2006/metadata/properties"/>
  </ds:schemaRefs>
</ds:datastoreItem>
</file>

<file path=customXml/itemProps2.xml><?xml version="1.0" encoding="utf-8"?>
<ds:datastoreItem xmlns:ds="http://schemas.openxmlformats.org/officeDocument/2006/customXml" ds:itemID="{F18E9411-5309-4DFC-80CD-38793AB51010}"/>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Instructivo</vt:lpstr>
      <vt:lpstr>Meta.1</vt:lpstr>
      <vt:lpstr>Meta.3</vt:lpstr>
      <vt:lpstr>Meta.4</vt:lpstr>
      <vt:lpstr>Meta.5</vt:lpstr>
      <vt:lpstr>Indicadores PA</vt:lpstr>
      <vt:lpstr>Hoja1</vt:lpstr>
      <vt:lpstr>Territorialización PA</vt:lpstr>
      <vt:lpstr>Control de Cambios</vt:lpstr>
      <vt:lpstr>Proyecto</vt:lpstr>
      <vt:lpstr>8198.SCPI</vt:lpstr>
      <vt:lpstr>listas</vt:lpstr>
      <vt:lpstr>'Indicadores PA'!Área_de_impresión</vt:lpstr>
      <vt:lpstr>Meta.1!Área_de_impresión</vt:lpstr>
      <vt:lpstr>Meta.3!Área_de_impresión</vt:lpstr>
      <vt:lpstr>Meta.4!Área_de_impresión</vt:lpstr>
      <vt:lpstr>Meta.5!Área_de_impresión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cp:lastPrinted>2024-10-29T17:29:52Z</cp:lastPrinted>
  <dcterms:created xsi:type="dcterms:W3CDTF">2011-04-26T22:16:52Z</dcterms:created>
  <dcterms:modified xsi:type="dcterms:W3CDTF">2024-10-29T19:45:09Z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