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d.docs.live.net/4741d8437d87abd1/Documentos/SDMujer/2024/Proyectos/7671/Plan de acción/Febrero/"/>
    </mc:Choice>
  </mc:AlternateContent>
  <xr:revisionPtr revIDLastSave="0" documentId="8_{9406A45E-9E84-4E5F-80E6-8E7226D2980B}" xr6:coauthVersionLast="47" xr6:coauthVersionMax="47" xr10:uidLastSave="{00000000-0000-0000-0000-000000000000}"/>
  <bookViews>
    <workbookView xWindow="-108" yWindow="-108" windowWidth="23256" windowHeight="12456" activeTab="7" xr2:uid="{00000000-000D-0000-FFFF-FFFF00000000}"/>
  </bookViews>
  <sheets>
    <sheet name="Meta 1" sheetId="40" r:id="rId1"/>
    <sheet name="Meta 2" sheetId="43" r:id="rId2"/>
    <sheet name="Meta 3" sheetId="44" r:id="rId3"/>
    <sheet name="Meta 4" sheetId="45" r:id="rId4"/>
    <sheet name="Meta 5" sheetId="46" r:id="rId5"/>
    <sheet name="Meta 6" sheetId="47" r:id="rId6"/>
    <sheet name="Meta 7" sheetId="48" r:id="rId7"/>
    <sheet name="Indicadores PA" sheetId="36" r:id="rId8"/>
    <sheet name="Hoja1" sheetId="42" state="hidden" r:id="rId9"/>
    <sheet name="Territorialización PA" sheetId="37" r:id="rId10"/>
    <sheet name="Control de Cambios" sheetId="41" r:id="rId11"/>
    <sheet name="LISTAS" sheetId="38" state="hidden" r:id="rId12"/>
  </sheets>
  <definedNames>
    <definedName name="_xlnm._FilterDatabase" localSheetId="7" hidden="1">'Indicadores PA'!$A$12:$AY$12</definedName>
    <definedName name="_xlnm.Print_Area" localSheetId="7">'Indicadores PA'!$A$1:$AY$23</definedName>
    <definedName name="_xlnm.Print_Area" localSheetId="0">'Meta 1'!$A$1:$AE$48</definedName>
    <definedName name="_xlnm.Print_Area" localSheetId="1">'Meta 2'!$A$1:$AE$60</definedName>
    <definedName name="_xlnm.Print_Area" localSheetId="2">'Meta 3'!$A$1:$AE$48</definedName>
    <definedName name="_xlnm.Print_Area" localSheetId="3">'Meta 4'!$A$1:$AE$46</definedName>
    <definedName name="_xlnm.Print_Area" localSheetId="4">'Meta 5'!$A$1:$AE$42</definedName>
    <definedName name="_xlnm.Print_Area" localSheetId="5">'Meta 6'!$A$1:$AE$54</definedName>
    <definedName name="_xlnm.Print_Area" localSheetId="6">'Meta 7'!$A$1:$AE$44</definedName>
    <definedName name="_xlnm.Print_Area" localSheetId="9">'Territorialización PA'!$A$1:$BK$58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3" i="36" l="1"/>
  <c r="R23" i="48" l="1"/>
  <c r="R23" i="47"/>
  <c r="AC25" i="46"/>
  <c r="R23" i="46"/>
  <c r="AC23" i="46" s="1"/>
  <c r="R25" i="44"/>
  <c r="R23" i="43"/>
  <c r="C25" i="47"/>
  <c r="C25" i="46"/>
  <c r="C25" i="44"/>
  <c r="E22" i="43"/>
  <c r="C22" i="48" l="1"/>
  <c r="C22" i="40"/>
  <c r="J71" i="44"/>
  <c r="J72" i="44" s="1"/>
  <c r="J36" i="44" s="1"/>
  <c r="K71" i="44"/>
  <c r="K72" i="44" s="1"/>
  <c r="K36" i="44" s="1"/>
  <c r="L71" i="44"/>
  <c r="L72" i="44" s="1"/>
  <c r="L36" i="44" s="1"/>
  <c r="M71" i="44"/>
  <c r="M72" i="44" s="1"/>
  <c r="M36" i="44" s="1"/>
  <c r="N71" i="44"/>
  <c r="N72" i="44" s="1"/>
  <c r="N36" i="44" s="1"/>
  <c r="O71" i="44"/>
  <c r="O72" i="44" s="1"/>
  <c r="O36" i="44" s="1"/>
  <c r="K74" i="44"/>
  <c r="K75" i="44" s="1"/>
  <c r="K35" i="44" s="1"/>
  <c r="L74" i="44"/>
  <c r="L75" i="44" s="1"/>
  <c r="L35" i="44" s="1"/>
  <c r="M74" i="44"/>
  <c r="M75" i="44" s="1"/>
  <c r="M35" i="44" s="1"/>
  <c r="N74" i="44"/>
  <c r="N75" i="44" s="1"/>
  <c r="N35" i="44" s="1"/>
  <c r="O74" i="44"/>
  <c r="O75" i="44" s="1"/>
  <c r="O35" i="44" s="1"/>
  <c r="Q64" i="48"/>
  <c r="R64" i="48" s="1"/>
  <c r="R63" i="48"/>
  <c r="Q62" i="48"/>
  <c r="R62" i="48" s="1"/>
  <c r="R61" i="48"/>
  <c r="B59" i="48"/>
  <c r="A59" i="48"/>
  <c r="B57" i="48"/>
  <c r="A57" i="48"/>
  <c r="B81" i="47"/>
  <c r="A81" i="47"/>
  <c r="B79" i="47"/>
  <c r="A79" i="47"/>
  <c r="B77" i="47"/>
  <c r="A77" i="47"/>
  <c r="B75" i="47"/>
  <c r="A75" i="47"/>
  <c r="B73" i="47"/>
  <c r="A73" i="47"/>
  <c r="B71" i="47"/>
  <c r="A71" i="47"/>
  <c r="B69" i="47"/>
  <c r="A69" i="47"/>
  <c r="J65" i="46"/>
  <c r="J66" i="46" s="1"/>
  <c r="K65" i="46"/>
  <c r="K66" i="46" s="1"/>
  <c r="L65" i="46"/>
  <c r="L66" i="46" s="1"/>
  <c r="M65" i="46"/>
  <c r="M66" i="46" s="1"/>
  <c r="M36" i="46" s="1"/>
  <c r="N65" i="46"/>
  <c r="N66" i="46" s="1"/>
  <c r="N36" i="46" s="1"/>
  <c r="O65" i="46"/>
  <c r="O66" i="46" s="1"/>
  <c r="K68" i="46"/>
  <c r="K69" i="46" s="1"/>
  <c r="L68" i="46"/>
  <c r="L69" i="46" s="1"/>
  <c r="L35" i="46" s="1"/>
  <c r="M68" i="46"/>
  <c r="M69" i="46" s="1"/>
  <c r="N68" i="46"/>
  <c r="N69" i="46" s="1"/>
  <c r="O68" i="46"/>
  <c r="O69" i="46" s="1"/>
  <c r="Q62" i="46"/>
  <c r="R62" i="46" s="1"/>
  <c r="R61" i="46"/>
  <c r="Q60" i="46"/>
  <c r="R60" i="46" s="1"/>
  <c r="R59" i="46"/>
  <c r="B57" i="46"/>
  <c r="A57" i="46"/>
  <c r="J69" i="45"/>
  <c r="J70" i="45" s="1"/>
  <c r="J36" i="45" s="1"/>
  <c r="K69" i="45"/>
  <c r="K70" i="45" s="1"/>
  <c r="L69" i="45"/>
  <c r="L70" i="45" s="1"/>
  <c r="L36" i="45" s="1"/>
  <c r="M69" i="45"/>
  <c r="M70" i="45" s="1"/>
  <c r="M36" i="45" s="1"/>
  <c r="N69" i="45"/>
  <c r="N70" i="45" s="1"/>
  <c r="O69" i="45"/>
  <c r="O70" i="45" s="1"/>
  <c r="K72" i="45"/>
  <c r="K73" i="45" s="1"/>
  <c r="L72" i="45"/>
  <c r="L73" i="45" s="1"/>
  <c r="L35" i="45" s="1"/>
  <c r="M72" i="45"/>
  <c r="M73" i="45" s="1"/>
  <c r="N72" i="45"/>
  <c r="N73" i="45" s="1"/>
  <c r="O72" i="45"/>
  <c r="O73" i="45" s="1"/>
  <c r="O35" i="45" s="1"/>
  <c r="Q66" i="45"/>
  <c r="R66" i="45" s="1"/>
  <c r="R65" i="45"/>
  <c r="Q64" i="45"/>
  <c r="R64" i="45" s="1"/>
  <c r="R63" i="45"/>
  <c r="B61" i="45"/>
  <c r="A61" i="45"/>
  <c r="B59" i="45"/>
  <c r="A59" i="45"/>
  <c r="B57" i="45"/>
  <c r="A57" i="45"/>
  <c r="Q68" i="44"/>
  <c r="R68" i="44" s="1"/>
  <c r="R67" i="44"/>
  <c r="Q66" i="44"/>
  <c r="R66" i="44" s="1"/>
  <c r="R65" i="44"/>
  <c r="B63" i="44"/>
  <c r="A63" i="44"/>
  <c r="B61" i="44"/>
  <c r="A61" i="44"/>
  <c r="B59" i="44"/>
  <c r="A59" i="44"/>
  <c r="B57" i="44"/>
  <c r="A57" i="44"/>
  <c r="B69" i="43"/>
  <c r="B71" i="43"/>
  <c r="B73" i="43"/>
  <c r="B75" i="43"/>
  <c r="B77" i="43"/>
  <c r="B79" i="43"/>
  <c r="B81" i="43"/>
  <c r="B83" i="43"/>
  <c r="B85" i="43"/>
  <c r="B87" i="43"/>
  <c r="A71" i="43"/>
  <c r="A73" i="43"/>
  <c r="A75" i="43"/>
  <c r="A77" i="43"/>
  <c r="A79" i="43"/>
  <c r="A81" i="43"/>
  <c r="A83" i="43"/>
  <c r="A85" i="43"/>
  <c r="A87" i="43"/>
  <c r="A69" i="43"/>
  <c r="Q92" i="43"/>
  <c r="R92" i="43" s="1"/>
  <c r="R91" i="43"/>
  <c r="Q90" i="43"/>
  <c r="R90" i="43" s="1"/>
  <c r="R89" i="43"/>
  <c r="K74" i="40"/>
  <c r="K75" i="40" s="1"/>
  <c r="L74" i="40"/>
  <c r="L75" i="40" s="1"/>
  <c r="M74" i="40"/>
  <c r="M75" i="40" s="1"/>
  <c r="N74" i="40"/>
  <c r="N75" i="40" s="1"/>
  <c r="O74" i="40"/>
  <c r="O75" i="40" s="1"/>
  <c r="J71" i="40"/>
  <c r="J72" i="40" s="1"/>
  <c r="K71" i="40"/>
  <c r="K72" i="40" s="1"/>
  <c r="L71" i="40"/>
  <c r="L72" i="40" s="1"/>
  <c r="M71" i="40"/>
  <c r="M72" i="40" s="1"/>
  <c r="N71" i="40"/>
  <c r="N72" i="40" s="1"/>
  <c r="O71" i="40"/>
  <c r="O72" i="40" s="1"/>
  <c r="B57" i="40"/>
  <c r="B59" i="40"/>
  <c r="B61" i="40"/>
  <c r="B63" i="40"/>
  <c r="A59" i="40"/>
  <c r="A61" i="40"/>
  <c r="A63" i="40"/>
  <c r="A57" i="40"/>
  <c r="Q68" i="40"/>
  <c r="R68" i="40" s="1"/>
  <c r="R67" i="40"/>
  <c r="Q66" i="40"/>
  <c r="R66" i="40" s="1"/>
  <c r="R65" i="40"/>
  <c r="J36" i="40" l="1"/>
  <c r="N35" i="45"/>
  <c r="M35" i="45"/>
  <c r="K35" i="45"/>
  <c r="O36" i="45"/>
  <c r="N36" i="45"/>
  <c r="K36" i="45"/>
  <c r="O35" i="46"/>
  <c r="N35" i="46"/>
  <c r="M35" i="46"/>
  <c r="K35" i="46"/>
  <c r="O36" i="46"/>
  <c r="L36" i="46"/>
  <c r="K36" i="46"/>
  <c r="J36" i="46"/>
  <c r="AB24" i="48"/>
  <c r="AA24" i="48"/>
  <c r="Z24" i="48"/>
  <c r="Y24" i="48"/>
  <c r="X24" i="48"/>
  <c r="Z24" i="45"/>
  <c r="Y24" i="45"/>
  <c r="X22" i="45"/>
  <c r="AB24" i="44"/>
  <c r="X22" i="44"/>
  <c r="AA24" i="43"/>
  <c r="Z24" i="43"/>
  <c r="AB24" i="43"/>
  <c r="X22" i="43"/>
  <c r="AB24" i="40"/>
  <c r="AA24" i="40"/>
  <c r="Z24" i="40"/>
  <c r="V22" i="40"/>
  <c r="U22" i="48" l="1"/>
  <c r="AB24" i="47"/>
  <c r="Y24" i="47"/>
  <c r="AA24" i="47"/>
  <c r="Z24" i="47"/>
  <c r="X22" i="47"/>
  <c r="AB24" i="46"/>
  <c r="X22" i="46"/>
  <c r="X24" i="44"/>
  <c r="Y24" i="44"/>
  <c r="Y24" i="43"/>
  <c r="Y24" i="40"/>
  <c r="D22" i="48"/>
  <c r="B25" i="48"/>
  <c r="C25" i="48" s="1"/>
  <c r="E22" i="45"/>
  <c r="E22" i="44"/>
  <c r="D22" i="44"/>
  <c r="B25" i="40"/>
  <c r="C25" i="40" s="1"/>
  <c r="B25" i="43"/>
  <c r="C25" i="43" s="1"/>
  <c r="D22" i="43"/>
  <c r="C22" i="43"/>
  <c r="A21" i="47" l="1"/>
  <c r="A21" i="44"/>
  <c r="A21" i="48"/>
  <c r="E22" i="48" s="1"/>
  <c r="A21" i="45"/>
  <c r="A21" i="43"/>
  <c r="AB24" i="45" l="1"/>
  <c r="X24" i="43"/>
  <c r="R22" i="48" l="1"/>
  <c r="R22" i="45" l="1"/>
  <c r="R22" i="44"/>
  <c r="V22" i="44"/>
  <c r="T22" i="44"/>
  <c r="Q23" i="40"/>
  <c r="R23" i="40" s="1"/>
  <c r="Q23" i="45" l="1"/>
  <c r="R23" i="45" s="1"/>
  <c r="Q23" i="44"/>
  <c r="R23" i="44" s="1"/>
  <c r="B25" i="45"/>
  <c r="C25" i="45" s="1"/>
  <c r="P44" i="48" l="1"/>
  <c r="P43" i="48"/>
  <c r="P42" i="48"/>
  <c r="P41" i="48"/>
  <c r="P30" i="48"/>
  <c r="AC25" i="48"/>
  <c r="N25" i="48"/>
  <c r="O25" i="48" s="1"/>
  <c r="AC24" i="48"/>
  <c r="N24" i="48"/>
  <c r="AC23" i="48"/>
  <c r="AD23" i="48" s="1"/>
  <c r="N23" i="48"/>
  <c r="O23" i="48" s="1"/>
  <c r="AC22" i="48"/>
  <c r="N22" i="48"/>
  <c r="P54" i="47"/>
  <c r="P53" i="47"/>
  <c r="P52" i="47"/>
  <c r="P51" i="47"/>
  <c r="P50" i="47"/>
  <c r="P49" i="47"/>
  <c r="P48" i="47"/>
  <c r="P47" i="47"/>
  <c r="P46" i="47"/>
  <c r="P45" i="47"/>
  <c r="P44" i="47"/>
  <c r="P43" i="47"/>
  <c r="P42" i="47"/>
  <c r="P41" i="47"/>
  <c r="P30" i="47"/>
  <c r="AC25" i="47"/>
  <c r="N25" i="47"/>
  <c r="O25" i="47" s="1"/>
  <c r="N24" i="47"/>
  <c r="AC23" i="47"/>
  <c r="N23" i="47"/>
  <c r="O23" i="47" s="1"/>
  <c r="AC22" i="47"/>
  <c r="N22" i="47"/>
  <c r="AC24" i="46"/>
  <c r="AE25" i="46" s="1"/>
  <c r="AC22" i="46"/>
  <c r="AE23" i="46" s="1"/>
  <c r="N25" i="46"/>
  <c r="O25" i="46" s="1"/>
  <c r="N24" i="46"/>
  <c r="N23" i="46"/>
  <c r="O23" i="46" s="1"/>
  <c r="N22" i="46"/>
  <c r="P42" i="46"/>
  <c r="P41" i="46"/>
  <c r="P30" i="46"/>
  <c r="AC25" i="45"/>
  <c r="AC24" i="45"/>
  <c r="AC23" i="45"/>
  <c r="AC22" i="45"/>
  <c r="N25" i="45"/>
  <c r="O25" i="45" s="1"/>
  <c r="N24" i="45"/>
  <c r="N23" i="45"/>
  <c r="O23" i="45" s="1"/>
  <c r="N22" i="45"/>
  <c r="P46" i="45"/>
  <c r="P45" i="45"/>
  <c r="P44" i="45"/>
  <c r="P43" i="45"/>
  <c r="P42" i="45"/>
  <c r="P41" i="45"/>
  <c r="P30" i="45"/>
  <c r="AC25" i="44"/>
  <c r="AC24" i="44"/>
  <c r="AC23" i="44"/>
  <c r="AD23" i="44" s="1"/>
  <c r="AC22" i="44"/>
  <c r="N25" i="44"/>
  <c r="O25" i="44" s="1"/>
  <c r="N24" i="44"/>
  <c r="N23" i="44"/>
  <c r="C22" i="44"/>
  <c r="P48" i="44"/>
  <c r="P47" i="44"/>
  <c r="P46" i="44"/>
  <c r="P45" i="44"/>
  <c r="P44" i="44"/>
  <c r="P43" i="44"/>
  <c r="P42" i="44"/>
  <c r="P41" i="44"/>
  <c r="P30" i="44"/>
  <c r="P47" i="43"/>
  <c r="P45" i="43"/>
  <c r="P43" i="43"/>
  <c r="P41" i="43"/>
  <c r="P60" i="43"/>
  <c r="P59" i="43"/>
  <c r="P58" i="43"/>
  <c r="P57" i="43"/>
  <c r="P56" i="43"/>
  <c r="P55" i="43"/>
  <c r="P54" i="43"/>
  <c r="P53" i="43"/>
  <c r="P52" i="43"/>
  <c r="P51" i="43"/>
  <c r="P50" i="43"/>
  <c r="P49" i="43"/>
  <c r="P48" i="43"/>
  <c r="P46" i="43"/>
  <c r="P44" i="43"/>
  <c r="P42" i="43"/>
  <c r="AC25" i="43"/>
  <c r="AC24" i="43"/>
  <c r="AC23" i="43"/>
  <c r="AD23" i="43" s="1"/>
  <c r="AC22" i="43"/>
  <c r="N25" i="43"/>
  <c r="O25" i="43" s="1"/>
  <c r="N24" i="43"/>
  <c r="N23" i="43"/>
  <c r="O23" i="43" s="1"/>
  <c r="N22" i="43"/>
  <c r="F18" i="43" s="1"/>
  <c r="E18" i="43" s="1"/>
  <c r="G18" i="43" s="1"/>
  <c r="K75" i="43" l="1"/>
  <c r="H76" i="43"/>
  <c r="D75" i="43"/>
  <c r="L75" i="43"/>
  <c r="I76" i="43"/>
  <c r="E75" i="43"/>
  <c r="M75" i="43"/>
  <c r="J76" i="43"/>
  <c r="F75" i="43"/>
  <c r="N75" i="43"/>
  <c r="K76" i="43"/>
  <c r="G75" i="43"/>
  <c r="O75" i="43"/>
  <c r="L76" i="43"/>
  <c r="D76" i="43"/>
  <c r="F76" i="43"/>
  <c r="H75" i="43"/>
  <c r="E76" i="43"/>
  <c r="M76" i="43"/>
  <c r="I75" i="43"/>
  <c r="N76" i="43"/>
  <c r="J75" i="43"/>
  <c r="G76" i="43"/>
  <c r="O76" i="43"/>
  <c r="E77" i="43"/>
  <c r="M77" i="43"/>
  <c r="J78" i="43"/>
  <c r="D77" i="43"/>
  <c r="F77" i="43"/>
  <c r="K78" i="43"/>
  <c r="N77" i="43"/>
  <c r="G77" i="43"/>
  <c r="O77" i="43"/>
  <c r="L78" i="43"/>
  <c r="H77" i="43"/>
  <c r="E78" i="43"/>
  <c r="M78" i="43"/>
  <c r="I77" i="43"/>
  <c r="F78" i="43"/>
  <c r="N78" i="43"/>
  <c r="J77" i="43"/>
  <c r="G78" i="43"/>
  <c r="O78" i="43"/>
  <c r="K77" i="43"/>
  <c r="H78" i="43"/>
  <c r="I78" i="43"/>
  <c r="L77" i="43"/>
  <c r="D78" i="43"/>
  <c r="E85" i="43"/>
  <c r="M85" i="43"/>
  <c r="J86" i="43"/>
  <c r="D85" i="43"/>
  <c r="N85" i="43"/>
  <c r="F85" i="43"/>
  <c r="K86" i="43"/>
  <c r="G85" i="43"/>
  <c r="O85" i="43"/>
  <c r="L86" i="43"/>
  <c r="H85" i="43"/>
  <c r="E86" i="43"/>
  <c r="M86" i="43"/>
  <c r="I85" i="43"/>
  <c r="F86" i="43"/>
  <c r="N86" i="43"/>
  <c r="H86" i="43"/>
  <c r="J85" i="43"/>
  <c r="G86" i="43"/>
  <c r="O86" i="43"/>
  <c r="K85" i="43"/>
  <c r="I86" i="43"/>
  <c r="L85" i="43"/>
  <c r="D86" i="43"/>
  <c r="G71" i="43"/>
  <c r="O71" i="43"/>
  <c r="L72" i="43"/>
  <c r="E72" i="43"/>
  <c r="H71" i="43"/>
  <c r="M72" i="43"/>
  <c r="I71" i="43"/>
  <c r="F72" i="43"/>
  <c r="N72" i="43"/>
  <c r="J71" i="43"/>
  <c r="G72" i="43"/>
  <c r="O72" i="43"/>
  <c r="K71" i="43"/>
  <c r="H72" i="43"/>
  <c r="D72" i="43"/>
  <c r="L71" i="43"/>
  <c r="I72" i="43"/>
  <c r="D71" i="43"/>
  <c r="E71" i="43"/>
  <c r="M71" i="43"/>
  <c r="J72" i="43"/>
  <c r="K72" i="43"/>
  <c r="F71" i="43"/>
  <c r="N71" i="43"/>
  <c r="K83" i="43"/>
  <c r="H84" i="43"/>
  <c r="I84" i="43"/>
  <c r="L83" i="43"/>
  <c r="D84" i="43"/>
  <c r="E83" i="43"/>
  <c r="M83" i="43"/>
  <c r="J84" i="43"/>
  <c r="D83" i="43"/>
  <c r="F83" i="43"/>
  <c r="N83" i="43"/>
  <c r="K84" i="43"/>
  <c r="G83" i="43"/>
  <c r="O83" i="43"/>
  <c r="L84" i="43"/>
  <c r="I83" i="43"/>
  <c r="N84" i="43"/>
  <c r="H83" i="43"/>
  <c r="E84" i="43"/>
  <c r="M84" i="43"/>
  <c r="F84" i="43"/>
  <c r="O84" i="43"/>
  <c r="G84" i="43"/>
  <c r="J83" i="43"/>
  <c r="I73" i="43"/>
  <c r="F74" i="43"/>
  <c r="N74" i="43"/>
  <c r="O74" i="43"/>
  <c r="J73" i="43"/>
  <c r="G74" i="43"/>
  <c r="K73" i="43"/>
  <c r="H74" i="43"/>
  <c r="D74" i="43"/>
  <c r="L73" i="43"/>
  <c r="I74" i="43"/>
  <c r="D73" i="43"/>
  <c r="E73" i="43"/>
  <c r="M73" i="43"/>
  <c r="J74" i="43"/>
  <c r="F73" i="43"/>
  <c r="N73" i="43"/>
  <c r="K74" i="43"/>
  <c r="G73" i="43"/>
  <c r="O73" i="43"/>
  <c r="L74" i="43"/>
  <c r="M74" i="43"/>
  <c r="H73" i="43"/>
  <c r="E74" i="43"/>
  <c r="G79" i="43"/>
  <c r="O79" i="43"/>
  <c r="L80" i="43"/>
  <c r="E80" i="43"/>
  <c r="H79" i="43"/>
  <c r="M80" i="43"/>
  <c r="I79" i="43"/>
  <c r="F80" i="43"/>
  <c r="N80" i="43"/>
  <c r="J79" i="43"/>
  <c r="G80" i="43"/>
  <c r="O80" i="43"/>
  <c r="J80" i="43"/>
  <c r="K79" i="43"/>
  <c r="H80" i="43"/>
  <c r="E79" i="43"/>
  <c r="D79" i="43"/>
  <c r="L79" i="43"/>
  <c r="I80" i="43"/>
  <c r="D80" i="43"/>
  <c r="M79" i="43"/>
  <c r="K80" i="43"/>
  <c r="N79" i="43"/>
  <c r="F79" i="43"/>
  <c r="G87" i="43"/>
  <c r="O87" i="43"/>
  <c r="L88" i="43"/>
  <c r="H87" i="43"/>
  <c r="M88" i="43"/>
  <c r="E88" i="43"/>
  <c r="I87" i="43"/>
  <c r="F88" i="43"/>
  <c r="N88" i="43"/>
  <c r="J87" i="43"/>
  <c r="G88" i="43"/>
  <c r="O88" i="43"/>
  <c r="D87" i="43"/>
  <c r="K87" i="43"/>
  <c r="H88" i="43"/>
  <c r="M87" i="43"/>
  <c r="L87" i="43"/>
  <c r="I88" i="43"/>
  <c r="D88" i="43"/>
  <c r="E87" i="43"/>
  <c r="J88" i="43"/>
  <c r="F87" i="43"/>
  <c r="N87" i="43"/>
  <c r="K88" i="43"/>
  <c r="L57" i="48"/>
  <c r="N58" i="48"/>
  <c r="M57" i="48"/>
  <c r="O58" i="48"/>
  <c r="N57" i="48"/>
  <c r="O57" i="48"/>
  <c r="J58" i="48"/>
  <c r="J67" i="48" s="1"/>
  <c r="J68" i="48" s="1"/>
  <c r="J36" i="48" s="1"/>
  <c r="K58" i="48"/>
  <c r="J57" i="48"/>
  <c r="L58" i="48"/>
  <c r="K57" i="48"/>
  <c r="M58" i="48"/>
  <c r="I81" i="43"/>
  <c r="F82" i="43"/>
  <c r="N82" i="43"/>
  <c r="J81" i="43"/>
  <c r="O82" i="43"/>
  <c r="G82" i="43"/>
  <c r="K81" i="43"/>
  <c r="H82" i="43"/>
  <c r="L81" i="43"/>
  <c r="I82" i="43"/>
  <c r="D81" i="43"/>
  <c r="E81" i="43"/>
  <c r="M81" i="43"/>
  <c r="J82" i="43"/>
  <c r="D82" i="43"/>
  <c r="O81" i="43"/>
  <c r="F81" i="43"/>
  <c r="N81" i="43"/>
  <c r="K82" i="43"/>
  <c r="G81" i="43"/>
  <c r="L82" i="43"/>
  <c r="H81" i="43"/>
  <c r="E82" i="43"/>
  <c r="M82" i="43"/>
  <c r="E69" i="43"/>
  <c r="M69" i="43"/>
  <c r="J70" i="43"/>
  <c r="F69" i="43"/>
  <c r="N69" i="43"/>
  <c r="K70" i="43"/>
  <c r="G69" i="43"/>
  <c r="O69" i="43"/>
  <c r="L70" i="43"/>
  <c r="H69" i="43"/>
  <c r="E70" i="43"/>
  <c r="M70" i="43"/>
  <c r="I69" i="43"/>
  <c r="F70" i="43"/>
  <c r="N70" i="43"/>
  <c r="J69" i="43"/>
  <c r="G70" i="43"/>
  <c r="O70" i="43"/>
  <c r="K69" i="43"/>
  <c r="K98" i="43" s="1"/>
  <c r="H70" i="43"/>
  <c r="D70" i="43"/>
  <c r="D69" i="43"/>
  <c r="L69" i="43"/>
  <c r="I70" i="43"/>
  <c r="J60" i="48"/>
  <c r="K60" i="48"/>
  <c r="J59" i="48"/>
  <c r="L60" i="48"/>
  <c r="K59" i="48"/>
  <c r="M60" i="48"/>
  <c r="L59" i="48"/>
  <c r="N60" i="48"/>
  <c r="M59" i="48"/>
  <c r="O60" i="48"/>
  <c r="N59" i="48"/>
  <c r="O59" i="48"/>
  <c r="F60" i="44"/>
  <c r="H59" i="44"/>
  <c r="D59" i="44"/>
  <c r="I60" i="44"/>
  <c r="E60" i="44"/>
  <c r="G59" i="44"/>
  <c r="H60" i="44"/>
  <c r="D60" i="44"/>
  <c r="F59" i="44"/>
  <c r="G60" i="44"/>
  <c r="I59" i="44"/>
  <c r="E59" i="44"/>
  <c r="F64" i="44"/>
  <c r="H63" i="44"/>
  <c r="D63" i="44"/>
  <c r="I64" i="44"/>
  <c r="E64" i="44"/>
  <c r="G63" i="44"/>
  <c r="H64" i="44"/>
  <c r="D64" i="44"/>
  <c r="F63" i="44"/>
  <c r="G64" i="44"/>
  <c r="I63" i="44"/>
  <c r="E63" i="44"/>
  <c r="H58" i="44"/>
  <c r="D58" i="44"/>
  <c r="G57" i="44"/>
  <c r="G58" i="44"/>
  <c r="J57" i="44"/>
  <c r="J74" i="44" s="1"/>
  <c r="J75" i="44" s="1"/>
  <c r="J35" i="44" s="1"/>
  <c r="F57" i="44"/>
  <c r="F58" i="44"/>
  <c r="I57" i="44"/>
  <c r="E57" i="44"/>
  <c r="I58" i="44"/>
  <c r="E58" i="44"/>
  <c r="H57" i="44"/>
  <c r="D57" i="44"/>
  <c r="H62" i="44"/>
  <c r="D62" i="44"/>
  <c r="F61" i="44"/>
  <c r="G62" i="44"/>
  <c r="I61" i="44"/>
  <c r="E61" i="44"/>
  <c r="F62" i="44"/>
  <c r="H61" i="44"/>
  <c r="D61" i="44"/>
  <c r="I62" i="44"/>
  <c r="E62" i="44"/>
  <c r="G61" i="44"/>
  <c r="G58" i="48"/>
  <c r="F57" i="48"/>
  <c r="F58" i="48"/>
  <c r="I57" i="48"/>
  <c r="E57" i="48"/>
  <c r="D58" i="48"/>
  <c r="I58" i="48"/>
  <c r="E58" i="48"/>
  <c r="H57" i="48"/>
  <c r="D57" i="48"/>
  <c r="H58" i="48"/>
  <c r="G57" i="48"/>
  <c r="I60" i="48"/>
  <c r="E60" i="48"/>
  <c r="G59" i="48"/>
  <c r="H60" i="48"/>
  <c r="D60" i="48"/>
  <c r="F59" i="48"/>
  <c r="H59" i="48"/>
  <c r="G60" i="48"/>
  <c r="I59" i="48"/>
  <c r="E59" i="48"/>
  <c r="F60" i="48"/>
  <c r="D59" i="48"/>
  <c r="M72" i="47"/>
  <c r="I72" i="47"/>
  <c r="E72" i="47"/>
  <c r="M71" i="47"/>
  <c r="I71" i="47"/>
  <c r="E71" i="47"/>
  <c r="L72" i="47"/>
  <c r="H72" i="47"/>
  <c r="D72" i="47"/>
  <c r="L71" i="47"/>
  <c r="H71" i="47"/>
  <c r="D71" i="47"/>
  <c r="J72" i="47"/>
  <c r="N71" i="47"/>
  <c r="F71" i="47"/>
  <c r="O72" i="47"/>
  <c r="G72" i="47"/>
  <c r="K71" i="47"/>
  <c r="N72" i="47"/>
  <c r="F72" i="47"/>
  <c r="J71" i="47"/>
  <c r="K72" i="47"/>
  <c r="O71" i="47"/>
  <c r="G71" i="47"/>
  <c r="M76" i="47"/>
  <c r="I76" i="47"/>
  <c r="E76" i="47"/>
  <c r="M75" i="47"/>
  <c r="I75" i="47"/>
  <c r="E75" i="47"/>
  <c r="L76" i="47"/>
  <c r="H76" i="47"/>
  <c r="D76" i="47"/>
  <c r="L75" i="47"/>
  <c r="H75" i="47"/>
  <c r="D75" i="47"/>
  <c r="J76" i="47"/>
  <c r="N75" i="47"/>
  <c r="F75" i="47"/>
  <c r="O76" i="47"/>
  <c r="G76" i="47"/>
  <c r="K75" i="47"/>
  <c r="N76" i="47"/>
  <c r="F76" i="47"/>
  <c r="J75" i="47"/>
  <c r="K76" i="47"/>
  <c r="O75" i="47"/>
  <c r="G75" i="47"/>
  <c r="M80" i="47"/>
  <c r="I80" i="47"/>
  <c r="E80" i="47"/>
  <c r="M79" i="47"/>
  <c r="I79" i="47"/>
  <c r="E79" i="47"/>
  <c r="L80" i="47"/>
  <c r="H80" i="47"/>
  <c r="D80" i="47"/>
  <c r="L79" i="47"/>
  <c r="H79" i="47"/>
  <c r="D79" i="47"/>
  <c r="J80" i="47"/>
  <c r="N79" i="47"/>
  <c r="F79" i="47"/>
  <c r="O80" i="47"/>
  <c r="G80" i="47"/>
  <c r="K79" i="47"/>
  <c r="N80" i="47"/>
  <c r="F80" i="47"/>
  <c r="J79" i="47"/>
  <c r="K80" i="47"/>
  <c r="O79" i="47"/>
  <c r="G79" i="47"/>
  <c r="O70" i="47"/>
  <c r="K70" i="47"/>
  <c r="G70" i="47"/>
  <c r="O69" i="47"/>
  <c r="K69" i="47"/>
  <c r="G69" i="47"/>
  <c r="N70" i="47"/>
  <c r="J70" i="47"/>
  <c r="F70" i="47"/>
  <c r="N69" i="47"/>
  <c r="J69" i="47"/>
  <c r="F69" i="47"/>
  <c r="L70" i="47"/>
  <c r="D70" i="47"/>
  <c r="H69" i="47"/>
  <c r="I70" i="47"/>
  <c r="M69" i="47"/>
  <c r="E69" i="47"/>
  <c r="H70" i="47"/>
  <c r="L69" i="47"/>
  <c r="D69" i="47"/>
  <c r="M70" i="47"/>
  <c r="E70" i="47"/>
  <c r="I69" i="47"/>
  <c r="O74" i="47"/>
  <c r="K74" i="47"/>
  <c r="G74" i="47"/>
  <c r="O73" i="47"/>
  <c r="K73" i="47"/>
  <c r="G73" i="47"/>
  <c r="N74" i="47"/>
  <c r="J74" i="47"/>
  <c r="F74" i="47"/>
  <c r="N73" i="47"/>
  <c r="J73" i="47"/>
  <c r="F73" i="47"/>
  <c r="L74" i="47"/>
  <c r="D74" i="47"/>
  <c r="H73" i="47"/>
  <c r="I74" i="47"/>
  <c r="M73" i="47"/>
  <c r="E73" i="47"/>
  <c r="H74" i="47"/>
  <c r="L73" i="47"/>
  <c r="D73" i="47"/>
  <c r="M74" i="47"/>
  <c r="E74" i="47"/>
  <c r="I73" i="47"/>
  <c r="O78" i="47"/>
  <c r="K78" i="47"/>
  <c r="G78" i="47"/>
  <c r="O77" i="47"/>
  <c r="K77" i="47"/>
  <c r="G77" i="47"/>
  <c r="N78" i="47"/>
  <c r="J78" i="47"/>
  <c r="F78" i="47"/>
  <c r="N77" i="47"/>
  <c r="J77" i="47"/>
  <c r="F77" i="47"/>
  <c r="L78" i="47"/>
  <c r="D78" i="47"/>
  <c r="H77" i="47"/>
  <c r="I78" i="47"/>
  <c r="M77" i="47"/>
  <c r="E77" i="47"/>
  <c r="H78" i="47"/>
  <c r="L77" i="47"/>
  <c r="D77" i="47"/>
  <c r="M78" i="47"/>
  <c r="E78" i="47"/>
  <c r="I77" i="47"/>
  <c r="O82" i="47"/>
  <c r="K82" i="47"/>
  <c r="G82" i="47"/>
  <c r="O81" i="47"/>
  <c r="K81" i="47"/>
  <c r="G81" i="47"/>
  <c r="N82" i="47"/>
  <c r="J82" i="47"/>
  <c r="F82" i="47"/>
  <c r="N81" i="47"/>
  <c r="J81" i="47"/>
  <c r="F81" i="47"/>
  <c r="M82" i="47"/>
  <c r="L82" i="47"/>
  <c r="D82" i="47"/>
  <c r="H81" i="47"/>
  <c r="I82" i="47"/>
  <c r="M81" i="47"/>
  <c r="E81" i="47"/>
  <c r="H82" i="47"/>
  <c r="L81" i="47"/>
  <c r="D81" i="47"/>
  <c r="E82" i="47"/>
  <c r="I81" i="47"/>
  <c r="H58" i="46"/>
  <c r="H65" i="46" s="1"/>
  <c r="D58" i="46"/>
  <c r="D65" i="46" s="1"/>
  <c r="G57" i="46"/>
  <c r="G68" i="46" s="1"/>
  <c r="F58" i="46"/>
  <c r="F65" i="46" s="1"/>
  <c r="E57" i="46"/>
  <c r="E68" i="46" s="1"/>
  <c r="I58" i="46"/>
  <c r="I65" i="46" s="1"/>
  <c r="H57" i="46"/>
  <c r="H68" i="46" s="1"/>
  <c r="D57" i="46"/>
  <c r="D68" i="46" s="1"/>
  <c r="G58" i="46"/>
  <c r="G65" i="46" s="1"/>
  <c r="J57" i="46"/>
  <c r="J68" i="46" s="1"/>
  <c r="F57" i="46"/>
  <c r="F68" i="46" s="1"/>
  <c r="I57" i="46"/>
  <c r="I68" i="46" s="1"/>
  <c r="E58" i="46"/>
  <c r="E65" i="46" s="1"/>
  <c r="I58" i="45"/>
  <c r="E58" i="45"/>
  <c r="H57" i="45"/>
  <c r="D57" i="45"/>
  <c r="F58" i="45"/>
  <c r="E57" i="45"/>
  <c r="H58" i="45"/>
  <c r="D58" i="45"/>
  <c r="G57" i="45"/>
  <c r="G72" i="45" s="1"/>
  <c r="G58" i="45"/>
  <c r="J57" i="45"/>
  <c r="J72" i="45" s="1"/>
  <c r="F57" i="45"/>
  <c r="I57" i="45"/>
  <c r="I62" i="45"/>
  <c r="E62" i="45"/>
  <c r="G61" i="45"/>
  <c r="F62" i="45"/>
  <c r="D61" i="45"/>
  <c r="H62" i="45"/>
  <c r="D62" i="45"/>
  <c r="F61" i="45"/>
  <c r="G62" i="45"/>
  <c r="I61" i="45"/>
  <c r="E61" i="45"/>
  <c r="H61" i="45"/>
  <c r="G60" i="45"/>
  <c r="I59" i="45"/>
  <c r="E59" i="45"/>
  <c r="D60" i="45"/>
  <c r="F60" i="45"/>
  <c r="H59" i="45"/>
  <c r="D59" i="45"/>
  <c r="H60" i="45"/>
  <c r="I60" i="45"/>
  <c r="E60" i="45"/>
  <c r="G59" i="45"/>
  <c r="F59" i="45"/>
  <c r="AE23" i="48"/>
  <c r="AE23" i="47"/>
  <c r="N22" i="44"/>
  <c r="AD25" i="44"/>
  <c r="AD25" i="47"/>
  <c r="AE25" i="44"/>
  <c r="AE25" i="48"/>
  <c r="AD25" i="48"/>
  <c r="AC24" i="47"/>
  <c r="AE25" i="47" s="1"/>
  <c r="AD23" i="47"/>
  <c r="AE23" i="45"/>
  <c r="AE25" i="45"/>
  <c r="AE23" i="44"/>
  <c r="AE23" i="43"/>
  <c r="AE25" i="43"/>
  <c r="AD25" i="43"/>
  <c r="I69" i="45" l="1"/>
  <c r="P71" i="43"/>
  <c r="P81" i="43"/>
  <c r="R81" i="43" s="1"/>
  <c r="P79" i="43"/>
  <c r="R79" i="43" s="1"/>
  <c r="E95" i="43"/>
  <c r="E96" i="43" s="1"/>
  <c r="E36" i="43" s="1"/>
  <c r="P73" i="43"/>
  <c r="R73" i="43" s="1"/>
  <c r="O70" i="48"/>
  <c r="O71" i="48" s="1"/>
  <c r="O35" i="48" s="1"/>
  <c r="J95" i="43"/>
  <c r="P72" i="43"/>
  <c r="I66" i="46"/>
  <c r="I36" i="46" s="1"/>
  <c r="E66" i="46"/>
  <c r="I69" i="46"/>
  <c r="I35" i="46" s="1"/>
  <c r="F66" i="46"/>
  <c r="F36" i="46" s="1"/>
  <c r="G70" i="48"/>
  <c r="G71" i="48" s="1"/>
  <c r="G35" i="48" s="1"/>
  <c r="I70" i="45"/>
  <c r="I36" i="45" s="1"/>
  <c r="E35" i="46"/>
  <c r="E69" i="46"/>
  <c r="F69" i="46"/>
  <c r="F35" i="46" s="1"/>
  <c r="G35" i="46"/>
  <c r="G69" i="46"/>
  <c r="J96" i="43"/>
  <c r="J36" i="43" s="1"/>
  <c r="G36" i="46"/>
  <c r="G66" i="46"/>
  <c r="H66" i="46"/>
  <c r="H36" i="46" s="1"/>
  <c r="G73" i="45"/>
  <c r="G35" i="45" s="1"/>
  <c r="K99" i="43"/>
  <c r="K35" i="43" s="1"/>
  <c r="J69" i="46"/>
  <c r="J35" i="46" s="1"/>
  <c r="J73" i="45"/>
  <c r="J35" i="45" s="1"/>
  <c r="D69" i="46"/>
  <c r="D35" i="46" s="1"/>
  <c r="H69" i="46"/>
  <c r="H35" i="46" s="1"/>
  <c r="D66" i="46"/>
  <c r="D36" i="46" s="1"/>
  <c r="L89" i="47"/>
  <c r="L90" i="47" s="1"/>
  <c r="L36" i="47" s="1"/>
  <c r="E98" i="43"/>
  <c r="E72" i="45"/>
  <c r="H89" i="47"/>
  <c r="H90" i="47" s="1"/>
  <c r="J92" i="47"/>
  <c r="J93" i="47" s="1"/>
  <c r="G89" i="47"/>
  <c r="G90" i="47" s="1"/>
  <c r="G36" i="47" s="1"/>
  <c r="I95" i="43"/>
  <c r="J98" i="43"/>
  <c r="O98" i="43"/>
  <c r="M67" i="48"/>
  <c r="M68" i="48" s="1"/>
  <c r="M36" i="48" s="1"/>
  <c r="O67" i="48"/>
  <c r="O68" i="48" s="1"/>
  <c r="O36" i="48" s="1"/>
  <c r="I72" i="45"/>
  <c r="F69" i="45"/>
  <c r="E92" i="47"/>
  <c r="E93" i="47" s="1"/>
  <c r="E35" i="47" s="1"/>
  <c r="N92" i="47"/>
  <c r="N93" i="47" s="1"/>
  <c r="N35" i="47" s="1"/>
  <c r="K89" i="47"/>
  <c r="K90" i="47" s="1"/>
  <c r="K36" i="47" s="1"/>
  <c r="L98" i="43"/>
  <c r="N95" i="43"/>
  <c r="G98" i="43"/>
  <c r="K70" i="48"/>
  <c r="K71" i="48" s="1"/>
  <c r="K35" i="48" s="1"/>
  <c r="M70" i="48"/>
  <c r="M71" i="48" s="1"/>
  <c r="M35" i="48" s="1"/>
  <c r="G95" i="43"/>
  <c r="G92" i="47"/>
  <c r="G93" i="47" s="1"/>
  <c r="G35" i="47" s="1"/>
  <c r="M98" i="43"/>
  <c r="H69" i="45"/>
  <c r="F92" i="47"/>
  <c r="F93" i="47" s="1"/>
  <c r="F35" i="47" s="1"/>
  <c r="N70" i="48"/>
  <c r="N71" i="48" s="1"/>
  <c r="N35" i="48" s="1"/>
  <c r="P62" i="45"/>
  <c r="F72" i="45"/>
  <c r="M92" i="47"/>
  <c r="M93" i="47" s="1"/>
  <c r="M35" i="47" s="1"/>
  <c r="F89" i="47"/>
  <c r="F90" i="47" s="1"/>
  <c r="F36" i="47" s="1"/>
  <c r="O89" i="47"/>
  <c r="O90" i="47" s="1"/>
  <c r="O36" i="47" s="1"/>
  <c r="D98" i="43"/>
  <c r="D99" i="43" s="1"/>
  <c r="F95" i="43"/>
  <c r="K95" i="43"/>
  <c r="L67" i="48"/>
  <c r="L68" i="48" s="1"/>
  <c r="L36" i="48" s="1"/>
  <c r="N67" i="48"/>
  <c r="N68" i="48" s="1"/>
  <c r="N36" i="48" s="1"/>
  <c r="P74" i="43"/>
  <c r="Q74" i="43" s="1"/>
  <c r="R74" i="43" s="1"/>
  <c r="M89" i="47"/>
  <c r="M90" i="47" s="1"/>
  <c r="M36" i="47" s="1"/>
  <c r="K92" i="47"/>
  <c r="K93" i="47" s="1"/>
  <c r="K35" i="47" s="1"/>
  <c r="O95" i="43"/>
  <c r="L92" i="47"/>
  <c r="L93" i="47" s="1"/>
  <c r="L35" i="47" s="1"/>
  <c r="L95" i="43"/>
  <c r="H72" i="45"/>
  <c r="I92" i="47"/>
  <c r="I93" i="47" s="1"/>
  <c r="I35" i="47" s="1"/>
  <c r="I89" i="47"/>
  <c r="I90" i="47" s="1"/>
  <c r="J89" i="47"/>
  <c r="J90" i="47" s="1"/>
  <c r="D95" i="43"/>
  <c r="D96" i="43" s="1"/>
  <c r="P70" i="43"/>
  <c r="I98" i="43"/>
  <c r="N98" i="43"/>
  <c r="J70" i="48"/>
  <c r="J71" i="48" s="1"/>
  <c r="J35" i="48" s="1"/>
  <c r="L70" i="48"/>
  <c r="L71" i="48" s="1"/>
  <c r="L35" i="48" s="1"/>
  <c r="P69" i="43"/>
  <c r="H98" i="43"/>
  <c r="O92" i="47"/>
  <c r="O93" i="47" s="1"/>
  <c r="O35" i="47" s="1"/>
  <c r="I70" i="48"/>
  <c r="I71" i="48" s="1"/>
  <c r="I35" i="48" s="1"/>
  <c r="G69" i="45"/>
  <c r="E69" i="45"/>
  <c r="E89" i="47"/>
  <c r="E90" i="47" s="1"/>
  <c r="E36" i="47" s="1"/>
  <c r="H92" i="47"/>
  <c r="H93" i="47" s="1"/>
  <c r="N89" i="47"/>
  <c r="N90" i="47" s="1"/>
  <c r="N36" i="47" s="1"/>
  <c r="F67" i="48"/>
  <c r="F68" i="48" s="1"/>
  <c r="F36" i="48" s="1"/>
  <c r="I74" i="44"/>
  <c r="I75" i="44" s="1"/>
  <c r="I35" i="44" s="1"/>
  <c r="H95" i="43"/>
  <c r="M95" i="43"/>
  <c r="F98" i="43"/>
  <c r="K67" i="48"/>
  <c r="K68" i="48" s="1"/>
  <c r="K36" i="48" s="1"/>
  <c r="P64" i="44"/>
  <c r="Q64" i="44" s="1"/>
  <c r="R64" i="44" s="1"/>
  <c r="P60" i="44"/>
  <c r="Q60" i="44" s="1"/>
  <c r="R60" i="44" s="1"/>
  <c r="H74" i="44"/>
  <c r="H75" i="44" s="1"/>
  <c r="H35" i="44" s="1"/>
  <c r="G71" i="44"/>
  <c r="G72" i="44" s="1"/>
  <c r="G36" i="44" s="1"/>
  <c r="P61" i="44"/>
  <c r="R61" i="44" s="1"/>
  <c r="P62" i="44"/>
  <c r="Q62" i="44" s="1"/>
  <c r="R62" i="44" s="1"/>
  <c r="E71" i="44"/>
  <c r="E72" i="44" s="1"/>
  <c r="E36" i="44" s="1"/>
  <c r="F71" i="44"/>
  <c r="F72" i="44" s="1"/>
  <c r="F36" i="44" s="1"/>
  <c r="G74" i="44"/>
  <c r="G75" i="44" s="1"/>
  <c r="G35" i="44" s="1"/>
  <c r="P63" i="44"/>
  <c r="R63" i="44" s="1"/>
  <c r="P59" i="44"/>
  <c r="R59" i="44" s="1"/>
  <c r="I71" i="44"/>
  <c r="I72" i="44" s="1"/>
  <c r="I36" i="44" s="1"/>
  <c r="F74" i="44"/>
  <c r="F75" i="44" s="1"/>
  <c r="F35" i="44" s="1"/>
  <c r="D71" i="44"/>
  <c r="D72" i="44" s="1"/>
  <c r="P58" i="44"/>
  <c r="P57" i="44"/>
  <c r="D74" i="44"/>
  <c r="D75" i="44" s="1"/>
  <c r="E74" i="44"/>
  <c r="E75" i="44" s="1"/>
  <c r="E35" i="44" s="1"/>
  <c r="H71" i="44"/>
  <c r="H72" i="44" s="1"/>
  <c r="H36" i="44" s="1"/>
  <c r="D70" i="48"/>
  <c r="D71" i="48" s="1"/>
  <c r="D35" i="48" s="1"/>
  <c r="F70" i="48"/>
  <c r="F71" i="48" s="1"/>
  <c r="F35" i="48" s="1"/>
  <c r="H70" i="48"/>
  <c r="H71" i="48" s="1"/>
  <c r="H35" i="48" s="1"/>
  <c r="E70" i="48"/>
  <c r="E71" i="48" s="1"/>
  <c r="H67" i="48"/>
  <c r="H68" i="48" s="1"/>
  <c r="H36" i="48" s="1"/>
  <c r="I67" i="48"/>
  <c r="I68" i="48" s="1"/>
  <c r="I36" i="48" s="1"/>
  <c r="D67" i="48"/>
  <c r="D68" i="48" s="1"/>
  <c r="D36" i="48" s="1"/>
  <c r="G67" i="48"/>
  <c r="G68" i="48" s="1"/>
  <c r="G36" i="48" s="1"/>
  <c r="E67" i="48"/>
  <c r="E68" i="48" s="1"/>
  <c r="E36" i="48" s="1"/>
  <c r="P59" i="48"/>
  <c r="R59" i="48" s="1"/>
  <c r="P58" i="48"/>
  <c r="P57" i="48"/>
  <c r="P60" i="48"/>
  <c r="I36" i="47"/>
  <c r="J36" i="47"/>
  <c r="J35" i="47"/>
  <c r="D89" i="47"/>
  <c r="D90" i="47" s="1"/>
  <c r="D36" i="47" s="1"/>
  <c r="H35" i="47"/>
  <c r="H36" i="47"/>
  <c r="D92" i="47"/>
  <c r="P79" i="47"/>
  <c r="P75" i="47"/>
  <c r="P71" i="47"/>
  <c r="P82" i="47"/>
  <c r="P81" i="47"/>
  <c r="P78" i="47"/>
  <c r="P74" i="47"/>
  <c r="P70" i="47"/>
  <c r="P77" i="47"/>
  <c r="P73" i="47"/>
  <c r="P69" i="47"/>
  <c r="P80" i="47"/>
  <c r="P76" i="47"/>
  <c r="P72" i="47"/>
  <c r="P69" i="46"/>
  <c r="P57" i="46"/>
  <c r="P68" i="46" s="1"/>
  <c r="P58" i="46"/>
  <c r="P65" i="46" s="1"/>
  <c r="D72" i="45"/>
  <c r="P60" i="45"/>
  <c r="P61" i="45"/>
  <c r="R61" i="45" s="1"/>
  <c r="P57" i="45"/>
  <c r="D69" i="45"/>
  <c r="P58" i="45"/>
  <c r="P59" i="45"/>
  <c r="R59" i="45" s="1"/>
  <c r="Q72" i="43"/>
  <c r="R72" i="43" s="1"/>
  <c r="P76" i="43"/>
  <c r="R71" i="43"/>
  <c r="P78" i="43"/>
  <c r="P77" i="43"/>
  <c r="R77" i="43" s="1"/>
  <c r="P75" i="43"/>
  <c r="R75" i="43" s="1"/>
  <c r="P80" i="43"/>
  <c r="P88" i="43"/>
  <c r="Q88" i="43" s="1"/>
  <c r="R88" i="43" s="1"/>
  <c r="P82" i="43"/>
  <c r="P84" i="43"/>
  <c r="Q84" i="43" s="1"/>
  <c r="R84" i="43" s="1"/>
  <c r="P83" i="43"/>
  <c r="R83" i="43" s="1"/>
  <c r="P87" i="43"/>
  <c r="R87" i="43" s="1"/>
  <c r="P85" i="43"/>
  <c r="R85" i="43" s="1"/>
  <c r="P86" i="43"/>
  <c r="P30" i="43"/>
  <c r="AC25" i="40"/>
  <c r="AC24" i="40"/>
  <c r="AC23" i="40"/>
  <c r="AC22" i="40"/>
  <c r="N25" i="40"/>
  <c r="O25" i="40" s="1"/>
  <c r="N24" i="40"/>
  <c r="N23" i="40"/>
  <c r="N22" i="40"/>
  <c r="P35" i="46" l="1"/>
  <c r="P66" i="46"/>
  <c r="M96" i="43"/>
  <c r="M36" i="43" s="1"/>
  <c r="F96" i="43"/>
  <c r="P96" i="43" s="1"/>
  <c r="L99" i="43"/>
  <c r="L35" i="43" s="1"/>
  <c r="M35" i="43"/>
  <c r="M99" i="43"/>
  <c r="J35" i="43"/>
  <c r="J99" i="43"/>
  <c r="G70" i="45"/>
  <c r="G36" i="45" s="1"/>
  <c r="I99" i="43"/>
  <c r="I35" i="43" s="1"/>
  <c r="N36" i="43"/>
  <c r="N96" i="43"/>
  <c r="E99" i="43"/>
  <c r="E35" i="43" s="1"/>
  <c r="H96" i="43"/>
  <c r="H36" i="43" s="1"/>
  <c r="O96" i="43"/>
  <c r="O36" i="43" s="1"/>
  <c r="H70" i="45"/>
  <c r="H36" i="45" s="1"/>
  <c r="O99" i="43"/>
  <c r="O35" i="43" s="1"/>
  <c r="P72" i="45"/>
  <c r="H35" i="43"/>
  <c r="H99" i="43"/>
  <c r="I96" i="43"/>
  <c r="I36" i="43" s="1"/>
  <c r="G96" i="43"/>
  <c r="G36" i="43" s="1"/>
  <c r="F70" i="45"/>
  <c r="F36" i="45" s="1"/>
  <c r="E36" i="46"/>
  <c r="P36" i="46" s="1"/>
  <c r="H73" i="45"/>
  <c r="H35" i="45" s="1"/>
  <c r="I35" i="45"/>
  <c r="I73" i="45"/>
  <c r="D73" i="45"/>
  <c r="D35" i="45" s="1"/>
  <c r="F73" i="45"/>
  <c r="F35" i="45" s="1"/>
  <c r="F99" i="43"/>
  <c r="F35" i="43" s="1"/>
  <c r="E70" i="45"/>
  <c r="E36" i="45" s="1"/>
  <c r="N99" i="43"/>
  <c r="N35" i="43" s="1"/>
  <c r="L96" i="43"/>
  <c r="L36" i="43" s="1"/>
  <c r="K96" i="43"/>
  <c r="K36" i="43" s="1"/>
  <c r="G99" i="43"/>
  <c r="G35" i="43" s="1"/>
  <c r="E73" i="45"/>
  <c r="E35" i="45" s="1"/>
  <c r="Q62" i="45"/>
  <c r="R62" i="45" s="1"/>
  <c r="D70" i="45"/>
  <c r="D36" i="43"/>
  <c r="P35" i="48"/>
  <c r="E35" i="48"/>
  <c r="P98" i="43"/>
  <c r="P69" i="45"/>
  <c r="R69" i="45" s="1"/>
  <c r="D35" i="43"/>
  <c r="P74" i="44"/>
  <c r="R57" i="44"/>
  <c r="D36" i="44"/>
  <c r="P36" i="44" s="1"/>
  <c r="P72" i="44"/>
  <c r="Q58" i="44"/>
  <c r="R58" i="44" s="1"/>
  <c r="P71" i="44"/>
  <c r="R71" i="44" s="1"/>
  <c r="D35" i="44"/>
  <c r="P35" i="44" s="1"/>
  <c r="P75" i="44"/>
  <c r="P70" i="48"/>
  <c r="P71" i="48"/>
  <c r="P68" i="48"/>
  <c r="P36" i="48"/>
  <c r="P67" i="48"/>
  <c r="R67" i="48" s="1"/>
  <c r="Q60" i="48"/>
  <c r="R60" i="48" s="1"/>
  <c r="R57" i="48"/>
  <c r="Q58" i="48"/>
  <c r="R58" i="48" s="1"/>
  <c r="D93" i="47"/>
  <c r="P93" i="47" s="1"/>
  <c r="P36" i="47"/>
  <c r="P92" i="47"/>
  <c r="P90" i="47"/>
  <c r="P89" i="47"/>
  <c r="R65" i="46"/>
  <c r="Q58" i="46"/>
  <c r="R58" i="46" s="1"/>
  <c r="R57" i="46"/>
  <c r="R57" i="45"/>
  <c r="Q58" i="45"/>
  <c r="R58" i="45" s="1"/>
  <c r="Q60" i="45"/>
  <c r="R60" i="45" s="1"/>
  <c r="P95" i="43"/>
  <c r="R95" i="43" s="1"/>
  <c r="Q76" i="43"/>
  <c r="R76" i="43" s="1"/>
  <c r="Q78" i="43"/>
  <c r="R78" i="43" s="1"/>
  <c r="Q80" i="43"/>
  <c r="R80" i="43" s="1"/>
  <c r="Q86" i="43"/>
  <c r="R86" i="43" s="1"/>
  <c r="Q82" i="43"/>
  <c r="R82" i="43" s="1"/>
  <c r="R69" i="43"/>
  <c r="Q70" i="43"/>
  <c r="R70" i="43" s="1"/>
  <c r="AD23" i="40"/>
  <c r="AE23" i="40"/>
  <c r="AE25" i="40"/>
  <c r="AD25" i="40"/>
  <c r="O23" i="40"/>
  <c r="F36" i="43" l="1"/>
  <c r="P35" i="45"/>
  <c r="P35" i="43"/>
  <c r="P99" i="43"/>
  <c r="D36" i="45"/>
  <c r="P36" i="45" s="1"/>
  <c r="P36" i="43"/>
  <c r="P73" i="45"/>
  <c r="P70" i="45"/>
  <c r="D35" i="47"/>
  <c r="P35" i="47" s="1"/>
  <c r="AS19" i="36"/>
  <c r="AT19" i="36" s="1"/>
  <c r="AS18" i="36"/>
  <c r="AT18" i="36" s="1"/>
  <c r="AS17" i="36"/>
  <c r="AT17" i="36" s="1"/>
  <c r="AS16" i="36"/>
  <c r="AT16" i="36" s="1"/>
  <c r="AS15" i="36"/>
  <c r="AT15" i="36" s="1"/>
  <c r="AS14" i="36"/>
  <c r="AT14" i="36" s="1"/>
  <c r="AT13" i="36"/>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T32" i="37"/>
  <c r="U32" i="37"/>
  <c r="V32" i="37"/>
  <c r="W32" i="37"/>
  <c r="X32" i="37"/>
  <c r="AZ32" i="37"/>
  <c r="BA32" i="37"/>
  <c r="BB32" i="37"/>
  <c r="BC32" i="37"/>
  <c r="BD32" i="37"/>
  <c r="BE32" i="37"/>
  <c r="P48" i="40"/>
  <c r="P47" i="40"/>
  <c r="P46" i="40"/>
  <c r="P45" i="40"/>
  <c r="P44" i="40"/>
  <c r="P43" i="40"/>
  <c r="P42" i="40"/>
  <c r="P41"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58" i="37" l="1"/>
  <c r="H64" i="40"/>
  <c r="D63" i="40"/>
  <c r="D64" i="40"/>
  <c r="E63" i="40"/>
  <c r="F63" i="40"/>
  <c r="E64" i="40"/>
  <c r="P64" i="40" s="1"/>
  <c r="G63" i="40"/>
  <c r="P63" i="40" s="1"/>
  <c r="R63" i="40" s="1"/>
  <c r="F64" i="40"/>
  <c r="I63" i="40"/>
  <c r="G64" i="40"/>
  <c r="I64" i="40"/>
  <c r="H63" i="40"/>
  <c r="G62" i="40"/>
  <c r="G61" i="40"/>
  <c r="H62" i="40"/>
  <c r="H61" i="40"/>
  <c r="I62" i="40"/>
  <c r="I61" i="40"/>
  <c r="F62" i="40"/>
  <c r="D62" i="40"/>
  <c r="D61" i="40"/>
  <c r="E62" i="40"/>
  <c r="E61" i="40"/>
  <c r="F61" i="40"/>
  <c r="F58" i="40"/>
  <c r="I58" i="40"/>
  <c r="G57" i="40"/>
  <c r="D58" i="40"/>
  <c r="H57" i="40"/>
  <c r="I57" i="40"/>
  <c r="H58" i="40"/>
  <c r="H71" i="40" s="1"/>
  <c r="E57" i="40"/>
  <c r="E58" i="40"/>
  <c r="F57" i="40"/>
  <c r="D57" i="40"/>
  <c r="J57" i="40"/>
  <c r="J74" i="40" s="1"/>
  <c r="G58" i="40"/>
  <c r="D60" i="40"/>
  <c r="E60" i="40"/>
  <c r="I59" i="40"/>
  <c r="H60" i="40"/>
  <c r="I60" i="40"/>
  <c r="F59" i="40"/>
  <c r="F60" i="40"/>
  <c r="D59" i="40"/>
  <c r="G60" i="40"/>
  <c r="G59" i="40"/>
  <c r="H59" i="40"/>
  <c r="E59" i="40"/>
  <c r="R58" i="37"/>
  <c r="S32" i="37"/>
  <c r="R32" i="37"/>
  <c r="S58" i="37"/>
  <c r="AX58" i="37"/>
  <c r="AY32" i="37"/>
  <c r="AX32" i="37"/>
  <c r="J75" i="40" l="1"/>
  <c r="J35" i="40" s="1"/>
  <c r="H72" i="40"/>
  <c r="H36" i="40" s="1"/>
  <c r="E74" i="40"/>
  <c r="P59" i="40"/>
  <c r="R59" i="40" s="1"/>
  <c r="G71" i="40"/>
  <c r="H74" i="40"/>
  <c r="P60" i="40"/>
  <c r="Q60" i="40" s="1"/>
  <c r="R60" i="40" s="1"/>
  <c r="I74" i="40"/>
  <c r="D71" i="40"/>
  <c r="D72" i="40" s="1"/>
  <c r="P58" i="40"/>
  <c r="D74" i="40"/>
  <c r="P57" i="40"/>
  <c r="R57" i="40" s="1"/>
  <c r="G74" i="40"/>
  <c r="F74" i="40"/>
  <c r="I71" i="40"/>
  <c r="E71" i="40"/>
  <c r="F71" i="40"/>
  <c r="P61" i="40"/>
  <c r="P62" i="40"/>
  <c r="Q64" i="40"/>
  <c r="R64" i="40" s="1"/>
  <c r="G75" i="40" l="1"/>
  <c r="G35" i="40" s="1"/>
  <c r="D75" i="40"/>
  <c r="D35" i="40" s="1"/>
  <c r="E75" i="40"/>
  <c r="E35" i="40" s="1"/>
  <c r="G72" i="40"/>
  <c r="G36" i="40" s="1"/>
  <c r="F72" i="40"/>
  <c r="F36" i="40" s="1"/>
  <c r="F75" i="40"/>
  <c r="F35" i="40" s="1"/>
  <c r="E72" i="40"/>
  <c r="E36" i="40" s="1"/>
  <c r="I75" i="40"/>
  <c r="I35" i="40" s="1"/>
  <c r="H75" i="40"/>
  <c r="H35" i="40" s="1"/>
  <c r="I72" i="40"/>
  <c r="I36" i="40" s="1"/>
  <c r="D36" i="40"/>
  <c r="P71" i="40"/>
  <c r="R71" i="40" s="1"/>
  <c r="Q58" i="40"/>
  <c r="R58" i="40" s="1"/>
  <c r="R61" i="40"/>
  <c r="P74" i="40"/>
  <c r="Q62" i="40"/>
  <c r="R62" i="40" s="1"/>
  <c r="P35" i="40" l="1"/>
  <c r="P36" i="40"/>
  <c r="P72" i="40"/>
  <c r="P75"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user</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F22" authorId="1" shapeId="0" xr:uid="{00000000-0006-0000-0100-000006000000}">
      <text>
        <r>
          <rPr>
            <b/>
            <sz val="9"/>
            <color indexed="81"/>
            <rFont val="Tahoma"/>
            <family val="2"/>
          </rPr>
          <t>user:</t>
        </r>
        <r>
          <rPr>
            <sz val="9"/>
            <color indexed="81"/>
            <rFont val="Tahoma"/>
            <family val="2"/>
          </rPr>
          <t xml:space="preserve">
Fotocopiado</t>
        </r>
      </text>
    </comment>
    <comment ref="A23" authorId="0" shapeId="0" xr:uid="{00000000-0006-0000-0100-000007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8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9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user</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C22" authorId="1" shapeId="0" xr:uid="{00000000-0006-0000-0200-000006000000}">
      <text>
        <r>
          <rPr>
            <b/>
            <sz val="9"/>
            <color indexed="81"/>
            <rFont val="Tahoma"/>
            <family val="2"/>
          </rPr>
          <t>user:</t>
        </r>
        <r>
          <rPr>
            <sz val="9"/>
            <color indexed="81"/>
            <rFont val="Tahoma"/>
            <family val="2"/>
          </rPr>
          <t xml:space="preserve">
Prestaciones de servicios + Aseo y Cafeería + ETB + Trasnporte + Recarga de extintores</t>
        </r>
      </text>
    </comment>
    <comment ref="D22" authorId="1" shapeId="0" xr:uid="{00000000-0006-0000-0200-000007000000}">
      <text>
        <r>
          <rPr>
            <b/>
            <sz val="9"/>
            <color indexed="81"/>
            <rFont val="Tahoma"/>
            <family val="2"/>
          </rPr>
          <t>user:</t>
        </r>
        <r>
          <rPr>
            <sz val="9"/>
            <color indexed="81"/>
            <rFont val="Tahoma"/>
            <family val="2"/>
          </rPr>
          <t xml:space="preserve">
Pago ETB + Fotocopiado+Ferretería</t>
        </r>
      </text>
    </comment>
    <comment ref="E22" authorId="1" shapeId="0" xr:uid="{00000000-0006-0000-0200-000008000000}">
      <text>
        <r>
          <rPr>
            <b/>
            <sz val="9"/>
            <color indexed="81"/>
            <rFont val="Tahoma"/>
            <family val="2"/>
          </rPr>
          <t>user:</t>
        </r>
        <r>
          <rPr>
            <sz val="9"/>
            <color indexed="81"/>
            <rFont val="Tahoma"/>
            <family val="2"/>
          </rPr>
          <t xml:space="preserve">
Pago ETB</t>
        </r>
      </text>
    </comment>
    <comment ref="F22" authorId="1" shapeId="0" xr:uid="{00000000-0006-0000-0200-000009000000}">
      <text>
        <r>
          <rPr>
            <b/>
            <sz val="9"/>
            <color indexed="81"/>
            <rFont val="Tahoma"/>
            <family val="2"/>
          </rPr>
          <t>user:</t>
        </r>
        <r>
          <rPr>
            <sz val="9"/>
            <color indexed="81"/>
            <rFont val="Tahoma"/>
            <family val="2"/>
          </rPr>
          <t xml:space="preserve">
Fotocpiado</t>
        </r>
      </text>
    </comment>
    <comment ref="G22" authorId="1" shapeId="0" xr:uid="{00000000-0006-0000-0200-00000A000000}">
      <text>
        <r>
          <rPr>
            <b/>
            <sz val="9"/>
            <color indexed="81"/>
            <rFont val="Tahoma"/>
            <family val="2"/>
          </rPr>
          <t>user:</t>
        </r>
        <r>
          <rPr>
            <sz val="9"/>
            <color indexed="81"/>
            <rFont val="Tahoma"/>
            <family val="2"/>
          </rPr>
          <t xml:space="preserve">
Ferreteria</t>
        </r>
      </text>
    </comment>
    <comment ref="T22" authorId="1" shapeId="0" xr:uid="{00000000-0006-0000-0200-00000B000000}">
      <text>
        <r>
          <rPr>
            <b/>
            <sz val="9"/>
            <color indexed="81"/>
            <rFont val="Tahoma"/>
            <family val="2"/>
          </rPr>
          <t>user:</t>
        </r>
        <r>
          <rPr>
            <sz val="9"/>
            <color indexed="81"/>
            <rFont val="Tahoma"/>
            <family val="2"/>
          </rPr>
          <t xml:space="preserve">
Convergentes</t>
        </r>
      </text>
    </comment>
    <comment ref="U22" authorId="1" shapeId="0" xr:uid="{00000000-0006-0000-0200-00000C000000}">
      <text>
        <r>
          <rPr>
            <b/>
            <sz val="9"/>
            <color indexed="81"/>
            <rFont val="Tahoma"/>
            <family val="2"/>
          </rPr>
          <t>user:</t>
        </r>
        <r>
          <rPr>
            <sz val="9"/>
            <color indexed="81"/>
            <rFont val="Tahoma"/>
            <family val="2"/>
          </rPr>
          <t xml:space="preserve">
Logística
</t>
        </r>
      </text>
    </comment>
    <comment ref="V22" authorId="1" shapeId="0" xr:uid="{00000000-0006-0000-0200-00000D000000}">
      <text>
        <r>
          <rPr>
            <b/>
            <sz val="9"/>
            <color indexed="81"/>
            <rFont val="Tahoma"/>
            <family val="2"/>
          </rPr>
          <t>user:</t>
        </r>
        <r>
          <rPr>
            <sz val="9"/>
            <color indexed="81"/>
            <rFont val="Tahoma"/>
            <family val="2"/>
          </rPr>
          <t xml:space="preserve">
Arrendamiento,vigilancia, aseo y cafetería.
</t>
        </r>
      </text>
    </comment>
    <comment ref="X22" authorId="1" shapeId="0" xr:uid="{00000000-0006-0000-0200-00000E000000}">
      <text>
        <r>
          <rPr>
            <b/>
            <sz val="9"/>
            <color indexed="81"/>
            <rFont val="Tahoma"/>
            <family val="2"/>
          </rPr>
          <t>user:</t>
        </r>
        <r>
          <rPr>
            <sz val="9"/>
            <color indexed="81"/>
            <rFont val="Tahoma"/>
            <family val="2"/>
          </rPr>
          <t xml:space="preserve">
Prestaciones de servicios
</t>
        </r>
      </text>
    </comment>
    <comment ref="A23" authorId="0" shapeId="0" xr:uid="{00000000-0006-0000-0200-00000F000000}">
      <text>
        <r>
          <rPr>
            <b/>
            <sz val="9"/>
            <color indexed="81"/>
            <rFont val="Tahoma"/>
            <family val="2"/>
          </rPr>
          <t>Daniel Avendaño:</t>
        </r>
        <r>
          <rPr>
            <sz val="9"/>
            <color indexed="81"/>
            <rFont val="Tahoma"/>
            <family val="2"/>
          </rPr>
          <t xml:space="preserve">
Liberaciones de reservas realizadas en cada mes de la vigencia.</t>
        </r>
      </text>
    </comment>
    <comment ref="D23" authorId="1" shapeId="0" xr:uid="{00000000-0006-0000-0200-000010000000}">
      <text>
        <r>
          <rPr>
            <b/>
            <sz val="9"/>
            <color indexed="81"/>
            <rFont val="Tahoma"/>
            <family val="2"/>
          </rPr>
          <t>user:</t>
        </r>
        <r>
          <rPr>
            <sz val="9"/>
            <color indexed="81"/>
            <rFont val="Tahoma"/>
            <family val="2"/>
          </rPr>
          <t xml:space="preserve">
Liberación de lavado de tanques</t>
        </r>
      </text>
    </comment>
    <comment ref="E23" authorId="1" shapeId="0" xr:uid="{00000000-0006-0000-0200-000011000000}">
      <text>
        <r>
          <rPr>
            <b/>
            <sz val="9"/>
            <color indexed="81"/>
            <rFont val="Tahoma"/>
            <family val="2"/>
          </rPr>
          <t>user:</t>
        </r>
        <r>
          <rPr>
            <sz val="9"/>
            <color indexed="81"/>
            <rFont val="Tahoma"/>
            <family val="2"/>
          </rPr>
          <t xml:space="preserve">
Adición CPS</t>
        </r>
      </text>
    </comment>
    <comment ref="A24" authorId="0" shapeId="0" xr:uid="{00000000-0006-0000-0200-000012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13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user</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C22" authorId="1" shapeId="0" xr:uid="{00000000-0006-0000-0300-000006000000}">
      <text>
        <r>
          <rPr>
            <b/>
            <sz val="9"/>
            <color indexed="81"/>
            <rFont val="Tahoma"/>
            <family val="2"/>
          </rPr>
          <t>user:</t>
        </r>
        <r>
          <rPr>
            <sz val="9"/>
            <color indexed="81"/>
            <rFont val="Tahoma"/>
            <family val="2"/>
          </rPr>
          <t xml:space="preserve">
Adiciones prestación de servicios + ICFES</t>
        </r>
      </text>
    </comment>
    <comment ref="A23" authorId="0" shapeId="0" xr:uid="{00000000-0006-0000-0300-000007000000}">
      <text>
        <r>
          <rPr>
            <b/>
            <sz val="9"/>
            <color indexed="81"/>
            <rFont val="Tahoma"/>
            <family val="2"/>
          </rPr>
          <t>Daniel Avendaño:</t>
        </r>
        <r>
          <rPr>
            <sz val="9"/>
            <color indexed="81"/>
            <rFont val="Tahoma"/>
            <family val="2"/>
          </rPr>
          <t xml:space="preserve">
Liberaciones de reservas realizadas en cada mes de la vigencia.</t>
        </r>
      </text>
    </comment>
    <comment ref="E23" authorId="1" shapeId="0" xr:uid="{00000000-0006-0000-0300-000008000000}">
      <text>
        <r>
          <rPr>
            <b/>
            <sz val="9"/>
            <color indexed="81"/>
            <rFont val="Tahoma"/>
            <family val="2"/>
          </rPr>
          <t>user:</t>
        </r>
        <r>
          <rPr>
            <sz val="9"/>
            <color indexed="81"/>
            <rFont val="Tahoma"/>
            <family val="2"/>
          </rPr>
          <t xml:space="preserve">
Terminaciones Anticipadas</t>
        </r>
      </text>
    </comment>
    <comment ref="A24" authorId="0" shapeId="0" xr:uid="{00000000-0006-0000-0300-000009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A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Denis Helbert Morales Roa</author>
  </authors>
  <commentList>
    <comment ref="K7" authorId="0" shapeId="0" xr:uid="{00000000-0006-0000-05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 ref="A53" authorId="1" shapeId="0" xr:uid="{00000000-0006-0000-0500-000009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6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6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6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6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6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6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6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6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Usuario de Windows</author>
  </authors>
  <commentList>
    <comment ref="AU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7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7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7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7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7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Z15" authorId="3" shapeId="0" xr:uid="{00000000-0006-0000-0700-00000D000000}">
      <text>
        <r>
          <rPr>
            <b/>
            <sz val="9"/>
            <color indexed="81"/>
            <rFont val="Tahoma"/>
            <family val="2"/>
          </rPr>
          <t>Usuario de Windows:</t>
        </r>
        <r>
          <rPr>
            <sz val="9"/>
            <color indexed="81"/>
            <rFont val="Tahoma"/>
            <family val="2"/>
          </rPr>
          <t xml:space="preserve">
promedio 200
1000 año por ppasp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A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A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A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<sst xmlns="http://schemas.openxmlformats.org/spreadsheetml/2006/main" count="2037" uniqueCount="574">
  <si>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</si>
  <si>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</si>
  <si>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</si>
  <si>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</si>
  <si>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</si>
  <si>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</si>
  <si>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</si>
  <si>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</si>
  <si>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</si>
  <si>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TIPO DE REPORTE</t>
  </si>
  <si>
    <t>FORMULACION</t>
  </si>
  <si>
    <t>ACTUALIZACION</t>
  </si>
  <si>
    <t>X</t>
  </si>
  <si>
    <t>SEGUIMIENTO</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</si>
  <si>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</si>
  <si>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</si>
  <si>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</si>
  <si>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</si>
  <si>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</si>
  <si>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</si>
  <si>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</si>
  <si>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Promoción de la igualdad, el desarrollo de capacidades y el reconocimiento de las mujeres.</t>
  </si>
  <si>
    <t>DESCRIPCIÓN DE LA META (ACTIVIDAD MGA)</t>
  </si>
  <si>
    <t>Elaborar e implementar 3 lineamientos con enfoques de derechos de las mujeres, de género y diferencial</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</si>
  <si>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</si>
  <si>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</si>
  <si>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</si>
  <si>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</si>
  <si>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</si>
  <si>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</si>
  <si>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</si>
  <si>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</si>
  <si>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</si>
  <si>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</si>
  <si>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</si>
  <si>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</si>
  <si>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</si>
  <si>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</si>
  <si>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</si>
  <si>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</si>
  <si>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</si>
  <si>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</si>
  <si>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</si>
  <si>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</si>
  <si>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</si>
  <si>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</si>
  <si>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</si>
  <si>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</si>
  <si>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</si>
  <si>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</si>
  <si>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</si>
  <si>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</si>
  <si>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</si>
  <si>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</si>
  <si>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</si>
  <si>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</si>
  <si>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</si>
  <si>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</si>
  <si>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</si>
  <si>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</si>
  <si>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</si>
  <si>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</si>
  <si>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</si>
  <si>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</si>
  <si>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</si>
  <si>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</si>
  <si>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</si>
  <si>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</si>
  <si>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</si>
  <si>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</si>
  <si>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</si>
  <si>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</si>
  <si>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</si>
  <si>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</si>
  <si>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</si>
  <si>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</si>
  <si>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</si>
  <si>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</si>
  <si>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</si>
  <si>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</si>
  <si>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</si>
  <si>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</si>
  <si>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</si>
  <si>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</si>
  <si>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</si>
  <si>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</si>
  <si>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</si>
  <si>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</si>
  <si>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Realizar actividades de asistencia técnica dirigidas a los Sectores de la Administración Distrital, orientadas a la implementación de los lineamientos para la estrategia de transversalización del enfoque diferencial. </t>
  </si>
  <si>
    <t xml:space="preserve">2. Socializar con los diferentes sectores de la Administración Distrital, la caja de herramientas que contribuya a la eliminación de barreras de acceso a los servicios y a la realización de acciones afirmativas dirigidas a mujeres en sus diferencias y diversidad para la garantía de sus derechos en el Distrito Capital. </t>
  </si>
  <si>
    <t>3.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</si>
  <si>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</si>
  <si>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*Incluir tantas filas sean necesarias</t>
  </si>
  <si>
    <t>Implementar 3 estrategias con enfoque diferencial para mujeres en su diversidad</t>
  </si>
  <si>
    <t>6, Realizar semilleros  y jornadas significativas  que brinden herramientas para el  empoderamiento. Dirigidos a niñas, adolescentes y mujeres jóvenes en sus diferencias y diversidad</t>
  </si>
  <si>
    <t>7, Desarrollar acciones de difusión, visibilización y divulgación de la estrategia de empoderamiento.</t>
  </si>
  <si>
    <t>8. Desarrollar escuelas de educación emocional  enfocadas en fortalecer capacidades y herramientas para gestionar la salud mental de las mujeres en su diversidad en la ciudad de Bogotá.</t>
  </si>
  <si>
    <t>9. Desarrollar espacios de encuentro de mujeres para el cuidado emocional denominados Espacios Respiro.</t>
  </si>
  <si>
    <t>10.Diseñar e implementar una estrategia de difusión y socialización de la caja de herramientas construida en el marco de la estrategia de capacidades psicoemocionales</t>
  </si>
  <si>
    <t xml:space="preserve">11.   Implementar la Fase I y II de la EDCM. Espacios EMAA mujeres en sus diferencias y diversidad; hombres trans y personas no binarias. Jornadas de Dignidad Menstrual. </t>
  </si>
  <si>
    <t xml:space="preserve">12. Realizar la Mesa Interinstitucional activa, implementando Plan de Trabajo  </t>
  </si>
  <si>
    <t xml:space="preserve">13. Definir e implementar acciones de las fases III y IV de la Estrategia de Cuidado Menstrual dirigidas a mujeres y personas con experiencias menstruales en sus diferencias y diversidad, según priorización y pertinencia. </t>
  </si>
  <si>
    <t>14. Diseñar y poner en acción el Plan Estratégico de Comunicaciones de la EDCM</t>
  </si>
  <si>
    <t>Implementar la Estrategia Casa de Todas</t>
  </si>
  <si>
    <t>15. Realizar atenciones en intervención de trabajo  social que comprenden plan de intervención, valoraciones iniciales, intervenciones, seguimiento y cierres  a mujeres que realizan actividades sexuales pagadas.</t>
  </si>
  <si>
    <t>16.  Realizar atenciones psicosociales  (valoraciones iniciales, asesoría, seguimientos y cierres a mujeres que realizan actividades sexuales pagadas y sus familias</t>
  </si>
  <si>
    <t>17. Realizar atenciones jurídicas a mujeres que realizan actividades sexuales pagadas, que consisten en orientación, asesoría y representación jurídica especializada y llevar casos de intervención o representación judicial, con valoraciones iniciales, asesorías u orientaciones, seguimiento y cierres.</t>
  </si>
  <si>
    <t>18. Generar información de los sitios, dinámicas y contextos de las actividades sexuales pagadas en Bogotá</t>
  </si>
  <si>
    <t>Implementar una estrategia de educación flexible con enfoque diferencial.</t>
  </si>
  <si>
    <t>19.  Promover los apoyos de acceso a educación superior a través del acompañamiento, preparación (PRE ICFES) y financiación del Examen Saber 11°  (ICFES).</t>
  </si>
  <si>
    <t>20.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</si>
  <si>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t xml:space="preserve">21. Promover y acompañar a las mujeres en toda su diversidad en las estrategias de educación flexible y en los procesos de vinculación a la formación complementaria (cursos cortos) a través de alianzas interinstitucionales públicas y privadas. </t>
  </si>
  <si>
    <t>Implementar 1 estrategia de fortalecimiento de capacidades para el ejercicio del derecho a la participación de las mujeres.</t>
  </si>
  <si>
    <t>Implementar 1 estrategia de fortalecimiento de capacidades para el ejercicio del derecho a la participación de las mujeres</t>
  </si>
  <si>
    <t>Especificar las anulaciones, liberaciones, entre otros de la reserva presupuestal</t>
  </si>
  <si>
    <t>22. Realizar la implementación de la estrategia de fortalecimiento de capacidades para el ejercicio del derecho a la participación de las mujeres en el Distrito.</t>
  </si>
  <si>
    <t xml:space="preserve">La reserva de la meta 7 se constituye por contratos de prestación de servicios, apoyo logístico y fotocopiado </t>
  </si>
  <si>
    <t>Acompañar técnicamente 4 instancias de participación y representación de las mujeres para fortalecer sus capacidades de liderazgo</t>
  </si>
  <si>
    <t>23. Acompañar técnica y operativamente el desarrollo de la Mesa coordinadora, el Espacio Ampliado y cuando se solicite por parte del CCM la plenaria del espacio autónomo.</t>
  </si>
  <si>
    <t>24.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</si>
  <si>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25. Acompañar técnicamente el desarrollo de comisiones de trabajo del Espacio Autónomo del Consejo Consultivo de Mujeres.</t>
  </si>
  <si>
    <t>26. Acompañar técnicamente la transversalización del enfoque de género en el Concejo de Bogotá, con énfasis en las bancadas de mujeres de este órgano</t>
  </si>
  <si>
    <t>27. Gestionar, coordinar y acompañar técnicamente las reuniones de la Submesa para la garantía y seguimiento de los derechos de las mujeres, diversidades, disidencias sexuales y de Género.</t>
  </si>
  <si>
    <t>28. Realizar acompañamiento técnico al Puesto de mando Unificado (PMU) a los cuales se convoque a la SDMujer, durante las movilizaciones y protesta social que se realicen.</t>
  </si>
  <si>
    <t>29. Acompañar técnicamente la transversalización del enfoque de género en dos instancias de participación del Distrito Capital</t>
  </si>
  <si>
    <t>Diseñar e implementar 4 estrategias de transformación de imaginarios, representaciones  y estereotipos de discriminación con enfoque diferencial y de género, dirigidas a la ciudadanía</t>
  </si>
  <si>
    <r>
      <t>Diseñar e implementar</t>
    </r>
    <r>
      <rPr>
        <b/>
        <sz val="11"/>
        <rFont val="Times New Roman"/>
        <family val="1"/>
      </rPr>
      <t xml:space="preserve"> </t>
    </r>
    <r>
      <rPr>
        <sz val="11"/>
        <rFont val="Times New Roman"/>
        <family val="1"/>
      </rPr>
      <t>4 estrategias de transformación de imaginarios, representaciones  y estereotipos de discriminación con enfoque diferencial y de género, dirigidas a la ciudadanía</t>
    </r>
  </si>
  <si>
    <t>31. Desarrollar encuentros diferenciales de mujeres, con el fin de diseñar e implementar jornadas informativas dirigidas a los sectores de la administración distrital, para la incorporación  del enfoque de género y diferencial en las políticas y prácticas institucionales, para generar una transformación cultural efectiva, reduciendo los imaginarios, estereotipos y representaciones de las mujeres sus diferencias y diversidad.</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</si>
  <si>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</si>
  <si>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</si>
  <si>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</si>
  <si>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</si>
  <si>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</si>
  <si>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</si>
  <si>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</si>
  <si>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</si>
  <si>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</si>
  <si>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</si>
  <si>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</si>
  <si>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</si>
  <si>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</si>
  <si>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</si>
  <si>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</si>
  <si>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</si>
  <si>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</si>
  <si>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</si>
  <si>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</si>
  <si>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</si>
  <si>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</si>
  <si>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</si>
  <si>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</si>
  <si>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</si>
  <si>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</si>
  <si>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</si>
  <si>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</si>
  <si>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</si>
  <si>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</si>
  <si>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</si>
  <si>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</si>
  <si>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</si>
  <si>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</si>
  <si>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</si>
  <si>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Sumatoria de sectores a los que se transversaliza el enfoque diferencial</t>
  </si>
  <si>
    <t>suma</t>
  </si>
  <si>
    <t>Número</t>
  </si>
  <si>
    <t xml:space="preserve">Se cuantificará el número de sectores a impactar anualmente, que deben ser 15 en total; se espera que tales sectores transversalicen el enfoque diferencial e implementen acciones afirmativas con enfoque diferencial. </t>
  </si>
  <si>
    <t>Dirección de Enfoque Diferencial</t>
  </si>
  <si>
    <t>Mensual</t>
  </si>
  <si>
    <t xml:space="preserve">Documentos de implementación de las estrategias; actas de reuniones, listados de asistencia y reportes </t>
  </si>
  <si>
    <t>Realizar atenciones socio jurídicas brindadas a través de la Estrategia Casa de Todas, a mujeres que realizan actividades sexuales pagadas.</t>
  </si>
  <si>
    <t>Se cuantificarán mensualmente las atenciones sociojuridicas: valoraciones iniciales, asesorías, seguimientos y cierres.</t>
  </si>
  <si>
    <t>Reporte mensual de atenciones socio jurídicas realizadas-PMR Mensual</t>
  </si>
  <si>
    <t>creciente</t>
  </si>
  <si>
    <t>Realizar atenciones psicosociales brindadas a través de la Estrategia Casa de Todas, a mujeres que realizan actividades sexuales pagadas.</t>
  </si>
  <si>
    <t>Sumatoria de atenciones psicosociales brindadas a las mujeres que realizan actividades sexuales pagadas</t>
  </si>
  <si>
    <t>Se cuantificarán mensualmente las atenciones psicosociales: valoraciones iniciales, asesorías, seguimientos y cierres.</t>
  </si>
  <si>
    <t>Reporte mensual de atenciones psicosociales realizadas-PMR Mensual</t>
  </si>
  <si>
    <t>decreciente</t>
  </si>
  <si>
    <t>Realizar atenciones en trabajo social brindadas a través de la Estrategia Casa de Todas, a mujeres que realizan actividades sexuales pagadas.</t>
  </si>
  <si>
    <t xml:space="preserve">Sumatoria de servicios de intervención social para  mujeres que realizan actividades sexuales pagadas y sus familias </t>
  </si>
  <si>
    <t>Se cuantificarán mensualmente las atenciones en trabajo social: valoraciones iniciales, asesorías, seguimientos y cierres.</t>
  </si>
  <si>
    <t>Reporte mensual de atenciones en trabajo social realizadas-PMR Mensual</t>
  </si>
  <si>
    <t>constante</t>
  </si>
  <si>
    <t>Transversalización del enfoque de género y diferencial para mujeres</t>
  </si>
  <si>
    <t xml:space="preserve">Elaborar e implementar 3 lineamientos con enfoque de derechos de las mujeres, de género y diferencial. </t>
  </si>
  <si>
    <t xml:space="preserve">1. Número de actividades de alistamiento, seguimiento y evaluación de la asistencia técnica implementadas </t>
  </si>
  <si>
    <t>Sumatoria de actividades de alistamiento, seguimiento y evaluación de la asistencia técnica</t>
  </si>
  <si>
    <t>9 actividades de alistamiento anuales.</t>
  </si>
  <si>
    <t>1. Evidencias de reuniones internas para alistar, planear y hacer seguimiento a la asistencia técnica
2. Documentos elaborados asociados a la asistencia técnica</t>
  </si>
  <si>
    <t>Sumatoria de actividades de asistencia técnica para la transversalización del enfoque diferencial</t>
  </si>
  <si>
    <t xml:space="preserve">12 actividades de asistencia anuales </t>
  </si>
  <si>
    <t xml:space="preserve">1. Evidencias de reuniones externas para asistencia técnica
2. Informes de asistencia técnica mensuales </t>
  </si>
  <si>
    <t>Número de mujeres nuevas que participan en acciones afirmativas desde las diferentes estrategias de la Dirección de Enfoque Diferencial</t>
  </si>
  <si>
    <t>Sumatoria de mujeres que participan en acciones afirmativas</t>
  </si>
  <si>
    <t>Mujeres atendidas en el marco del proyecto de inversión 7671</t>
  </si>
  <si>
    <t>Reporte SIMISIONAL</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</si>
  <si>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</si>
  <si>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</si>
  <si>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</si>
  <si>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</si>
  <si>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</si>
  <si>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</si>
  <si>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</si>
  <si>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 Angie Mesa Rojas</t>
  </si>
  <si>
    <t>Nombre:</t>
  </si>
  <si>
    <t>Nombre: Carlos Alfonso Gaitán Sánchez</t>
  </si>
  <si>
    <t xml:space="preserve">Cargo: Profesional Especializada Dirección de Enfoque Diferencial  </t>
  </si>
  <si>
    <t>Cargo: Directora de Enfoque Diferencial</t>
  </si>
  <si>
    <t xml:space="preserve">Cargo: Cargo: Subsecretaria del Cuidado y Políticas de Igualdad </t>
  </si>
  <si>
    <t xml:space="preserve">Cargo: </t>
  </si>
  <si>
    <t>Cargo: Jefe Oficina Asesora de Planeación</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</si>
  <si>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</si>
  <si>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</si>
  <si>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</si>
  <si>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</si>
  <si>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</si>
  <si>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</si>
  <si>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</si>
  <si>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</si>
  <si>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</si>
  <si>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</si>
  <si>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</si>
  <si>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</si>
  <si>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</si>
  <si>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</si>
  <si>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</si>
  <si>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</si>
  <si>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</si>
  <si>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</si>
  <si>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</si>
  <si>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</si>
  <si>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</si>
  <si>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</si>
  <si>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</si>
  <si>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</si>
  <si>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</si>
  <si>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</si>
  <si>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</si>
  <si>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</si>
  <si>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</si>
  <si>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</si>
  <si>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</si>
  <si>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</si>
  <si>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</si>
  <si>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</si>
  <si>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</si>
  <si>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</si>
  <si>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</si>
  <si>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</si>
  <si>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</si>
  <si>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</si>
  <si>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</si>
  <si>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</si>
  <si>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</si>
  <si>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</si>
  <si>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</si>
  <si>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</si>
  <si>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</si>
  <si>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</si>
  <si>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</si>
  <si>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</si>
  <si>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</si>
  <si>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</si>
  <si>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</si>
  <si>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</si>
  <si>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</si>
  <si>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</si>
  <si>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</si>
  <si>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</si>
  <si>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</si>
  <si>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</si>
  <si>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</si>
  <si>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</si>
  <si>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</si>
  <si>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</si>
  <si>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</si>
  <si>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</si>
  <si>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</si>
  <si>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</si>
  <si>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Ajuste de la actividad 1 de la Meta 1</t>
  </si>
  <si>
    <t>Ajuste a la programación presupuestal desde el mes de febrero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</si>
  <si>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</si>
  <si>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</si>
  <si>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</si>
  <si>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</si>
  <si>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</si>
  <si>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</si>
  <si>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</si>
  <si>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</si>
  <si>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</si>
  <si>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</si>
  <si>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</si>
  <si>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</si>
  <si>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</si>
  <si>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</si>
  <si>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</si>
  <si>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</si>
  <si>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</si>
  <si>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</si>
  <si>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</si>
  <si>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</si>
  <si>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</si>
  <si>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</si>
  <si>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</si>
  <si>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</si>
  <si>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</si>
  <si>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</si>
  <si>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</si>
  <si>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</si>
  <si>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</si>
  <si>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</si>
  <si>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</si>
  <si>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</si>
  <si>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</si>
  <si>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</si>
  <si>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</si>
  <si>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</si>
  <si>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</si>
  <si>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</si>
  <si>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</si>
  <si>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</si>
  <si>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</si>
  <si>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</si>
  <si>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</si>
  <si>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</si>
  <si>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</si>
  <si>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</si>
  <si>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</si>
  <si>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</si>
  <si>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</si>
  <si>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</si>
  <si>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</si>
  <si>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</si>
  <si>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</si>
  <si>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</si>
  <si>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</si>
  <si>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</si>
  <si>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</si>
  <si>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</si>
  <si>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</si>
  <si>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</si>
  <si>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</si>
  <si>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</si>
  <si>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</si>
  <si>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</si>
  <si>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</si>
  <si>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</si>
  <si>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</si>
  <si>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</si>
  <si>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</si>
  <si>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</si>
  <si>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</si>
  <si>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</si>
  <si>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</si>
  <si>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</si>
  <si>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</si>
  <si>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</si>
  <si>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</si>
  <si>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</si>
  <si>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</si>
  <si>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</si>
  <si>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</si>
  <si>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</si>
  <si>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</si>
  <si>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</si>
  <si>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</si>
  <si>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</si>
  <si>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</si>
  <si>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</si>
  <si>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</si>
  <si>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</si>
  <si>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</si>
  <si>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</si>
  <si>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</si>
  <si>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</si>
  <si>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</si>
  <si>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</si>
  <si>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</si>
  <si>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</si>
  <si>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</si>
  <si>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</si>
  <si>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</si>
  <si>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</si>
  <si>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</si>
  <si>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</si>
  <si>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</si>
  <si>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</si>
  <si>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</si>
  <si>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</si>
  <si>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</si>
  <si>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</si>
  <si>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</si>
  <si>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</si>
  <si>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</si>
  <si>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</si>
  <si>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</si>
  <si>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</si>
  <si>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</si>
  <si>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</si>
  <si>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</si>
  <si>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</si>
  <si>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</si>
  <si>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</si>
  <si>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</si>
  <si>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</si>
  <si>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</si>
  <si>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</si>
  <si>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</si>
  <si>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</si>
  <si>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</si>
  <si>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</si>
  <si>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</si>
  <si>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</si>
  <si>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</si>
  <si>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</si>
  <si>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</si>
  <si>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</si>
  <si>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</si>
  <si>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</si>
  <si>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</si>
  <si>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</si>
  <si>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</si>
  <si>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</si>
  <si>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</si>
  <si>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</si>
  <si>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</si>
  <si>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</si>
  <si>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</si>
  <si>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</si>
  <si>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</si>
  <si>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</si>
  <si>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</si>
  <si>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</si>
  <si>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</si>
  <si>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</si>
  <si>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</si>
  <si>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</si>
  <si>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</si>
  <si>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</si>
  <si>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Implementación de acciones afirmativas dirigidas a las mujeres con enfoque diferencial y de género en Bogotá</t>
  </si>
  <si>
    <t>Se ajustó la actividad 1 de la Meta 1, en razón a que la información reportada tiene 2 fuentes distintas: una son las actividades de transversalizacion del enfoque diferencial y otra las actividades de asistencia técnica enmarcadas en el procedimiento de asistencia técnica para la transversalización del enfoque diferencial para mujeres; las cuales a su vez hacen parte del reporte del POA.</t>
  </si>
  <si>
    <t>Se ajustó  la redacción de la descripción para indicadores PMR y mujeres con quienes se implementan las acciones afirmativas en la Dirección de Enfoque Diferencial, teniendo en cuenta correspondencia con la meta.</t>
  </si>
  <si>
    <t>Ajuste a la programación de las actividades de las metas, PMR, POA y mujeres impactadas hasta mayo de 2024.</t>
  </si>
  <si>
    <t xml:space="preserve">Se ajustó la programación de las actividades de las metas, PMR, POA y mujeres impactadas hasta mayo de 2024, teniendo en cuenta la finalización de la ejecución del Plan Distrital de Desarrollo Vigente y de acuerdo con los lineamientos dados por la Secretaría Distrital de Planeación.   </t>
  </si>
  <si>
    <t>Ajuste al avance programado a la meta sectorial 37 y su periodicidad.</t>
  </si>
  <si>
    <t>Se ajustó avance programado a la meta sectorial 37, toda vez que la meta programada SEGPLAN son 15 sectores y su periodicidad es mensual.</t>
  </si>
  <si>
    <t>Ajuste en la redacción de la descripción para indicadores PMR y la Meta: Implementación de acciones afirmativas dirigidas a las mujeres con enfoque diferencial y de género en Bogotá</t>
  </si>
  <si>
    <t>Se ajustó la programación presupuestal desde el mes de febrero, atendiendo a las modificaciones a la reducción del presupuesto del proyecto de conformidad con el artículo 6 del Decreto 062 de 2024, y teniendo en cuenta también que por error involuntario de la Oficina Asesora de Planeación - OAP se registró un valor diferente en la programación presupuestal de las metas 6 y 7.</t>
  </si>
  <si>
    <t>Sumatoria de atenciones socio jurídicas brindadas a las mujeres que realizan actividades sexuales pagadas</t>
  </si>
  <si>
    <t>2. Número de actividades de asistencia técnica para la transversalización del enfoque diferencial para mujeres implementadas.</t>
  </si>
  <si>
    <t>30. Apoyar la preparación y alistamiento de las conmemoraciones de mujeres en sus diferencias y diversidad con la cuales se trabaja en la dirección de enfoque diferencial, con el objetivo de reducir los estereotipos e imaginarios arraigados que perpetúan la discriminación; mediante el posicionamiento activo de las agendas públicas que abordan las diversas problemáticas que enfrentan las mujeres, vinculando a la sociedad civil, organizaciones de mujeres y sectores de la Administración Distrital.</t>
  </si>
  <si>
    <t>Ajuste a la actividad 30 de la meta 7.</t>
  </si>
  <si>
    <t>Se ajusta la acitivdad teniendo en cuenta que en el primer semestre es de alistamiento de las conmemoraciones y el segundo semestre de ejecución. Por ello, los porcentajes corresponden a la fase de alistamiento y preparación de las mismas.</t>
  </si>
  <si>
    <t xml:space="preserve">3. Igualdad de oportunidades y desarrollo de capacidades para las mujeres </t>
  </si>
  <si>
    <t xml:space="preserve"> 2. Implementar acciones afirmativas y estrategias con Enfoque Diferencial para las mujeres en toda su diversidad.   </t>
  </si>
  <si>
    <t xml:space="preserve">5. Fortalecer redes protectoras con madres, padres, cuidadoras, cuidadores y profesionales que en el marco de sus acciones trabajan con niños, niñas y adolescentes para la identificación, prevención y actuación frente a las violencias y formas de discriminación basadas en género contra niños, niñas y adolescentes en sus diferencias y diversidad. </t>
  </si>
  <si>
    <t xml:space="preserve">No se presentaron retrasos. </t>
  </si>
  <si>
    <t>No aplica</t>
  </si>
  <si>
    <r>
      <t xml:space="preserve">Desde la </t>
    </r>
    <r>
      <rPr>
        <b/>
        <sz val="11"/>
        <rFont val="Times New Roman"/>
        <family val="1"/>
      </rPr>
      <t>Estrategia de empoderamiento</t>
    </r>
    <r>
      <rPr>
        <sz val="11"/>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1"/>
        <rFont val="Times New Roman"/>
        <family val="1"/>
      </rPr>
      <t>Estrategia de capacidades psicoemocionales</t>
    </r>
    <r>
      <rPr>
        <sz val="11"/>
        <rFont val="Times New Roman"/>
        <family val="1"/>
      </rPr>
      <t xml:space="preserve"> 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t>
    </r>
    <r>
      <rPr>
        <b/>
        <sz val="11"/>
        <rFont val="Times New Roman"/>
        <family val="1"/>
      </rPr>
      <t xml:space="preserve"> Estrategia de Cuidado Menstrual</t>
    </r>
    <r>
      <rPr>
        <sz val="11"/>
        <rFont val="Times New Roman"/>
        <family val="1"/>
      </rPr>
      <t xml:space="preserve"> se brindó información pertinente y elementos para el cuidado menstrual que impacta en la garantía de derechos sexuales y reproductivos, el Derecho a la Salud Plena de las personas beneficiarias atendiendo a las solicitudes de la Corte Constitucional, de acuerdo con la Sentencia T 398-19 ampliando a estas actividades a mujeres pertenecientes a otras poblaciones. </t>
    </r>
  </si>
  <si>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</si>
  <si>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No se presentan retrasos.</t>
  </si>
  <si>
    <t>La Estrategia de Educación Flexible permite la reducción de las barreras de acceso al derecho a la educación de las mujeres en sus diferencias y diversidad. .</t>
  </si>
  <si>
    <t>No se presentaron retrasos,  las cifras son acordes con la programación</t>
  </si>
  <si>
    <t>Fortalecimiento de las capacidades de las mujeres en torno al ejercicio del derecho de la participación</t>
  </si>
  <si>
    <t>Acompañamiento técnico para el fortalecimiento del derecho a la participación de las mujeres en las diferentes instancias priorizadas, para el posicionamiento de sus agendas.</t>
  </si>
  <si>
    <t>No se presenta retrasos.</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</si>
  <si>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</si>
  <si>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No presenta retrasos</t>
  </si>
  <si>
    <t>Actividad no programada para el mes de enero y febrero 2024</t>
  </si>
  <si>
    <t xml:space="preserve">Fnalizando  el mes de enero y febrero se realizó parte del proceso de contratación del personal de atención de la Casa de Todas; sin embargo, este hecho fue contemplado en la planeación de las metas por tanto no se presentaron retrasos en el cumplimiento de las mismas. Con el equipo completo a partir del mes de marzo las metas se cumplirán a cabalidad. La atención se ha prestado de manera presencial y telefónica. </t>
  </si>
  <si>
    <t>https://secretariadistritald.sharepoint.com/:f:/s/Instrumentosplaneacin2021/EiPAvkjKD9ZAi9xWTHGq5NcBzRY8xlySAq9F9641qa3G6g?e=jhgFDX</t>
  </si>
  <si>
    <t>https://secretariadistritald.sharepoint.com/:f:/s/Instrumentosplaneacin2021/EoR32yf58mVCjVdlZoJ2rgIBNOkcHG1Vl7cqUUscvKMAQg?e=9uFNuH</t>
  </si>
  <si>
    <t>https://secretariadistritald.sharepoint.com/:f:/s/Instrumentosplaneacin2021/ErfLrOISb2RDv8UMorcov_QBxAIZVCXx2c72YCchZHrihg?e=IY7cTH</t>
  </si>
  <si>
    <t>Jurídica</t>
  </si>
  <si>
    <t>Psicosocial</t>
  </si>
  <si>
    <t>https://secretariadistritald.sharepoint.com/:f:/s/Instrumentosplaneacin2021/EmklOK4AC0dMh5sU8lz_gIcBEanK0PfP7WRu4dbQ2DJDtw?e=VyMOfh</t>
  </si>
  <si>
    <r>
      <t xml:space="preserve">Durante </t>
    </r>
    <r>
      <rPr>
        <b/>
        <sz val="11"/>
        <rFont val="Times New Roman"/>
        <family val="1"/>
      </rPr>
      <t>enero y febrero</t>
    </r>
    <r>
      <rPr>
        <sz val="11"/>
        <rFont val="Times New Roman"/>
        <family val="1"/>
      </rPr>
      <t xml:space="preserve"> de 2024, se dio continuidad a la operación de la Estrategia Casa de Todas con atención presencial y telefónica, brindando atención integral y acompañamiento a 516 mujeres que realizan actividades sexuales pagadas, se realizaron 1.508 atenciones en el periodo desagregadas por área así: 642 intervenciones por trabajo social, 495 actuaciones jurídicas, 371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realizó jornada de servicios en Casa de Todas.</t>
    </r>
  </si>
  <si>
    <r>
      <t>Durante el mes</t>
    </r>
    <r>
      <rPr>
        <b/>
        <sz val="11"/>
        <rFont val="Times New Roman"/>
        <family val="1"/>
      </rPr>
      <t xml:space="preserve"> febrero</t>
    </r>
    <r>
      <rPr>
        <sz val="11"/>
        <rFont val="Times New Roman"/>
        <family val="1"/>
      </rPr>
      <t xml:space="preserve"> 2024, se dio continuidad a la operación de la Estrategia Casa de Todas con atención presencial y telefónica, brindando atención integral y acompañamiento a 350 mujeres que realizan actividades sexuales pagadas, se realizaron 769 atenciones en el periodo desagregadas por área así: 312 intervenciones por trabajo social, 266 actuaciones jurídicas, 191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t>
    </r>
  </si>
  <si>
    <t>https://secretariadistritald.sharepoint.com/:f:/s/Instrumentosplaneacin2021/Eiu2d_TvhVhHmndimLfTwlABjWYFWfdoQEvmBoHbBuyIvw?e=JXB7nx</t>
  </si>
  <si>
    <t>https://secretariadistritald.sharepoint.com/:f:/s/Instrumentosplaneacin2021/ElDSUFPjwVNAvRY0HGEpxN8ByQPYRjIM_3v-fGmNTbk5WA?e=oLFQxG</t>
  </si>
  <si>
    <t>https://secretariadistritald.sharepoint.com/:f:/s/Instrumentosplaneacin2021/Eu8-qPuOF9xFmNOIyECq4hoBWSu6vHtRge93MOW9SyFVTw?e=Yk84Rn</t>
  </si>
  <si>
    <t>La actividad no estaba programada en enero y febrero.</t>
  </si>
  <si>
    <t>Con corte al 29 de febrero, se registran giros de la reserva de meta 1  de contratos de prestaciones de servicios y pagos del contrato No. 986 de logística.</t>
  </si>
  <si>
    <t>Con corte al 29 de febrero, se registran giros de la reserva de meta 2 de contratos de prestaciones de servicios y pagos del contrato No. 986 de logística.</t>
  </si>
  <si>
    <t>Con corte al 29 de febrero, se registran giros de la reserva de meta 3  de contratos de prestaciones de servicios y pagos de aseo y cafetería, comunicaciones convergentes, fumigación y lavado de tanques, vigilancia, y Adquisición, mantenimiento preventivo y/o correctivo con suministro derepuestos y recarga de los extintores.</t>
  </si>
  <si>
    <t>Con corte al 29 de febrero, se registran giros de la reserva de meta 4 de contratos de prestaciones de servicios.</t>
  </si>
  <si>
    <t>Con corte al 29 de febrero, se registran giros de la reserva de meta 5 de contratos de prestaciones de servicios.</t>
  </si>
  <si>
    <t>Con corte al 29 de febrero, se registran giros de la reserva de meta 6 de contratos de prestaciones de servicios.</t>
  </si>
  <si>
    <t>Con corte al 29 de febrero, se registran giros de la reserva de meta 7 de contratos de prestaciones de servicios.</t>
  </si>
  <si>
    <r>
      <t xml:space="preserve">En </t>
    </r>
    <r>
      <rPr>
        <b/>
        <sz val="11"/>
        <rFont val="Times New Roman"/>
        <family val="1"/>
      </rPr>
      <t>febrero</t>
    </r>
    <r>
      <rPr>
        <sz val="11"/>
        <rFont val="Times New Roman"/>
        <family val="1"/>
      </rPr>
      <t xml:space="preserve">, se realizó formulario de preinscripción para las Pruebas Saber 11 y se compartió con el equipo de EEF para ser retroalimentado. Igualmente, se realizó documento de la Feria de Educación Superior a llevarse a cabo en el mes de mayo 2024 y se desarrolló reunión de articulación con la Dirección de Gestión del Conocimiento para coordinar las acciones y vinculaciones de las participantes de la Estrategia de Educación Flexible en los Cursos de Inglés. Asimismo, se realizó reunión de difusión de la Becas MAKAIA y la difusión de la misma, con las referentes poblacionales de la Dirección de Enfoque Diferencial y con las encargadas de Centros Digitales de la Dirección de Gestión de Conocimiento en bootcamps que es desarrollo de competencias digitales en el sector tecnológico en modalidad de formación intensiva. </t>
    </r>
  </si>
  <si>
    <r>
      <t xml:space="preserve">En enero se solicitó a Comunicaciones de la SDMujer la realización de pieza comunicativa editable para las invitaciones internas a las beneficiarias del ICFES. En </t>
    </r>
    <r>
      <rPr>
        <b/>
        <sz val="11"/>
        <rFont val="Times New Roman"/>
        <family val="1"/>
      </rPr>
      <t>febrero</t>
    </r>
    <r>
      <rPr>
        <sz val="11"/>
        <rFont val="Times New Roman"/>
        <family val="1"/>
      </rPr>
      <t xml:space="preserve"> se realizó formulario de preinscripción para las Pruebas Saber 11 y se compartió con el equipo de EEF para ser retroalimentado.  </t>
    </r>
  </si>
  <si>
    <t>https://secretariadistritald.sharepoint.com/:f:/s/Instrumentosplaneacin2021/EtnNTzC7d_xAnOFIToVbzlYBRIEI4_-8R_DBgyMoYUVllA?e=2xcTky</t>
  </si>
  <si>
    <r>
      <t xml:space="preserve">La actividad no estaba programada en enero. En </t>
    </r>
    <r>
      <rPr>
        <b/>
        <sz val="11"/>
        <rFont val="Times New Roman"/>
        <family val="1"/>
      </rPr>
      <t>febrero</t>
    </r>
    <r>
      <rPr>
        <sz val="11"/>
        <rFont val="Times New Roman"/>
        <family val="1"/>
      </rPr>
      <t xml:space="preserve">, se realizó documento de la Feria de Educación Superior a desarrollarse en el mes mayo 2024. </t>
    </r>
  </si>
  <si>
    <t>https://secretariadistritald.sharepoint.com/:f:/s/Instrumentosplaneacin2021/Eh-X2ne3DyBDogqjZOE8cLYB2wCyI7ZcYCZ4V7e3RG7Q2w?e=FkXqhA</t>
  </si>
  <si>
    <r>
      <t>En enero se  solicitó a la Dirección de Gestión del Conocimiento de la SDMujer reunión de articulación en febrero con el equipo de la Estrategia de Educación Flexible de la DED, con el fin de avanzar en las acciones previstas para este semestre relacionadas con la oferta de cursos que se articulan desde esta Dirección y revisar el proceso que se llevará para este año, relacionado con los cursos del Sena; asimismo, se compartió el documento del informe final del ICFES, en donde se encuentran los avances en el área de inglés de las participantes que presentaron las Pruebas Saber 11 en el 2023. En</t>
    </r>
    <r>
      <rPr>
        <b/>
        <sz val="11"/>
        <rFont val="Times New Roman"/>
        <family val="1"/>
      </rPr>
      <t xml:space="preserve"> febrero</t>
    </r>
    <r>
      <rPr>
        <sz val="11"/>
        <rFont val="Times New Roman"/>
        <family val="1"/>
      </rPr>
      <t xml:space="preserve"> se realizó reunión de articulación con la Dirección de Gestión del Conocimiento para coordinar las acciones y vinculaciones de las participantes de la Estrategia de Educación Flexible en los Cursos de Inglés. Asimismo, se realizó reunión de difusión de la Becas MAKAIA y la difusión de la misma, con las referentes poblacionales de la Dirección de Enfoque Diferencial y con las encargadas de Centros Digitales de la Dirección de Gestión de Conocimiento en bootcamps que es desarrollo de competencias digitales en el sector tecnológico en modalidad de formación intensiva</t>
    </r>
  </si>
  <si>
    <t>https://secretariadistritald.sharepoint.com/:f:/s/Instrumentosplaneacin2021/ElKs_LJG7K5PrCPLWBor3TEBAWO6C-Ef2gDUVYd5NcCY8g?e=0ZJOEx</t>
  </si>
  <si>
    <t xml:space="preserve">
https://secretariadistritald.sharepoint.com/:f:/s/Instrumentosplaneacin2021/Eo-2rk1JjSFEvKbqb1a0tAcBRsYSYUmnqy7gIGiizHPpTA?e=fy7aGQ</t>
  </si>
  <si>
    <t>https://secretariadistritald.sharepoint.com/:f:/s/Instrumentosplaneacin2021/EqvJSO_elWlIn0v8q1xU8_QBaaG10tsp3pFuhqGU3rN4lA?e=0eRrXb</t>
  </si>
  <si>
    <t>https://secretariadistritald.sharepoint.com/:f:/s/Instrumentosplaneacin2021/Ejbx1N0GD6ZBqhxj1E0Qm_0BHMGEj6o6k5HmRDgC6fNoHg?e=nwenW1</t>
  </si>
  <si>
    <r>
      <t xml:space="preserve">Durante enero se realizó difusión del curso Observo, Identifico y Protejo a diferentes entidades del Comité Operativo Distrital de infancia y Adolescencia como SDIS, Secretaría de Salud, ICBF, IDIPRON y Secretaría de Educación en aras de fortalecer redes protectoras de niñas y adolescentes. En </t>
    </r>
    <r>
      <rPr>
        <b/>
        <sz val="11"/>
        <rFont val="Times New Roman"/>
        <family val="1"/>
      </rPr>
      <t xml:space="preserve">febrero </t>
    </r>
    <r>
      <rPr>
        <sz val="11"/>
        <rFont val="Times New Roman"/>
        <family val="1"/>
      </rPr>
      <t>se realizó  difusión del Curso Observo, Identifico y Protejo al area de bienestar de la Univesidad UNINPAHU y a la referente de la CIOM de Puente Aranda, para ampliar las personas beneficiadas de este curso. Para los meses enero y febrero se certificaron 14 personas en el curso Observo, Identifico y Protejo.</t>
    </r>
  </si>
  <si>
    <r>
      <t xml:space="preserve">La actividad no estaba programada en enero.En </t>
    </r>
    <r>
      <rPr>
        <b/>
        <sz val="11"/>
        <rFont val="Times New Roman"/>
        <family val="1"/>
      </rPr>
      <t>febrero s</t>
    </r>
    <r>
      <rPr>
        <sz val="11"/>
        <rFont val="Times New Roman"/>
        <family val="1"/>
      </rPr>
      <t>e realizó una jornada significativa con mujeres jóvenes denominada “tardeando con mujeres” que tuvo como objetivo conversar sobre los diferentes tipos de violencias, participaron 11 mujeres.</t>
    </r>
  </si>
  <si>
    <r>
      <t xml:space="preserve">En  </t>
    </r>
    <r>
      <rPr>
        <b/>
        <sz val="11"/>
        <rFont val="Times New Roman"/>
        <family val="1"/>
      </rPr>
      <t xml:space="preserve">enero </t>
    </r>
    <r>
      <rPr>
        <sz val="11"/>
        <rFont val="Times New Roman"/>
        <family val="1"/>
      </rPr>
      <t xml:space="preserve">se realizó socialización y difusión de la estrategia de empoderamiento a las 20 Casas de Igualdad y a Casa de Todas, donde se explica el desarrollo de semilleros de empoderamiento y jornadas significativas.En </t>
    </r>
    <r>
      <rPr>
        <b/>
        <sz val="11"/>
        <rFont val="Times New Roman"/>
        <family val="1"/>
      </rPr>
      <t>febrero</t>
    </r>
    <r>
      <rPr>
        <sz val="11"/>
        <rFont val="Times New Roman"/>
        <family val="1"/>
      </rPr>
      <t xml:space="preserve"> se realizó espacio de socialización de la Estrategia de empoderamiento con la referente de la CIOM Puente Aranda en donde se abordaron las diferentes acciones desarrolladas y se compartió el documento y presentación correspondiente. </t>
    </r>
  </si>
  <si>
    <r>
      <t xml:space="preserve">La actividad no estaba programada en enero.  En </t>
    </r>
    <r>
      <rPr>
        <b/>
        <sz val="11"/>
        <rFont val="Times New Roman"/>
        <family val="1"/>
      </rPr>
      <t>febrero</t>
    </r>
    <r>
      <rPr>
        <sz val="11"/>
        <rFont val="Times New Roman"/>
        <family val="1"/>
      </rPr>
      <t xml:space="preserve">, se realizó reunión inicial con el equipo de Transformación Cultural en el que se comenzó con la planeación de las conmemoraciones; se realizó el cronograma logístico y de presupuesto de las conmemoraciones. </t>
    </r>
  </si>
  <si>
    <t>https://secretariadistritald.sharepoint.com/:f:/s/Instrumentosplaneacin2021/Es1Rzyvns9JAqSrpqSUc7AsBKHykWg95vCEuwdi36RhyAA?e=WDPNRi</t>
  </si>
  <si>
    <r>
      <t xml:space="preserve">En </t>
    </r>
    <r>
      <rPr>
        <b/>
        <sz val="11"/>
        <rFont val="Times New Roman"/>
        <family val="1"/>
      </rPr>
      <t xml:space="preserve">enero </t>
    </r>
    <r>
      <rPr>
        <sz val="11"/>
        <rFont val="Times New Roman"/>
        <family val="1"/>
      </rPr>
      <t xml:space="preserve">se desarrolló un documento de alistamiento, a partir de los CONPES de las Políticas Públicas diferenciales, como punto de partida para la identificación y diagnóstico de las principales problemáticas de los grupos poblacionales, con los cuales se adelantarán los encuentros diferenciales.En </t>
    </r>
    <r>
      <rPr>
        <b/>
        <sz val="11"/>
        <rFont val="Times New Roman"/>
        <family val="1"/>
      </rPr>
      <t>febrero,</t>
    </r>
    <r>
      <rPr>
        <sz val="11"/>
        <rFont val="Times New Roman"/>
        <family val="1"/>
      </rPr>
      <t xml:space="preserve"> se realizó reunión inicial con el equipo de Transformación Cultural en el que se comenzó con la planeación de las actividades del año, entre ellas, los encuentros diferenciales; se realizó el cronograma logístico y de presupuesto de los encuentros diferenciales. </t>
    </r>
  </si>
  <si>
    <t>https://secretariadistritald.sharepoint.com/:f:/s/Instrumentosplaneacin2021/Ev4rLsTypwBJk2i-yrs1pfIBA3Tqpyro8kN7dIL0nz9Asw?e=dB7ygK</t>
  </si>
  <si>
    <r>
      <t xml:space="preserve">En </t>
    </r>
    <r>
      <rPr>
        <b/>
        <sz val="11"/>
        <rFont val="Times New Roman"/>
        <family val="1"/>
      </rPr>
      <t xml:space="preserve">febrero </t>
    </r>
    <r>
      <rPr>
        <sz val="11"/>
        <rFont val="Times New Roman"/>
        <family val="1"/>
      </rPr>
      <t xml:space="preserve">se realizó reunión inicial con el equipo de alistamiento de las conmemoraciones y encuentros diferenciales, en las que se comenzó a plantear el plan y organización para estos eventos. De igual manera, se realizó un cronograma logístico y de presupuesto de todos los eventos que se llevarán a cabo en el año, en desarrollo de la Estrategia de Transformación Cultural. </t>
    </r>
  </si>
  <si>
    <r>
      <t xml:space="preserve">En </t>
    </r>
    <r>
      <rPr>
        <b/>
        <sz val="11"/>
        <rFont val="Times New Roman"/>
        <family val="1"/>
      </rPr>
      <t>enero y febrero</t>
    </r>
    <r>
      <rPr>
        <sz val="11"/>
        <rFont val="Times New Roman"/>
        <family val="1"/>
      </rPr>
      <t xml:space="preserve"> se desarrolló un documento de alistamiento, a partir de los CONPES de las Políticas Públicas diferenciales, como punto de partida para la identificación y diagnóstico de las principales problemáticas de los grupos poblacionales, con los cuales se adelantarán los encuentros diferenciales. De igual manera, de comenzó con el alistamiento y programación logística y de prespuesto para las conmemoraciones y encuentros diferenciales del año. </t>
    </r>
  </si>
  <si>
    <r>
      <rPr>
        <b/>
        <sz val="11"/>
        <rFont val="Times New Roman"/>
        <family val="1"/>
      </rPr>
      <t xml:space="preserve">A febrero </t>
    </r>
    <r>
      <rPr>
        <sz val="11"/>
        <rFont val="Times New Roman"/>
        <family val="1"/>
      </rPr>
      <t xml:space="preserve">se solicitó a Comunicaciones de la SDMujer la realización de pieza comunicativa editable para las invitaciones internas a las beneficiarias del ICFES, y a la Dirección de Gestión del Conocimiento de la SDMujer reunión de articulación en febrero con el equipo de la Estrategia de Educación Flexible de la DED, con el fin de avanzar en las acciones previstas para este semestre relacionadas con la oferta de cursos que se articulan desde esta Dirección y se compartió el documento del informe final del ICFES, en donde se encuentran los avances en el área de inglés de las participantes que presentaron las Pruebas Saber 11 en el 2023. Se realizó formulario de preinscripción para las Pruebas Saber 11 y se compartió con el equipo de EEF para ser retroalimentado.  Igualmente, se realizó documento de la Feria de Educación Superior a realizarse en el mes de mayo 2024 y se realizó reunión de articulación con la Dirección de Gestión del Conocimiento para coordinar las acciones y vinculaciones de las participantes de la Estrategia de Educación Flexible en los Cursos de Inglés. Asimismo, se realizó reunión de difusión de la Becas MAKAIA y la difusión de la misma, con las referentes poblacionales de la Dirección de Enfoque Diferencial y con las encargadas de Centros Digitales de la Dirección de Gestión de Conocimiento en bootcamps que es desarrollo de competencias digitales en el sector tecnológico en modalidad de formación intensiva. </t>
    </r>
  </si>
  <si>
    <t>No presenta retrasos en esta acción</t>
  </si>
  <si>
    <t>https://secretariadistritald.sharepoint.com/:f:/s/Instrumentosplaneacin2021/Eh_rcRLzLGtDkGEiuclMA64BEHEpjoJ3Z3kd2lr4A5O08w?e=WDWbPu</t>
  </si>
  <si>
    <t>https://secretariadistritald.sharepoint.com/:f:/s/Instrumentosplaneacin2021/EqE2SN36ZXlKhL-TmWONu9EBBFzmMkYPpiI6b7YzpmqleQ?e=456RxA</t>
  </si>
  <si>
    <t>https://secretariadistritald.sharepoint.com/:f:/s/Instrumentosplaneacin2021/EhuWwJ64vIlBgyDCS9klQ9wBX8Kj_4EO8BC2OvTJ0GLzhQ?e=xKRwD3</t>
  </si>
  <si>
    <r>
      <t>En enero se generó articulación con el equipo de la Dirección de Gestión del Conocimiento de la SDMujer y se inició  alistamiento de plataforma moodle y de acciones para la inscripción de usuarias para los cursos "Escuela de educación emocional Amarte" y "Tejiendo redes comunidad y servidoras y servidores públicos". En</t>
    </r>
    <r>
      <rPr>
        <b/>
        <sz val="11"/>
        <rFont val="Times New Roman"/>
        <family val="1"/>
      </rPr>
      <t xml:space="preserve"> febrero</t>
    </r>
    <r>
      <rPr>
        <sz val="11"/>
        <rFont val="Times New Roman"/>
        <family val="1"/>
      </rPr>
      <t xml:space="preserve"> se iniciaron inscripciones para Escuela AMARTE virtual 168 insc, inscripcionesCurso tejiendo redes servidores públicos 143 inscritos ( 80 antiguos,63 nuevos) inscripciones Curso tejiendo redes comunidad  181 inscritos ( 159 antiguas,22 nuevas)</t>
    </r>
  </si>
  <si>
    <r>
      <t xml:space="preserve">La actividad no estaba programada en enero.
</t>
    </r>
    <r>
      <rPr>
        <b/>
        <sz val="11"/>
        <rFont val="Times New Roman"/>
        <family val="1"/>
      </rPr>
      <t>Febrero</t>
    </r>
    <r>
      <rPr>
        <sz val="11"/>
        <rFont val="Times New Roman"/>
        <family val="1"/>
      </rPr>
      <t>: 1 ER ASP 11 part, 1ER Adultas y mayores 8 part.</t>
    </r>
  </si>
  <si>
    <r>
      <t>En enero se envío correo a la directora de Enfoque Diferencial para revisión y aprobación de la metodología para el desarrollo de los espacios vivenciales de transferencias de conocimientos con equipos psicosociales de otras entidades; con el fin de que se de continuidad de la estrategia metodológica en el año 2024.</t>
    </r>
    <r>
      <rPr>
        <sz val="11"/>
        <color rgb="FFFF0000"/>
        <rFont val="Times New Roman"/>
        <family val="1"/>
      </rPr>
      <t xml:space="preserve"> </t>
    </r>
    <r>
      <rPr>
        <b/>
        <sz val="11"/>
        <rFont val="Times New Roman"/>
        <family val="1"/>
      </rPr>
      <t>Febrero</t>
    </r>
    <r>
      <rPr>
        <sz val="11"/>
        <rFont val="Times New Roman"/>
        <family val="1"/>
      </rPr>
      <t>: Se realizó reunión de articulación para programación de asistencia técnica en el mes de marzo con la Subdirección de atención psicosocial del INPEC.</t>
    </r>
  </si>
  <si>
    <r>
      <t xml:space="preserve">En la </t>
    </r>
    <r>
      <rPr>
        <b/>
        <sz val="11"/>
        <rFont val="Times New Roman"/>
        <family val="1"/>
      </rPr>
      <t>Estrategia de empoderamiento</t>
    </r>
    <r>
      <rPr>
        <sz val="11"/>
        <rFont val="Times New Roman"/>
        <family val="1"/>
      </rPr>
      <t xml:space="preserve"> para el mes de febrero no se presentaron retrasos en el desarrollo de la estrategia.
En la</t>
    </r>
    <r>
      <rPr>
        <b/>
        <sz val="11"/>
        <rFont val="Times New Roman"/>
        <family val="1"/>
      </rPr>
      <t xml:space="preserve"> Estrategia de capacidades psicoemocionales</t>
    </r>
    <r>
      <rPr>
        <sz val="11"/>
        <rFont val="Times New Roman"/>
        <family val="1"/>
      </rPr>
      <t xml:space="preserve"> no se presenta retraso. 
En la </t>
    </r>
    <r>
      <rPr>
        <b/>
        <sz val="11"/>
        <rFont val="Times New Roman"/>
        <family val="1"/>
      </rPr>
      <t>Estrategia de Cuidado Menstrual</t>
    </r>
    <r>
      <rPr>
        <sz val="11"/>
        <rFont val="Times New Roman"/>
        <family val="1"/>
      </rPr>
      <t xml:space="preserve"> se presenta un retraso en las acciones 11 y 13 por contratación en las entidades con las que se realizan las articulaciones. se arranzará la implemetacipon en marzo y se dará alcance a las acciones retrasadas.  </t>
    </r>
  </si>
  <si>
    <r>
      <rPr>
        <b/>
        <sz val="11"/>
        <rFont val="Times New Roman"/>
        <family val="1"/>
      </rPr>
      <t>A febrero</t>
    </r>
    <r>
      <rPr>
        <sz val="11"/>
        <rFont val="Times New Roman"/>
        <family val="1"/>
      </rPr>
      <t xml:space="preserve">: La </t>
    </r>
    <r>
      <rPr>
        <b/>
        <sz val="11"/>
        <rFont val="Times New Roman"/>
        <family val="1"/>
      </rPr>
      <t>Estrategia de empoderamiento</t>
    </r>
    <r>
      <rPr>
        <sz val="11"/>
        <rFont val="Times New Roman"/>
        <family val="1"/>
      </rPr>
      <t xml:space="preserve">, realizó difusión del curso Observo, Identifico y Protejo a diferentes entidades distritales que hacen parte del Comité Operativo Distrital de infancia y Adolescencia como SDIS, Secretaría de Salud, ICBF, IDIPRON, UNINPAHU  y Secretaría de Educación. Para los meses enero y febrero se certificaron 14 personas en el curso Observo, Identifico y Protejo. Efectuó socialización y difusión de la estrategia de empoderamiento a las 20 CIOM y a Casa de Todas y realizó jornada significativa con mujeres jóvenes (11 mujeres). La </t>
    </r>
    <r>
      <rPr>
        <b/>
        <sz val="11"/>
        <rFont val="Times New Roman"/>
        <family val="1"/>
      </rPr>
      <t>Estrategia de capacidades psicoemocionales</t>
    </r>
    <r>
      <rPr>
        <sz val="11"/>
        <rFont val="Times New Roman"/>
        <family val="1"/>
      </rPr>
      <t xml:space="preserve">, realizó  2 espacios respiro (19 part), inició inscripciones escuela AMARTE virtual  (168 inscritos), inscripciones Curso Tejiendo Redes servidores públicos (143 inscritos 80 antiguos,63 nuevos) inscripciones Curso Tejiendo Redes comunidad 181 inscritos 159 antiguas,22 nuevas); realizó articulación para asitencia técnica en el mes de marzo con Subdirección de atención psicosocial del INPEC. La </t>
    </r>
    <r>
      <rPr>
        <b/>
        <sz val="11"/>
        <rFont val="Times New Roman"/>
        <family val="1"/>
      </rPr>
      <t>Estrategia de Cuidado Menstrua</t>
    </r>
    <r>
      <rPr>
        <sz val="11"/>
        <rFont val="Times New Roman"/>
        <family val="1"/>
      </rPr>
      <t xml:space="preserve">l, a través de correo a Idipron se solicitó fecha para llevar a cabo el taller de Educación Menstrual para el Autocuidado y el Autoconocimiento con las personas víctimas de la ESCNNA que se encuentran en protección del Instituto. Se realizó la primera Mesa Distrital de Cuidado Menstrual, entre otros, se definió responsabilidades y programación de las jornadas y recorridos de dignidad menstrual de marzo y abril, asimismo, se asistió al Comité Operativo Local de Habitabilidad en calle, con el fin de trabajar temas de mujeres habitantes de calle, especificamente cuidado menstrual.  </t>
    </r>
  </si>
  <si>
    <r>
      <t xml:space="preserve">Desde la </t>
    </r>
    <r>
      <rPr>
        <b/>
        <sz val="11"/>
        <rFont val="Times New Roman"/>
        <family val="1"/>
      </rPr>
      <t>Estrategia de empoderamiento</t>
    </r>
    <r>
      <rPr>
        <sz val="11"/>
        <rFont val="Times New Roman"/>
        <family val="1"/>
      </rPr>
      <t xml:space="preserve">, en febrero se realizó difusión del curso Observo, Identifico y Protejo al area de bienestar de UNINPAHU y CIOM Puente Aranda. Para los meses enero y febrero se certificaron 14 personas en el curso Observo, Identifico y Protejo. Se efectuó socialización y difusión de la estrategia de empoderamiento a la CIOM Puente Aranda y se realizo una jornada significativa con mujeres jóvenes (11 mujeres).
Desde la </t>
    </r>
    <r>
      <rPr>
        <b/>
        <sz val="11"/>
        <rFont val="Times New Roman"/>
        <family val="1"/>
      </rPr>
      <t>Estrategia de capacidades psicoemocionales</t>
    </r>
    <r>
      <rPr>
        <sz val="11"/>
        <rFont val="Times New Roman"/>
        <family val="1"/>
      </rPr>
      <t xml:space="preserve">, en febrero se realizaron 2 espacios respiro, total 19 participantes, se inician inscripciones para escuela AMARTE virtual  total 168 inscritos, inscripciones Curso Tejiendo Redes servidores público total  143 inscritos ( 80 antiguos,63 nuevos) inscripciones Curso Tejiendo Redes comunidad  total 181 inscritos ( 159 antiguas,22 nuevas); se realiza reunión de articulación para asistencia técnica en el mes de marzo con Subdirección de atención psicosocial del INPEC.
Desde la </t>
    </r>
    <r>
      <rPr>
        <b/>
        <sz val="11"/>
        <rFont val="Times New Roman"/>
        <family val="1"/>
      </rPr>
      <t>Estrategia de Cuidado Menstrual,</t>
    </r>
    <r>
      <rPr>
        <sz val="11"/>
        <rFont val="Times New Roman"/>
        <family val="1"/>
      </rPr>
      <t xml:space="preserve"> se realizó la primera Mesa Distrital de Cuidado Menstrual, entre otros, se definió responsabilidades y programación de las jornadas y recorridos de dignidad menstrual de marzo y abril, asimismo, se asistió al Comité Operativo Local de Habitabilidad en calle, con el fin de trabajar temas de mujeres habitantes de calle, especificamente cuidado menstrual.</t>
    </r>
    <r>
      <rPr>
        <sz val="11"/>
        <color rgb="FFFF0000"/>
        <rFont val="Times New Roman"/>
        <family val="1"/>
      </rPr>
      <t xml:space="preserve">  </t>
    </r>
  </si>
  <si>
    <t>Se cuenta con la actualización del Procedimiento de “Asistencia técnica a los Sectores de la Administración Distrital y las localidades para la transversalización del enfoque diferencial” que orientará la asistencia técnica durante el 2024. Se cuenta con un documento preliminar de la guía de la caja de herramientas para la incorporación del enfoque diferencial. Se cuenta con el primer reporte consolidado de avance del Plan de Fortalecimiento interno para la incorporación de acciones afirmativas con enfoque diferencial, que permitan el acceso de las mujeres en toda su diversidad a los servicios que presta la SDMujer.</t>
  </si>
  <si>
    <t>https://secretariadistritald.sharepoint.com/:f:/s/Instrumentosplaneacin2021/EjNi3cgXArpHs80aZOEuD3ABa27Ahmh2M1VmqoGPWCuZNw?e=oieEtN</t>
  </si>
  <si>
    <t>https://secretariadistritald.sharepoint.com/:f:/s/Instrumentosplaneacin2021/EjUTVwL7VGZHmi_pExXM8IcBYhFdVLZaWY3S1Z1WOLra1g?e=cFqQJr</t>
  </si>
  <si>
    <t>https://secretariadistritald.sharepoint.com/:f:/s/Instrumentosplaneacin2021/EvPFvxZCPbVIiTSmEurBzIwBCHN1C3mAzK2zT2tRQG05mg?e=p0cCtb</t>
  </si>
  <si>
    <t>https://secretariadistritald.sharepoint.com/:b:/s/Instrumentosplaneacin2021/ETxxa6TMlWZFkiaYs7k-g20BlEOLuc56HMVjLdB3kgYUww?e=MCrDdK
https://secretariadistritald.sharepoint.com/:b:/s/Instrumentosplaneacin2021/ETOMhP5Vr_ZDtWBqZ1NpRT0BtCGde3FEqmWCYJIMrJxrrQ?e=iVVSUb</t>
  </si>
  <si>
    <t>https://secretariadistritald.sharepoint.com/:f:/s/Instrumentosplaneacin2021/Ety-LnPSkEBJqm2v1Cg-s1QBtD2JaemedeVaES42LCO7Qg?e=GQwN4H</t>
  </si>
  <si>
    <t>La meta no estaba programada para el mes de febrero</t>
  </si>
  <si>
    <r>
      <t xml:space="preserve">La actividad no estaba programada en enero. En </t>
    </r>
    <r>
      <rPr>
        <b/>
        <sz val="11"/>
        <rFont val="Times New Roman"/>
        <family val="1"/>
      </rPr>
      <t xml:space="preserve">febrero </t>
    </r>
    <r>
      <rPr>
        <sz val="11"/>
        <rFont val="Times New Roman"/>
        <family val="1"/>
      </rPr>
      <t xml:space="preserve">se hizo el ajuste a la matriz de caracterización de las herramientas, de acuerdo con lo definido en reuniones del mes de diciembre de 2023, realizadas con la directora de Enfoque Diferencial. Esta matriz se incluyó en la guía de la caja de herramientas. Así mismo se elaboró una versión preliminar de la guía de la caja de herramientas para su revisión y aprobación por parte de la directora de Enfoque Diferencial y posterior envío al equipo de comunicaciones de la Secretaría Distrital de la Mujer para su diagramación. </t>
    </r>
  </si>
  <si>
    <r>
      <t>En enero</t>
    </r>
    <r>
      <rPr>
        <b/>
        <sz val="11"/>
        <rFont val="Times New Roman"/>
        <family val="1"/>
      </rPr>
      <t xml:space="preserve"> </t>
    </r>
    <r>
      <rPr>
        <sz val="11"/>
        <rFont val="Times New Roman"/>
        <family val="1"/>
      </rPr>
      <t xml:space="preserve">se remitió el Plan de Fortalecimiento consolidado a las diferentes dependencias de la entidad para su conocimiento y para solicitar que tengan presente el cumplimiento de las acciones propuestas, así como solicitar la designación de una persona responsable del reporte de los avances y evidencias cada mes. De igual forma, se remitió la solicitud del primer reporte de avance en el cumplimiento de las acciones previstas para los meses de noviembre y diciembre de 2023 y enero de 2024 a las dependencias que proyectaron acciones para este periodo. En </t>
    </r>
    <r>
      <rPr>
        <b/>
        <sz val="11"/>
        <rFont val="Times New Roman"/>
        <family val="1"/>
      </rPr>
      <t>febrero</t>
    </r>
    <r>
      <rPr>
        <sz val="11"/>
        <rFont val="Times New Roman"/>
        <family val="1"/>
      </rPr>
      <t xml:space="preserve"> se consolidó el primer reporte de avance de las acciones para la eliminación de barreras de acceso a los servicios de la entidad, con la información remitida por la Subsecretaría de Fortalecimiento de Capacidades y Oportunidades y la Dirección de Enfoque Diferencial – Casa de Todas. Este reporte corresponde a las acciones implementadas en los meses de noviembre y diciembre de 2023 y enero de 2021.</t>
    </r>
  </si>
  <si>
    <t>La actividad no estaba programada en enero.
Realizada reunión de empalme de la submesa de genero con la enlace de transversalización del enfoque de género de la Dirección de Derechos Humanos de la Secretaría Distrital de Gobierno el día 19 de febrero.</t>
  </si>
  <si>
    <t>https://secretariadistritald.sharepoint.com/:f:/s/Instrumentosplaneacin2021/Esf9ngLjK-JAsMNN_fFtDcoBp3VYqBdaJQrkCBWwhYrdhQ?e=4k7sf8</t>
  </si>
  <si>
    <t>Durante el mes de enero se realizó solicitud al operador logísitico para el desarrollo de la mesa coordinadora del  31 de enero de 2024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Durante el mes de febrero no se realizó solicitud al operador logísitico pues no se contaba con presupuesto, para el desarrollo de la mesa coordinadora del  28 de febrero de 2024 la subsecretaria apoyo con los refrigerios. Para la reunión con el Alcalde Mayor la Subsecretaria gestiono la disposición de refrigerios.
De igual manera, durante este mes se brindó asistencia técnica a las instancias que acompaña la Subsecretaría del Cuidado y Políticas de Igualdad a través del profesional Denis Helbert Morales roa</t>
  </si>
  <si>
    <t>https://secretariadistritald.sharepoint.com/:f:/s/Instrumentosplaneacin2021/Ei8J8yON5nFBmKrApT0EkJcBKZc3eSQfeAeUTZz7jEPi9g?e=GVYgcr</t>
  </si>
  <si>
    <t xml:space="preserve">Avances  en la implementación de la estrategia de fortalecimiento, con la realización de actividades programadas durante el mes de febrero, especificamente con el Consejo Consultivo de Mujeres de Bogotá y la submesa de género.  Se realizaron actividades de fortalecimiento con el CCM como la mesa coordinadora del mes de febrero y la reunión con el Alcalde Mayor. </t>
  </si>
  <si>
    <t xml:space="preserve">Avances en propuesta de fortalecimiento al CCM. Se han acompañado los eventos programados durante la vigencia 2024 sin ninguna dificultad: </t>
  </si>
  <si>
    <r>
      <rPr>
        <b/>
        <sz val="11"/>
        <rFont val="Times New Roman"/>
        <family val="1"/>
      </rPr>
      <t>En febrero</t>
    </r>
    <r>
      <rPr>
        <sz val="11"/>
        <rFont val="Times New Roman"/>
        <family val="1"/>
      </rPr>
      <t xml:space="preserve"> se coordinaron 6 jornadas de sensibilización para brindar asistencia técnica a 6 sectores de la Administración Distrital (Planeación, Ambiente, Hábitat, Hacienda, Jurídica y Gobierno) para la transversalización del enfoque diferencial en los instrumentos de planeación y se realizó la primera jornada con el sector Ambiente. Se realizó una acción de transversalización del enfoque diferencial adicional, con el sector Ambiente. Se ajustó la matriz de caracterización de herramientas y se elaboró documento preliminar de la guía de la caja de herramientas para incorporar el enfoque diferencial. Se consolidó el primer reporte de avance del Plan de Fortalecimiento interno correspondiente a los meses de noviembre y diciembre de 2023 y enero de 2024. 
En </t>
    </r>
    <r>
      <rPr>
        <b/>
        <sz val="11"/>
        <rFont val="Times New Roman"/>
        <family val="1"/>
      </rPr>
      <t>febrero</t>
    </r>
    <r>
      <rPr>
        <sz val="11"/>
        <rFont val="Times New Roman"/>
        <family val="1"/>
      </rPr>
      <t xml:space="preserve"> se realizó la reunión de empalme con la Secretaría de Gobierno  de la Submesa de género</t>
    </r>
  </si>
  <si>
    <t>Se ajustó el Procedimiento “Asistencia técnica a los Sectores de la Administración Distrital y las localidades para la transversalización del enfoque diferencial” y se solicitó a la Oficina Asesora de Planeación la actualización de este en el Sistema Integrado de Gestión de la entidad. Se concertaron 6 jornadas de sensibilización con 6 sectores de la Administración Distrital para brindar asistencia técnica para transversalización del enfoque diferencial y se realizó la primera con el Sector Ambiente. Se realizó una acción de transversalización del enfoque diferencial, adicional, con el sector Ambiente. Se ajustó la matriz de caracterización de herramientas y se elaboró documento preliminar de la guía de la caja de herramientas.  Se socializó a las dependencias el Plan de Fortalecimiento consolidado, solicitando tener presente la implementación de las acciones definidas, así mismo se solicitó y consolidó el primer reporte de avance correspondiente a los meses de noviembre y diciembre de 2023 y enero de 2024.
Según el empalme realizado se  procede  a hacer plan de acción 2024 para la submesa de género</t>
  </si>
  <si>
    <t xml:space="preserve">Se realizó reunión del CCM con la secretaria distrital de la mujer y la sesión ordinaria del Espacio Autónomo,  la mesa coordinadora del CCM del mes de febrero de 2024, con el acompañamiento técnico de la Subsecretaría del Cuidado y Políticas de Igualdad . </t>
  </si>
  <si>
    <t>Se ha realizado el acompañamiento técnico al  CCM. Se realizó articulación para el acompañamiento del CCM con laSecretaría Distrital de Planeación y la Dirección de Territorialización.. 
Se dio inicio a la primera submesa de género de 2024</t>
  </si>
  <si>
    <t xml:space="preserve">El 10 de enero se llevó a cabo una ruenión entre Consejo Consultivo de Mujeres y la Secretaría Distrital de la Mujer, con el objetivo de identificar la articulación requerida este año para el funcionamiento de la instancia y conocer las acciones a implementar por parte de la SDMujer. 
El 31 de enero se llevó a cabo la Mesa Coordinadora, en la cual se reviso el plan de acción elaborado por la instancia para la vigencia 2024 y se socializó por parte de la Directora de Enfoque Diferencial, la transversalización del enfoque diferencial.
En el mes de febrero e llevó a cabo la Mesa Coordinadora, en la cual se presento el resultado de la evaluación de SIDICU realizada por la SDP, a la vez Secreatría de Planeación presento el cronograma de participación ciudadana para la construcción del nuevo plan de desarrollo Distrital.
El 9 de febrero el Alcalde Carlos Fernando Galán se reunió con el consejo Consultivo de Mujeres, quienes le presentaron la Agenda Distrital por los derechos de las mujeres del Distrito Capital </t>
  </si>
  <si>
    <t>https://secretariadistritald.sharepoint.com/:f:/s/Instrumentosplaneacin2021/EqmIRVQufV1ImTMRGjglVp0Bd6kWPcyvoPhsW0Avtg6YZw?e=bFAOQe</t>
  </si>
  <si>
    <t xml:space="preserve">La actividad no estaba programada en enero
Para el mes de febrero en reunión con la consejera articuladora y la consejera secretaria, se definió las acciones a realizar en el plan de acción 2024, dentro de ellas se definió , realizar dos mesas de trabajo, para el seguimiento a los avances de la PPMYEG  en el sector Desarrollo Económico y en el sector Gobierno. La SCPI se encuentra realizando las gestiones pertinentes para  agendar estas dosmesas conjuntamente con la Dirección de diseño de  politicas </t>
  </si>
  <si>
    <t>https://secretariadistritald.sharepoint.com/:f:/s/Instrumentosplaneacin2021/EreUcg52YDtFr1Oz3LS92JYB3CsCvHH7FAXnwdL8zq3qgQ?e=0mfXrz</t>
  </si>
  <si>
    <t>La actividad no estaba programada en enero
El consejo consultivo de Mujeres no programó mesas de trabajo por comisiones para el mes de febrero. El consejo es autonomo en la programación de dichas mesas y no hay ingerencia de la SCPI en esas decisiones</t>
  </si>
  <si>
    <t>La actividad no estaba programada en enero
Durante el mes de febrero del 2024 se acompañó la mesa de trabajo convocada por la Concejal Heidy Sánchez el 14 de febrero que tuvo como tema la objeción de conciencia y se conversó sobre los retos que ha implicado el nuevo servicio militar voluntario para las mujeres. Igualmente se acompañó a la mesa de trabajo el 22 de febrero convocada por el Concejal Jesús Araque en donde se conversó sobre las doulas y el derecho a la salud plena de las mujeres.</t>
  </si>
  <si>
    <t>La actividad no estaba programada en enero
Se realiza reunión con el observatorio de conflictividad el día 20 de febrero, con el fin de acordar parámetros y articular procesos en el mecanismo de reporte en el aplicativo distrital de monitoreo y seguimiento a la protesta social
Se realiza reunión extraordinaria del Decreto 053 de 2023 el día 21 de febrero con el fin de  dar Seguimiento a las movilizaciones convocadas los días 21, 22 y 23 de febrero de 2024</t>
  </si>
  <si>
    <t>https://secretariadistritald.sharepoint.com/:f:/s/Instrumentosplaneacin2021/EowtRibQQfVKiptSE_-Sj_wBRnIHopx_VVi0d5Z15usl6A?e=Rfj5Pd</t>
  </si>
  <si>
    <t>La actividad no estaba programada en enero
No se programó desde Secretaría de Gobierno ningún PMU para el mes de febrero</t>
  </si>
  <si>
    <t>En el mes de febrero la Subsecretaría del Cuidado y Politicas de Igualdad, acompaño el proceso eleccionario para elegir 4 representantes de organizaciones de mujeres y dos epresentantes de personas cuidadoras, ante el CTPD . El proceso terminó con la elección de estas seis representaciones del CTPD el día 7 de ffebrero de 2024</t>
  </si>
  <si>
    <t>https://secretariadistritald.sharepoint.com/:f:/s/Instrumentosplaneacin2021/EmJW69yKxZtNrZzAMrW-O3IB2lr2oyG7k5xVARiHDoZ6nw?e=ctXgu3</t>
  </si>
  <si>
    <t xml:space="preserve">Se presenta retraso en la meta.   </t>
  </si>
  <si>
    <r>
      <t>Entre enero y febrero</t>
    </r>
    <r>
      <rPr>
        <sz val="11"/>
        <color rgb="FF000000"/>
        <rFont val="Times New Roman"/>
      </rPr>
      <t xml:space="preserve"> se realizaron atenciones a 95 mujeres nuevas en sus diferencias y diversidad desde la Dirección de Enfoque Diferencial</t>
    </r>
  </si>
  <si>
    <r>
      <t xml:space="preserve">Durante enero y </t>
    </r>
    <r>
      <rPr>
        <b/>
        <sz val="11"/>
        <rFont val="Times New Roman"/>
        <family val="1"/>
      </rPr>
      <t xml:space="preserve">febrero </t>
    </r>
    <r>
      <rPr>
        <sz val="11"/>
        <rFont val="Times New Roman"/>
        <family val="1"/>
      </rPr>
      <t>de 2024 se atendieron 316 mujeres en trabajo social y se realizaron 642 atenciones desagregadas así: 206 intervenciones, 324 seguimientos, 69 cierres y 43 valoraciones iniciales. Durante el periodo se realizó atención presencial y telefónica. A través de la atención, en el periodo se logró dar respuesta a las siguientes necesidades específicas:
* 5 Portabilidad. 
* 20 Solicitud de encuesta socioeconómica SISBEN
* 6 Afiliaciones al sistema de salud
* 26 Activación servicios de SDIS, proyecto enlace emergencia social , bono de adulto mayor y jardines
* 26 Solicitud cupo DLE. 
*39 Proceso educación flexible. 
* 25  Formación para el trabajo (Miquelina  Conviventia y Scalabrini).
*59 Pruebas rápidas con secretaria de salud. 
*21 Fondo Nacional del Ahorro. 
*18 Empleabilidad. 
*3 educación superior 
*5 Anticoncepción 
*5 IVE 
*1 cedulación 
*2 traslado municipio salud.
*3 Albergue.
*1 Emprendimiento.                                                                                 
*9 Salud sexual y reproductiva 
*2 Formación cursos técnicos SENA.
Se realizaron remisiones a entidades como: Secretaría de Salud, Fundación Miquelina, Fondo Nacional del Ahorro, Registraduría, Secretaría Desarrollo Económico, Secretaria de Educación, Secretaria Integración Social, Secretaria de Planeación, Oriéntame, Liga contra el cáncer, Secretaria de Hábitat, Conviventia, centro de formación Scalabrini, Agencia de empleo del SENA.</t>
    </r>
  </si>
  <si>
    <r>
      <t xml:space="preserve">Durante enero y </t>
    </r>
    <r>
      <rPr>
        <b/>
        <sz val="11"/>
        <rFont val="Times New Roman"/>
        <family val="1"/>
      </rPr>
      <t xml:space="preserve">febrero </t>
    </r>
    <r>
      <rPr>
        <sz val="11"/>
        <rFont val="Times New Roman"/>
        <family val="1"/>
      </rPr>
      <t xml:space="preserve">de 2024 se atendieron 166 mujeres en el área psicosocial y se realizaron 371 atenciones desagregadas así: 44 asesorías, 257 seguimientos, 54 cierres y 16 valoraciones iniciales . La atención se prestó de manera presencial y telefónica acorde a la agenda programada.  Se han realizado primeras atenciones y orientación psicosocial con énfasis en  gestión del malestar emocional que manifiestan por las mujeres,  se brindaron herramientas psicológicas dirigidas a gestionarlo, facilitar la expresión de sentimientos y avanzar en su reconocimiento como sujetas de derechos. Así mismo, se amplió su empoderamiento motivando la corresponsabilidad para el cuidado de su salud mental, focalizándoles en su proyecto de vida y preparación para la toma de decisiones y mejorar su situación actual.  se dio gestión a dificultades expresadas por medio de herramientas que disminuyen el malestar emocional, facilitan la expresión emocional, brindan empoderamiento de derechos y deberes y genera toma de decisiones, mejorando las condiciones actuales. </t>
    </r>
  </si>
  <si>
    <r>
      <t xml:space="preserve">Durante enero y </t>
    </r>
    <r>
      <rPr>
        <b/>
        <sz val="11"/>
        <rFont val="Times New Roman"/>
        <family val="1"/>
      </rPr>
      <t xml:space="preserve">febrero </t>
    </r>
    <r>
      <rPr>
        <sz val="11"/>
        <rFont val="Times New Roman"/>
        <family val="1"/>
      </rPr>
      <t xml:space="preserve">de 2024, se atendieron en el área jurídica 193 mujeres y se realizaron 495 atenciones desagregadas así: 84 asesorías, 260 seguimientos, 136 cierres y 15 valoraciones iniciales. 
Se cumplió en forma oportuna y efectiva, con la agenda programada para atención a las mujeres y en este orden con la realización de; valoraciones iniciales, actualización de datos, orientaciones, asesorías en materia jurídica  y demás acciones requeridas para el cumplimiento del objeto contractual aclarando que en la atención, se brinda  la información precisa sobre los temas consultados y se desarrollan  las acciones legales pertinentes, en lo que se relaciona con la elaboración de documentos y memoriales, para la garantía y la protección de los derechos fundamentales. 
Se prestó atención telefónica y presencial, en el marco de estas atenciones, durante el periodo se logró además de dar las asesorías requeridas, el seguimiento a casos en curso y la elaboración y trámite de: 
-Derechos de petición: 11
-Comités Jurídicos de estudio de casos:5
- Comités interdisciplinares de estudio de caso: 4
-Impulso procesal:4
-Audiencias: 2
-Escalonamiento de casos: 1
-Casos en representación: 6
-Comité técnico para la representación:1
-Análisis de casos para escalonar: 2
-Conceptos jurídicos: 6
</t>
    </r>
  </si>
  <si>
    <t>https://secretariadistritald.sharepoint.com/:b:/s/Instrumentosplaneacin2021/Ec91OySbRktIleagvIcNIY4ByGgPnwNnP1mdNFtN8Dz_VA?e=fI8x1B</t>
  </si>
  <si>
    <t xml:space="preserve">Se continúa en el ejercicio de la búsqueda activa de las mujeres, promoviendo la participación en las acciones de las estrategias de la DED. </t>
  </si>
  <si>
    <r>
      <t xml:space="preserve">En enero se ajustó el Procedimiento de “Asistencia técnica a los Sectores de la Administración Distrital y las localidades para la transversalización del enfoque diferencial” y se solicitó a la Oficina Asesora de Planeación la actualización de este en el Sistema Integrado de Gestión de la SDMujer. Lo anterior, con base en las propuestas de ajuste aprobadas en la reunión final de evaluación del procedimiento, realizada en diciembre de 2023 con el equipo de profesionales que lideraron la asistencia técnica. En </t>
    </r>
    <r>
      <rPr>
        <b/>
        <sz val="11"/>
        <rFont val="Times New Roman"/>
        <family val="1"/>
      </rPr>
      <t>febrero</t>
    </r>
    <r>
      <rPr>
        <sz val="11"/>
        <rFont val="Times New Roman"/>
        <family val="1"/>
      </rPr>
      <t xml:space="preserve"> se realizaron reuniones de coordinación con la Dirección de Derechos y Diseño de Política de la Secretaría Distrital de la Mujer, como con las delegadas y delegados de los sectores de Planeación, Ambiente, Hábitat, Hacienda, Gobierno y Jurídica, a fin de definir las jornadas de sensibilización para la asistencia técnica para la transversalización del enfoque diferencial en los instrumentos de planeación. Así mismo, se realizó la primera jornada de sensibilización con el sector Ambiente. Lo anterior en cumplimiento del compromiso de la Secretaría Distrital de la Mujer en el marco de los 100 primeros días de gobierno. Así, se realizó una acción de transversalización del enfoque diferencial, adicional, con el sector Ambiente: un (1) taller sobre cuidado menstrual con personal del Instituto Distrital de Protección y Bienestar Animal – IDPYBA.</t>
    </r>
  </si>
  <si>
    <r>
      <t xml:space="preserve">La actividad no estaba programada en enero. En </t>
    </r>
    <r>
      <rPr>
        <b/>
        <sz val="11"/>
        <rFont val="Times New Roman"/>
        <family val="1"/>
      </rPr>
      <t>febrero</t>
    </r>
    <r>
      <rPr>
        <sz val="11"/>
        <rFont val="Times New Roman"/>
        <family val="1"/>
      </rPr>
      <t xml:space="preserve"> a través de la Mesa Distrital de Cuidado Menstrual, se realizó la articulación con las Secretarías Distritales de Integración Social y de Salud para la definición de responsabilidades y la programación de las jornadas y recorridos de dignidad menstrual  para los meses de marzo y abril. </t>
    </r>
  </si>
  <si>
    <r>
      <t>En enero mediante correo a Idipron se solicitó fecha para llevar a cabo el taller de Educación Menstrual para el Autocuidado y el Autoconocimiento con las personas víctimas de la ESCNNA que se encuentran en protección del Instituto. En</t>
    </r>
    <r>
      <rPr>
        <b/>
        <sz val="11"/>
        <rFont val="Times New Roman"/>
        <family val="1"/>
      </rPr>
      <t xml:space="preserve"> febrero</t>
    </r>
    <r>
      <rPr>
        <sz val="11"/>
        <rFont val="Times New Roman"/>
        <family val="1"/>
      </rPr>
      <t xml:space="preserve"> se asistió al Comité Operativo Local de Habitabilidad en calle para incorporar el tema de cuidado menstrual en la agenda del CLOPS del mes de abril. </t>
    </r>
  </si>
  <si>
    <r>
      <t>La actividad no estaba programada en enero. En</t>
    </r>
    <r>
      <rPr>
        <b/>
        <sz val="11"/>
        <rFont val="Times New Roman"/>
        <family val="1"/>
      </rPr>
      <t xml:space="preserve"> febrero</t>
    </r>
    <r>
      <rPr>
        <sz val="11"/>
        <rFont val="Times New Roman"/>
        <family val="1"/>
      </rPr>
      <t xml:space="preserve"> se realizó la primera Mesa Distrital de Cuidado Menstrual, se definieron acciones (jornadas, recorridos, cualificaciones a equipos, jornadas locales, baños públicos, lineamientos) para el abordaje e informe a la Corte constitucional) para avanzar con del tema de dignidad menstrual en las localidades del Distrito a realizarse en los meses de marzo y abril. </t>
    </r>
  </si>
  <si>
    <r>
      <rPr>
        <sz val="11"/>
        <rFont val="Times New Roman"/>
        <family val="1"/>
      </rPr>
      <t>Número de a</t>
    </r>
    <r>
      <rPr>
        <sz val="11"/>
        <color theme="1"/>
        <rFont val="Times New Roman"/>
        <family val="1"/>
      </rPr>
      <t>tenciones socio jurídicas brindadas a través de la Estrategia Casa de Todas, a mujeres que realizan actividades sexuales pagadas (valoraciones inciales, asesorias u orientacicones, seguimientos y cierres)</t>
    </r>
  </si>
  <si>
    <r>
      <rPr>
        <sz val="11"/>
        <rFont val="Times New Roman"/>
        <family val="1"/>
      </rPr>
      <t>Número de at</t>
    </r>
    <r>
      <rPr>
        <sz val="11"/>
        <color theme="1"/>
        <rFont val="Times New Roman"/>
        <family val="1"/>
      </rPr>
      <t>enciones psicosociales brindadas a través de la Estrategia Casa de Todas, a mujeres que realizan actividades sexuales pagadas (valoraciones inciales, asesorias, seguimientos y cierres)</t>
    </r>
  </si>
  <si>
    <r>
      <rPr>
        <sz val="11"/>
        <rFont val="Times New Roman"/>
        <family val="1"/>
      </rPr>
      <t>Número de ate</t>
    </r>
    <r>
      <rPr>
        <sz val="11"/>
        <color theme="1"/>
        <rFont val="Times New Roman"/>
        <family val="1"/>
      </rPr>
      <t>nciones en trabajo social brindadas a través de la Estrategia Casa de Todas, a mujeres que realizan actividades sexuales pagadas (valoraciones inicales intervenciones, seguimientos y cierres)</t>
    </r>
  </si>
  <si>
    <r>
      <t xml:space="preserve">En el mes </t>
    </r>
    <r>
      <rPr>
        <b/>
        <sz val="11"/>
        <color theme="1"/>
        <rFont val="Times New Roman"/>
        <family val="1"/>
      </rPr>
      <t>febrero</t>
    </r>
    <r>
      <rPr>
        <sz val="11"/>
        <color theme="1"/>
        <rFont val="Times New Roman"/>
        <family val="1"/>
      </rPr>
      <t xml:space="preserve"> se realizaron atenciones a 40 mujeres nuevas en sus diferencias y diversidad desde la Dirección de Enfoque Diferencial.   </t>
    </r>
  </si>
  <si>
    <r>
      <t>En el mes de</t>
    </r>
    <r>
      <rPr>
        <b/>
        <sz val="11"/>
        <color theme="1"/>
        <rFont val="Times New Roman"/>
        <family val="1"/>
      </rPr>
      <t xml:space="preserve"> febrero </t>
    </r>
    <r>
      <rPr>
        <sz val="11"/>
        <color theme="1"/>
        <rFont val="Times New Roman"/>
        <family val="1"/>
      </rPr>
      <t xml:space="preserve">se realizaron dos actividades de alistamiento, así:
1.	Se realizó la socialización de la actualización del Procedimiento de Asistencia Técnica a los Sectores de las Administración Distrital y las localidades para la transversalización del enfoque diferencial, al equipo de profesionales que brindará la asistencia técnica a los sectores durante el 2024. 
2.	Se avanzó en la identificación de las actividades de asistencia técnica con los sectores de Hacienda y Ambiente. </t>
    </r>
  </si>
  <si>
    <r>
      <rPr>
        <b/>
        <sz val="11"/>
        <color theme="1"/>
        <rFont val="Times New Roman"/>
        <family val="1"/>
      </rPr>
      <t>Al mes de febrero</t>
    </r>
    <r>
      <rPr>
        <sz val="11"/>
        <color theme="1"/>
        <rFont val="Times New Roman"/>
        <family val="1"/>
      </rPr>
      <t xml:space="preserve"> se ha implementado tres (3) actividades de alistamiento de la asistencia técnica. </t>
    </r>
  </si>
  <si>
    <r>
      <t xml:space="preserve">Durante el mes de </t>
    </r>
    <r>
      <rPr>
        <b/>
        <sz val="11"/>
        <color theme="1"/>
        <rFont val="Times New Roman"/>
        <family val="1"/>
      </rPr>
      <t>febrero</t>
    </r>
    <r>
      <rPr>
        <sz val="11"/>
        <color theme="1"/>
        <rFont val="Times New Roman"/>
        <family val="1"/>
      </rPr>
      <t xml:space="preserve"> de 2024 se atendieron 171 mujeres en trabajo social y se realizaron 312 atenciones desagregadas así: 70 intervenciones, 182 seguimientos, 40 cierres y 20 valoraciones iniciales. Durante el periodo se realizó atención presencial y telefónica. 
Así, se logró dar respuesta a las siguientes necesidades específicas:
*2 Portabilidad.                                                                                         
*8 Solicitud de encuesta socioeconómica SISBEN
*2 Afiliaciones al sistema de salud
*7 Activación servicios de SDIS, proyecto enlace emergencia social , bono de adulto mayor y jardines
*9  Solicitud cupo DLE. 
*26  Proceso educación flexible. 
*2 Formación cursos técnicos SENA.
*12 Formación para el trabajo (Miquelina  Conviventia y Scalabrini).
*13 Pruebas rápidas con secretaria de salud. 
*7 Fondo Nacional del Ahorro. 
*4 Empleabilidad. 
*1 educación superior 
*3 Anticoncepción 
*3 IVE 
*1 traslado municipio salud.                                                                                                                                                                                                                                                                                                                     
*2 Albergue.
*4 Salud sexual y reproductiva                                                                                                                                                                                                                                                                                                                                                        
Se realizaron remisiones a entidades como: Secretaría de Salud, Fundación Miquelina, Fondo Nacional del Ahorro, Registraduría, Secretaría Desarrollo Económico, Secretaria de Educación, Secretaria Integración Social, Secretaria de Planeación, Oriéntame, Liga contra el cáncer, Secretaria de Hábitat, Conviventia, centro de formación Scalabrini, Agencia de empleo del SENA.</t>
    </r>
  </si>
  <si>
    <r>
      <rPr>
        <b/>
        <sz val="11"/>
        <color theme="1"/>
        <rFont val="Times New Roman"/>
        <family val="1"/>
      </rPr>
      <t>Durante enero y febrero</t>
    </r>
    <r>
      <rPr>
        <sz val="11"/>
        <color theme="1"/>
        <rFont val="Times New Roman"/>
        <family val="1"/>
      </rPr>
      <t xml:space="preserve"> de 2024 se atendieron 316 mujeres en trabajo social y se realizaron 642 atenciones desagregadas así: 206 intervenciones, 324 seguimientos, 69 cierres y 43 valoraciones iniciales. Durante el periodo se realizó atención presencial y telefónica. 
Así, se logró dar respuesta a las siguientes necesidades específicas:
* 5 Portabilidad. 
* 20 Solicitud de encuesta socioeconómica SISBEN
* 6 Afiliaciones al sistema de salud
* 26 Activación servicios de SDIS, proyecto enlace emergencia social , bono de adulto mayor y jardines
* 26 Solicitud cupo DLE. 
*39 Proceso educación flexible. 
* 25  Formación para el trabajo (Miquelina  Conviventia y Scalabrini).
*59 Pruebas rápidas con secretaria de salud. 
*21 Fondo Nacional del Ahorro. 
*18 Empleabilidad. 
*3 educación superior 
*5 Anticoncepción 
*5 IVE 
*1 cedulación 
*2 traslado municipio salud.
*3 Albergue.
*1 Emprendimiento.                                                                                 
*9 Salud sexual y reproductiva 
*2 Formación cursos técnicos SENA.
Se realizaron remisiones a entidades como: Secretaría de Salud, Fundación Miquelina, Fondo Nacional del Ahorro, Registraduría, Secretaría Desarrollo Económico, Secretaria de Educación, Secretaria Integración Social, Secretaria de Planeación, Oriéntame, Liga contra el cáncer, Secretaria de Hábitat, Conviventia, centro de formación Scalabrini, Agencia de empleo del SENA.</t>
    </r>
  </si>
  <si>
    <r>
      <rPr>
        <b/>
        <sz val="11"/>
        <color theme="1"/>
        <rFont val="Times New Roman"/>
        <family val="1"/>
      </rPr>
      <t xml:space="preserve">Durante enero y febrero </t>
    </r>
    <r>
      <rPr>
        <sz val="11"/>
        <color theme="1"/>
        <rFont val="Times New Roman"/>
        <family val="1"/>
      </rPr>
      <t xml:space="preserve">de 2024 se atendieron 166 mujeres en el área psicosocial y se realizaron 371 atenciones desagregadas así: 44 asesorías, 257 seguimientos, 54 cierres y 16 valoraciones iniciales . La atención se prestó de manera presencial y telefónica acorde a la agenda programada.  Se han realizado primeras atenciones y orientación psicosocial con énfasis en  gestión del malestar emocional que manifiestan por las mujeres,  se brindaron herramientas psicológicas dirigidas a gestionarlo, facilitar la expresión de sentimientos y avanzar en su reconocimiento como sujetas de derechos. Así mismo, se amplió su empoderamiento motivando la corresponsabilidad para el cuidado de su salud mental, focalizándoles en su proyecto de vida y preparación para la toma de decisiones y mejorar su situación actual.  se dio gestión a dificultades expresadas por medio de herramientas que disminuyen el malestar emocional, facilitan la expresión emocional, brindan empoderamiento de derechos y deberes y genera toma de decisiones, mejorando las condiciones actuales. </t>
    </r>
  </si>
  <si>
    <r>
      <rPr>
        <b/>
        <sz val="11"/>
        <color theme="1"/>
        <rFont val="Times New Roman"/>
        <family val="1"/>
      </rPr>
      <t>Durante enero y febrero</t>
    </r>
    <r>
      <rPr>
        <sz val="11"/>
        <color theme="1"/>
        <rFont val="Times New Roman"/>
        <family val="1"/>
      </rPr>
      <t xml:space="preserve"> de 2024, se atendieron en el área jurídica 193 mujeres y se realizaron 495 atenciones desagregadas así: 84 asesorías, 260 seguimientos, 136 cierres y 15 valoraciones iniciales. 
Se cumplió en forma oportuna y efectiva, con la agenda programada para atención a las mujeres y en este orden con la realización de; valoraciones iniciales, actualización de datos, orientaciones, asesorías en materia jurídica  y demás acciones requeridas para el cumplimiento del objeto contractual aclarando que en la atención, se brinda  la información precisa sobre los temas consultados y se desarrollan  las acciones legales pertinentes, en lo que se relaciona con la elaboración de documentos y memoriales, para la garantía y la protección de los derechos fundamentales. 
Se prestó atención telefónica y presencial, en el marco de estas atenciones, durante el periodo se logró además de dar las asesorías requeridas, el seguimiento a casos en curso y la elaboración y trámite de: 
-Derechos de petición: 11
-Comités Jurídicos de estudio de casos:5
- Comités interdisciplinares de estudio de caso: 4
-Impulso procesal:4
-Audiencias: 2
-Escalonamiento de casos: 1
-Casos en representación: 6
-Comité técnico para la representación:1
-Análisis de casos para escalonar: 2
-Conceptos jurídicos: 6
</t>
    </r>
  </si>
  <si>
    <r>
      <t xml:space="preserve">Durante el mes de </t>
    </r>
    <r>
      <rPr>
        <b/>
        <sz val="11"/>
        <color theme="1"/>
        <rFont val="Times New Roman"/>
        <family val="1"/>
      </rPr>
      <t>febrero</t>
    </r>
    <r>
      <rPr>
        <sz val="11"/>
        <color theme="1"/>
        <rFont val="Times New Roman"/>
        <family val="1"/>
      </rPr>
      <t xml:space="preserve"> de 2024, se atendieron en el área jurídica 128 mujeres y se realizaron 266 atenciones desagregadas así: 31 asesorías, 160 seguimientos, 70 cierres y 5 valoraciones iniciales. 
Se cumplió en forma oportuna y efectiva, con la agenda programada para atención a las mujeres y en este orden con la realización de; valoraciones iniciales, actualización de datos, orientaciones, asesorías en materia jurídica  y demás acciones requeridas para el cumplimiento del objeto contractual aclarando que en la atención, se brinda  la información precisa sobre los temas consultados y se desarrollan  las acciones legales pertinentes, en lo que se relaciona con la elaboración de documentos y memoriales, para la garantía y la protección de los derechos fundamentales. 
Se prestó atención telefónica y presencial, en el marco de estas atenciones,  se logró además,el seguimiento a casos en curso y la elaboración y trámite de: 
-Derechos de petición: 6
-Comités Jurídicos de estudio de casos:3
- Comités interdisciplinares de estudio de caso: 3
-Impulso procesal:4
-Audiencias: 2
-Escalonamiento de casos: 1
-Casos en representación: 6
-Comité técnico para la representación:1
-Análisis de casos para escalonar: 2
-Conceptos jurídicos: 2
</t>
    </r>
  </si>
  <si>
    <r>
      <t xml:space="preserve">En </t>
    </r>
    <r>
      <rPr>
        <b/>
        <sz val="11"/>
        <color theme="1"/>
        <rFont val="Times New Roman"/>
        <family val="1"/>
      </rPr>
      <t>febrero</t>
    </r>
    <r>
      <rPr>
        <sz val="11"/>
        <color theme="1"/>
        <rFont val="Times New Roman"/>
        <family val="1"/>
      </rPr>
      <t xml:space="preserve"> se trabajó en transversalización del enfoque diferencial con un (1) sector: </t>
    </r>
    <r>
      <rPr>
        <b/>
        <sz val="11"/>
        <color theme="1"/>
        <rFont val="Times New Roman"/>
        <family val="1"/>
      </rPr>
      <t>Ambiente</t>
    </r>
    <r>
      <rPr>
        <sz val="11"/>
        <color theme="1"/>
        <rFont val="Times New Roman"/>
        <family val="1"/>
      </rPr>
      <t>, así: -Se realizó una (1) jornada de sensibilización en transversalización de los enfoques de género, derechos de las mujeres y diferencial, en cumplimiento del compromiso de la Secretaría Distrital de la Mujer en el marco de los 100 primeros días de gobierno. 
-Se desarrolló un (1) taller sobre cuidado menstrual con personal del Instituto Distrital de Protección y Bienestar Animal – IDPYBA.</t>
    </r>
  </si>
  <si>
    <r>
      <rPr>
        <b/>
        <sz val="11"/>
        <color theme="1"/>
        <rFont val="Times New Roman"/>
        <family val="1"/>
      </rPr>
      <t xml:space="preserve">A febrero </t>
    </r>
    <r>
      <rPr>
        <sz val="11"/>
        <color theme="1"/>
        <rFont val="Times New Roman"/>
        <family val="1"/>
      </rPr>
      <t>se ha trabajado transversalización del enfoque diferencial con 1 sector: Ambiente.</t>
    </r>
  </si>
  <si>
    <r>
      <t xml:space="preserve">Durante el mes de </t>
    </r>
    <r>
      <rPr>
        <b/>
        <sz val="11"/>
        <color theme="1"/>
        <rFont val="Times New Roman"/>
        <family val="1"/>
      </rPr>
      <t>febrero</t>
    </r>
    <r>
      <rPr>
        <sz val="11"/>
        <color theme="1"/>
        <rFont val="Times New Roman"/>
        <family val="1"/>
      </rPr>
      <t xml:space="preserve"> de 2024 se atendieron 128 mujeres en el área psicosocial y se realizaron 191 atenciones desagregadas así: 21 asesorías, 144 seguimientos, 22 cierres y 4 valoraciones iniciales . La atención se prestó de manera presencial y telefónica acorde a la agenda programada.  Se han realizado primeras atenciones y orientación psicosocial con énfasis a dificultades expresadas por medio de herramientas que disminuyen el malestar emocional, facilitan la expresión emocional, brindan empoderamiento de derechos y deberes y genera toma de decisiones, mejorando las condiciones actuales.
Adicionalmente, se presentaron dos seguimientos de una CIO los cuales salen en el reporte de SiMisional,  pero no se incluyen en este debido a que corresponden a otra unidad operativa de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</si>
</sst>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240A]\ #,##0"/>
    <numFmt numFmtId="178" formatCode="0.000"/>
    <numFmt numFmtId="179" formatCode="0.00000"/>
    <numFmt numFmtId="180" formatCode="0.0000"/>
    <numFmt numFmtId="181" formatCode="#,##0.000"/>
  </numFmts>
  <fonts count="5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2"/>
      <name val="Times New Roman"/>
      <family val="1"/>
    </font>
    <font>
      <u/>
      <sz val="11"/>
      <color theme="10"/>
      <name val="Calibri"/>
      <family val="2"/>
      <scheme val="minor"/>
    </font>
    <font>
      <b/>
      <sz val="18"/>
      <name val="Calibri"/>
      <family val="2"/>
      <scheme val="minor"/>
    </font>
    <font>
      <b/>
      <sz val="11"/>
      <name val="Calibri"/>
      <family val="2"/>
      <scheme val="minor"/>
    </font>
    <font>
      <b/>
      <sz val="18"/>
      <name val="Times New Roman"/>
      <family val="1"/>
    </font>
    <font>
      <sz val="11"/>
      <color theme="5"/>
      <name val="Calibri"/>
      <family val="2"/>
      <scheme val="minor"/>
    </font>
    <font>
      <b/>
      <sz val="8"/>
      <name val="Times New Roman"/>
      <family val="1"/>
    </font>
    <font>
      <sz val="8"/>
      <name val="Times New Roman"/>
      <family val="1"/>
    </font>
    <font>
      <sz val="7"/>
      <name val="Times New Roman"/>
      <family val="1"/>
    </font>
    <font>
      <sz val="10"/>
      <name val="Times New Roman"/>
      <family val="1"/>
    </font>
    <font>
      <sz val="11"/>
      <color rgb="FF000000"/>
      <name val="Times New Roman"/>
    </font>
    <font>
      <b/>
      <sz val="11"/>
      <color rgb="FF000000"/>
      <name val="Times New Roman"/>
    </font>
  </fonts>
  <fills count="2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FF"/>
        <bgColor rgb="FF000000"/>
      </patternFill>
    </fill>
  </fills>
  <borders count="8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auto="1"/>
      </left>
      <right style="thin">
        <color auto="1"/>
      </right>
      <top/>
      <bottom/>
      <diagonal/>
    </border>
    <border>
      <left style="thin">
        <color indexed="64"/>
      </left>
      <right style="medium">
        <color indexed="64"/>
      </right>
      <top style="thin">
        <color indexed="64"/>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medium">
        <color auto="1"/>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auto="1"/>
      </bottom>
      <diagonal/>
    </border>
  </borders>
  <cellStyleXfs count="36">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0" fillId="0" borderId="0" applyNumberFormat="0" applyFill="0" applyBorder="0" applyAlignment="0" applyProtection="0"/>
    <xf numFmtId="0" fontId="40" fillId="0" borderId="0" applyNumberFormat="0" applyFill="0" applyBorder="0" applyAlignment="0" applyProtection="0"/>
  </cellStyleXfs>
  <cellXfs count="622">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2" fillId="0" borderId="6" xfId="0" applyFont="1" applyBorder="1" applyAlignment="1">
      <alignment horizontal="center" vertical="center"/>
    </xf>
    <xf numFmtId="9" fontId="8" fillId="9" borderId="6" xfId="28" applyFont="1" applyFill="1" applyBorder="1" applyAlignment="1" applyProtection="1">
      <alignment horizontal="center" vertical="center" wrapText="1"/>
      <protection locked="0"/>
    </xf>
    <xf numFmtId="9" fontId="39" fillId="0" borderId="6" xfId="29" applyFont="1" applyFill="1" applyBorder="1" applyAlignment="1" applyProtection="1">
      <alignment horizontal="center" vertical="center" wrapText="1"/>
      <protection locked="0"/>
    </xf>
    <xf numFmtId="0" fontId="30" fillId="0" borderId="13" xfId="0" applyFont="1" applyBorder="1" applyAlignment="1">
      <alignment horizontal="center" vertical="center"/>
    </xf>
    <xf numFmtId="41" fontId="30" fillId="0" borderId="6" xfId="12" applyFont="1" applyFill="1" applyBorder="1" applyAlignment="1">
      <alignment horizontal="center" vertical="center" wrapText="1"/>
    </xf>
    <xf numFmtId="0" fontId="30" fillId="9" borderId="6" xfId="0" applyFont="1" applyFill="1" applyBorder="1" applyAlignment="1">
      <alignment horizontal="center" vertical="center" wrapText="1"/>
    </xf>
    <xf numFmtId="172" fontId="30" fillId="0" borderId="6" xfId="10" applyNumberFormat="1" applyFont="1" applyBorder="1" applyAlignment="1">
      <alignment horizontal="center" vertical="center"/>
    </xf>
    <xf numFmtId="172" fontId="30" fillId="0" borderId="0" xfId="10" applyNumberFormat="1" applyFont="1" applyAlignment="1">
      <alignment horizontal="center" vertical="center"/>
    </xf>
    <xf numFmtId="0" fontId="30" fillId="0" borderId="6" xfId="0" applyFont="1" applyBorder="1" applyAlignment="1">
      <alignment horizontal="justify" vertical="center" wrapText="1"/>
    </xf>
    <xf numFmtId="3" fontId="30" fillId="0" borderId="6" xfId="11" applyNumberFormat="1" applyFont="1" applyFill="1" applyBorder="1" applyAlignment="1">
      <alignment horizontal="center" vertical="center" wrapText="1"/>
    </xf>
    <xf numFmtId="3" fontId="30" fillId="0" borderId="6" xfId="0" applyNumberFormat="1" applyFont="1" applyBorder="1" applyAlignment="1">
      <alignment horizontal="center" vertical="center"/>
    </xf>
    <xf numFmtId="3" fontId="30" fillId="9" borderId="6" xfId="0" applyNumberFormat="1" applyFont="1" applyFill="1" applyBorder="1" applyAlignment="1">
      <alignment horizontal="center" vertical="center"/>
    </xf>
    <xf numFmtId="3" fontId="30" fillId="0" borderId="6" xfId="0" applyNumberFormat="1" applyFont="1" applyBorder="1" applyAlignment="1">
      <alignment horizontal="center" vertical="center" wrapText="1"/>
    </xf>
    <xf numFmtId="3" fontId="8" fillId="0" borderId="6" xfId="0" applyNumberFormat="1" applyFont="1" applyBorder="1" applyAlignment="1">
      <alignment horizontal="center" vertical="center"/>
    </xf>
    <xf numFmtId="172" fontId="30" fillId="0" borderId="6" xfId="10" applyNumberFormat="1" applyFont="1" applyFill="1" applyBorder="1" applyAlignment="1">
      <alignment horizontal="center" vertical="center" wrapText="1"/>
    </xf>
    <xf numFmtId="168" fontId="30" fillId="0" borderId="6" xfId="11" applyFont="1" applyFill="1" applyBorder="1" applyAlignment="1">
      <alignment vertical="center" wrapText="1"/>
    </xf>
    <xf numFmtId="168" fontId="30" fillId="0" borderId="6" xfId="11" applyFont="1" applyFill="1" applyBorder="1" applyAlignment="1">
      <alignment horizontal="left" vertical="center" wrapText="1"/>
    </xf>
    <xf numFmtId="172" fontId="30" fillId="0" borderId="6" xfId="10" applyNumberFormat="1" applyFont="1" applyFill="1" applyBorder="1" applyAlignment="1">
      <alignment horizontal="center" vertical="center"/>
    </xf>
    <xf numFmtId="0" fontId="30" fillId="0" borderId="6" xfId="0" applyFont="1" applyBorder="1" applyAlignment="1">
      <alignment horizontal="left" vertical="center" wrapText="1"/>
    </xf>
    <xf numFmtId="0" fontId="32" fillId="0" borderId="13" xfId="0" applyFont="1" applyBorder="1" applyAlignment="1">
      <alignment horizontal="center" vertical="center" wrapText="1"/>
    </xf>
    <xf numFmtId="168" fontId="30" fillId="0" borderId="6" xfId="11" applyFont="1" applyFill="1" applyBorder="1" applyAlignment="1">
      <alignment horizontal="center" vertical="center" wrapText="1"/>
    </xf>
    <xf numFmtId="0" fontId="30" fillId="9" borderId="6" xfId="0" applyFont="1" applyFill="1" applyBorder="1" applyAlignment="1">
      <alignment vertical="center"/>
    </xf>
    <xf numFmtId="9" fontId="30" fillId="9" borderId="6" xfId="28" applyFont="1" applyFill="1" applyBorder="1" applyAlignment="1">
      <alignment vertical="center"/>
    </xf>
    <xf numFmtId="0" fontId="30" fillId="9" borderId="6" xfId="28" applyNumberFormat="1" applyFont="1" applyFill="1" applyBorder="1" applyAlignment="1">
      <alignment vertical="center" wrapText="1"/>
    </xf>
    <xf numFmtId="0" fontId="30" fillId="9" borderId="6" xfId="28" applyNumberFormat="1" applyFont="1" applyFill="1" applyBorder="1" applyAlignment="1">
      <alignment vertical="center"/>
    </xf>
    <xf numFmtId="0" fontId="25"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center" vertical="center" wrapText="1"/>
    </xf>
    <xf numFmtId="0" fontId="25" fillId="0" borderId="0" xfId="0" applyFont="1" applyAlignment="1">
      <alignment horizontal="center" vertical="center"/>
    </xf>
    <xf numFmtId="0" fontId="8" fillId="9" borderId="1" xfId="0" applyFont="1" applyFill="1" applyBorder="1" applyAlignment="1">
      <alignment vertical="center"/>
    </xf>
    <xf numFmtId="0" fontId="8" fillId="9" borderId="0" xfId="0" applyFont="1" applyFill="1" applyAlignment="1">
      <alignment vertical="center"/>
    </xf>
    <xf numFmtId="0" fontId="8" fillId="9" borderId="2" xfId="0" applyFont="1" applyFill="1" applyBorder="1" applyAlignment="1">
      <alignment vertical="center"/>
    </xf>
    <xf numFmtId="172" fontId="25" fillId="0" borderId="4" xfId="10" applyNumberFormat="1" applyFont="1" applyBorder="1" applyAlignment="1">
      <alignment vertical="center"/>
    </xf>
    <xf numFmtId="172" fontId="25" fillId="0" borderId="14" xfId="10" applyNumberFormat="1" applyFont="1" applyBorder="1" applyAlignment="1">
      <alignment vertical="center"/>
    </xf>
    <xf numFmtId="172" fontId="25" fillId="0" borderId="15" xfId="10" applyNumberFormat="1" applyFont="1" applyBorder="1" applyAlignment="1">
      <alignment vertical="center"/>
    </xf>
    <xf numFmtId="172" fontId="25" fillId="0" borderId="20" xfId="10" applyNumberFormat="1" applyFont="1" applyBorder="1" applyAlignment="1">
      <alignment vertical="center"/>
    </xf>
    <xf numFmtId="172" fontId="25" fillId="0" borderId="21" xfId="10" applyNumberFormat="1" applyFont="1" applyBorder="1" applyAlignment="1">
      <alignment vertical="center"/>
    </xf>
    <xf numFmtId="172" fontId="25" fillId="0" borderId="22" xfId="10" applyNumberFormat="1" applyFont="1" applyBorder="1" applyAlignment="1">
      <alignment vertical="center"/>
    </xf>
    <xf numFmtId="172" fontId="25" fillId="0" borderId="13" xfId="10" applyNumberFormat="1" applyFont="1" applyBorder="1" applyAlignment="1">
      <alignment vertical="center"/>
    </xf>
    <xf numFmtId="172" fontId="25" fillId="0" borderId="6" xfId="10" applyNumberFormat="1" applyFont="1" applyBorder="1" applyAlignment="1">
      <alignment vertical="center"/>
    </xf>
    <xf numFmtId="9" fontId="25" fillId="0" borderId="12" xfId="28" applyFont="1" applyBorder="1" applyAlignment="1">
      <alignment vertical="center"/>
    </xf>
    <xf numFmtId="9" fontId="25" fillId="0" borderId="16" xfId="28" applyFont="1" applyBorder="1" applyAlignment="1">
      <alignment vertical="center"/>
    </xf>
    <xf numFmtId="172" fontId="25" fillId="0" borderId="12" xfId="10" applyNumberFormat="1" applyFont="1" applyBorder="1" applyAlignment="1">
      <alignment vertical="center"/>
    </xf>
    <xf numFmtId="172" fontId="25" fillId="0" borderId="16" xfId="10" applyNumberFormat="1" applyFont="1" applyBorder="1" applyAlignment="1">
      <alignment vertical="center"/>
    </xf>
    <xf numFmtId="172" fontId="25" fillId="0" borderId="23" xfId="10" applyNumberFormat="1" applyFont="1" applyBorder="1" applyAlignment="1">
      <alignment vertical="center"/>
    </xf>
    <xf numFmtId="172" fontId="25" fillId="0" borderId="5" xfId="10" applyNumberFormat="1" applyFont="1" applyBorder="1" applyAlignment="1">
      <alignment vertical="center"/>
    </xf>
    <xf numFmtId="172" fontId="25" fillId="0" borderId="27" xfId="10" applyNumberFormat="1" applyFont="1" applyBorder="1" applyAlignment="1">
      <alignment vertical="center"/>
    </xf>
    <xf numFmtId="9" fontId="25" fillId="0" borderId="28" xfId="28" applyFont="1" applyBorder="1" applyAlignment="1">
      <alignment vertical="center"/>
    </xf>
    <xf numFmtId="0" fontId="25" fillId="0" borderId="0" xfId="0" applyFont="1"/>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172" fontId="8" fillId="9" borderId="0" xfId="0" applyNumberFormat="1" applyFont="1" applyFill="1" applyAlignment="1">
      <alignment vertical="center"/>
    </xf>
    <xf numFmtId="172" fontId="25" fillId="0" borderId="0" xfId="0" applyNumberFormat="1" applyFont="1" applyAlignment="1">
      <alignment vertical="center"/>
    </xf>
    <xf numFmtId="172" fontId="30" fillId="9" borderId="0" xfId="0" applyNumberFormat="1" applyFont="1" applyFill="1" applyAlignment="1">
      <alignment vertical="center"/>
    </xf>
    <xf numFmtId="177" fontId="0" fillId="0" borderId="0" xfId="0" applyNumberFormat="1"/>
    <xf numFmtId="177" fontId="44" fillId="0" borderId="0" xfId="0" applyNumberFormat="1" applyFont="1"/>
    <xf numFmtId="172" fontId="25" fillId="9" borderId="21" xfId="10" applyNumberFormat="1" applyFont="1" applyFill="1" applyBorder="1" applyAlignment="1">
      <alignment vertical="center"/>
    </xf>
    <xf numFmtId="172" fontId="25" fillId="9" borderId="6" xfId="10" applyNumberFormat="1" applyFont="1" applyFill="1" applyBorder="1" applyAlignment="1">
      <alignment vertical="center"/>
    </xf>
    <xf numFmtId="0" fontId="0" fillId="0" borderId="4" xfId="0" applyBorder="1" applyAlignment="1">
      <alignment vertical="top" wrapText="1"/>
    </xf>
    <xf numFmtId="0" fontId="0" fillId="0" borderId="6" xfId="0" applyBorder="1" applyAlignment="1">
      <alignment vertical="top" wrapText="1"/>
    </xf>
    <xf numFmtId="41" fontId="30" fillId="9" borderId="6" xfId="12" applyFont="1" applyFill="1" applyBorder="1" applyAlignment="1">
      <alignment horizontal="center" vertical="center" wrapText="1"/>
    </xf>
    <xf numFmtId="168" fontId="30" fillId="9" borderId="6" xfId="11" applyFont="1" applyFill="1" applyBorder="1" applyAlignment="1">
      <alignment horizontal="center" vertical="center" wrapText="1"/>
    </xf>
    <xf numFmtId="0" fontId="30" fillId="9" borderId="6" xfId="0" applyFont="1" applyFill="1" applyBorder="1" applyAlignment="1">
      <alignment horizontal="center" vertical="center"/>
    </xf>
    <xf numFmtId="0" fontId="0" fillId="0" borderId="12" xfId="0" applyBorder="1" applyAlignment="1">
      <alignment horizontal="left" vertical="top" wrapText="1"/>
    </xf>
    <xf numFmtId="3" fontId="8" fillId="9" borderId="6" xfId="0" applyNumberFormat="1" applyFont="1" applyFill="1" applyBorder="1" applyAlignment="1">
      <alignment horizontal="center" vertical="center"/>
    </xf>
    <xf numFmtId="0" fontId="0" fillId="0" borderId="12" xfId="0" applyBorder="1" applyAlignment="1">
      <alignment vertical="top" wrapText="1"/>
    </xf>
    <xf numFmtId="0" fontId="0" fillId="0" borderId="0" xfId="0" applyAlignment="1">
      <alignment vertical="top" wrapText="1"/>
    </xf>
    <xf numFmtId="43" fontId="8" fillId="9" borderId="0" xfId="0" applyNumberFormat="1" applyFont="1" applyFill="1" applyAlignment="1">
      <alignment vertical="center"/>
    </xf>
    <xf numFmtId="0" fontId="0" fillId="0" borderId="6" xfId="0" applyBorder="1" applyAlignment="1">
      <alignment horizontal="left" vertical="top" wrapText="1"/>
    </xf>
    <xf numFmtId="0" fontId="46" fillId="0" borderId="0" xfId="0" applyFont="1" applyAlignment="1">
      <alignment horizontal="justify" vertical="center" wrapText="1"/>
    </xf>
    <xf numFmtId="0" fontId="0" fillId="0" borderId="0" xfId="0" applyAlignment="1">
      <alignment horizontal="justify" vertical="center" wrapText="1"/>
    </xf>
    <xf numFmtId="0" fontId="45" fillId="14" borderId="78" xfId="0" applyFont="1" applyFill="1" applyBorder="1" applyAlignment="1">
      <alignment horizontal="center" vertical="center" wrapText="1"/>
    </xf>
    <xf numFmtId="0" fontId="45" fillId="14" borderId="79" xfId="0" applyFont="1" applyFill="1" applyBorder="1" applyAlignment="1">
      <alignment horizontal="center" vertical="center" wrapText="1"/>
    </xf>
    <xf numFmtId="0" fontId="45" fillId="0" borderId="78" xfId="0" applyFont="1" applyBorder="1" applyAlignment="1">
      <alignment horizontal="center" vertical="center" wrapText="1"/>
    </xf>
    <xf numFmtId="9" fontId="46" fillId="0" borderId="0" xfId="0" applyNumberFormat="1" applyFont="1" applyAlignment="1">
      <alignment horizontal="center" vertical="center"/>
    </xf>
    <xf numFmtId="178" fontId="45" fillId="15" borderId="2" xfId="0" applyNumberFormat="1" applyFont="1" applyFill="1" applyBorder="1" applyAlignment="1">
      <alignment horizontal="center" vertical="center"/>
    </xf>
    <xf numFmtId="0" fontId="30" fillId="0" borderId="0" xfId="0" applyFont="1" applyAlignment="1">
      <alignment horizontal="justify" vertical="center" wrapText="1"/>
    </xf>
    <xf numFmtId="178" fontId="46" fillId="0" borderId="0" xfId="0" applyNumberFormat="1" applyFont="1" applyAlignment="1">
      <alignment horizontal="justify" vertical="center" wrapText="1"/>
    </xf>
    <xf numFmtId="0" fontId="45" fillId="16" borderId="78" xfId="0" applyFont="1" applyFill="1" applyBorder="1" applyAlignment="1">
      <alignment horizontal="center" vertical="center" wrapText="1"/>
    </xf>
    <xf numFmtId="178" fontId="46" fillId="16" borderId="0" xfId="0" applyNumberFormat="1" applyFont="1" applyFill="1" applyAlignment="1">
      <alignment horizontal="center" vertical="center"/>
    </xf>
    <xf numFmtId="178" fontId="45" fillId="16" borderId="2" xfId="0" applyNumberFormat="1" applyFont="1" applyFill="1" applyBorder="1" applyAlignment="1">
      <alignment horizontal="center" vertical="center"/>
    </xf>
    <xf numFmtId="178" fontId="30" fillId="0" borderId="0" xfId="0" applyNumberFormat="1" applyFont="1" applyAlignment="1">
      <alignment horizontal="justify" vertical="center" wrapText="1"/>
    </xf>
    <xf numFmtId="0" fontId="45" fillId="16" borderId="82" xfId="0" applyFont="1" applyFill="1" applyBorder="1" applyAlignment="1">
      <alignment horizontal="center" vertical="center" wrapText="1"/>
    </xf>
    <xf numFmtId="178" fontId="46" fillId="16" borderId="45" xfId="0" applyNumberFormat="1" applyFont="1" applyFill="1" applyBorder="1" applyAlignment="1">
      <alignment horizontal="center" vertical="center"/>
    </xf>
    <xf numFmtId="178" fontId="45" fillId="16" borderId="48" xfId="0" applyNumberFormat="1" applyFont="1" applyFill="1" applyBorder="1" applyAlignment="1">
      <alignment horizontal="center" vertical="center"/>
    </xf>
    <xf numFmtId="0" fontId="45" fillId="0" borderId="0" xfId="0" applyFont="1" applyAlignment="1">
      <alignment horizontal="center" vertical="center" wrapText="1"/>
    </xf>
    <xf numFmtId="178" fontId="45" fillId="0" borderId="0" xfId="0" applyNumberFormat="1" applyFont="1" applyAlignment="1">
      <alignment horizontal="center" vertical="center"/>
    </xf>
    <xf numFmtId="178" fontId="46" fillId="0" borderId="0" xfId="0" applyNumberFormat="1" applyFont="1" applyAlignment="1">
      <alignment horizontal="center" vertical="center"/>
    </xf>
    <xf numFmtId="0" fontId="46" fillId="0" borderId="0" xfId="0" applyFont="1" applyAlignment="1">
      <alignment horizontal="center" vertical="center"/>
    </xf>
    <xf numFmtId="0" fontId="46" fillId="17" borderId="0" xfId="0" applyFont="1" applyFill="1" applyAlignment="1">
      <alignment horizontal="center" vertical="center"/>
    </xf>
    <xf numFmtId="179" fontId="45" fillId="17" borderId="0" xfId="0" applyNumberFormat="1" applyFont="1" applyFill="1" applyAlignment="1">
      <alignment horizontal="center" vertical="center"/>
    </xf>
    <xf numFmtId="0" fontId="46" fillId="0" borderId="0" xfId="0" applyFont="1" applyAlignment="1">
      <alignment vertical="center"/>
    </xf>
    <xf numFmtId="0" fontId="45" fillId="18" borderId="0" xfId="0" applyFont="1" applyFill="1" applyAlignment="1">
      <alignment vertical="center"/>
    </xf>
    <xf numFmtId="180" fontId="46" fillId="18" borderId="0" xfId="0" applyNumberFormat="1" applyFont="1" applyFill="1" applyAlignment="1">
      <alignment horizontal="center" vertical="center"/>
    </xf>
    <xf numFmtId="178" fontId="46" fillId="18" borderId="0" xfId="0" applyNumberFormat="1" applyFont="1" applyFill="1" applyAlignment="1">
      <alignment horizontal="center" vertical="center"/>
    </xf>
    <xf numFmtId="0" fontId="48" fillId="0" borderId="0" xfId="0" applyFont="1" applyAlignment="1">
      <alignment horizontal="justify" vertical="center" wrapText="1"/>
    </xf>
    <xf numFmtId="0" fontId="48" fillId="0" borderId="0" xfId="0" applyFont="1" applyAlignment="1">
      <alignment vertical="center"/>
    </xf>
    <xf numFmtId="10" fontId="46" fillId="16" borderId="0" xfId="0" applyNumberFormat="1" applyFont="1" applyFill="1" applyAlignment="1">
      <alignment horizontal="center" vertical="center"/>
    </xf>
    <xf numFmtId="180" fontId="9" fillId="0" borderId="3" xfId="22" applyNumberFormat="1" applyFont="1" applyBorder="1" applyAlignment="1">
      <alignment horizontal="center" vertical="center" wrapText="1"/>
    </xf>
    <xf numFmtId="4" fontId="9" fillId="0" borderId="3" xfId="10" applyNumberFormat="1" applyFont="1" applyFill="1" applyBorder="1" applyAlignment="1" applyProtection="1">
      <alignment horizontal="center" vertical="center" wrapText="1"/>
    </xf>
    <xf numFmtId="4" fontId="9" fillId="10" borderId="5" xfId="28" applyNumberFormat="1" applyFont="1" applyFill="1" applyBorder="1" applyAlignment="1" applyProtection="1">
      <alignment horizontal="center" vertical="center" wrapText="1"/>
    </xf>
    <xf numFmtId="4" fontId="8" fillId="10" borderId="5" xfId="30" applyNumberFormat="1" applyFont="1" applyFill="1" applyBorder="1" applyAlignment="1" applyProtection="1">
      <alignment horizontal="center" vertical="center" wrapText="1"/>
    </xf>
    <xf numFmtId="4" fontId="9" fillId="0" borderId="3" xfId="22" applyNumberFormat="1" applyFont="1" applyBorder="1" applyAlignment="1">
      <alignment horizontal="center" vertical="center" wrapText="1"/>
    </xf>
    <xf numFmtId="181" fontId="9" fillId="0" borderId="3" xfId="22" applyNumberFormat="1" applyFont="1" applyBorder="1" applyAlignment="1">
      <alignment horizontal="center" vertical="center" wrapText="1"/>
    </xf>
    <xf numFmtId="181" fontId="9" fillId="0" borderId="3" xfId="10" applyNumberFormat="1" applyFont="1" applyFill="1" applyBorder="1" applyAlignment="1" applyProtection="1">
      <alignment horizontal="center" vertical="center" wrapText="1"/>
    </xf>
    <xf numFmtId="181" fontId="9" fillId="10" borderId="5" xfId="28" applyNumberFormat="1" applyFont="1" applyFill="1" applyBorder="1" applyAlignment="1" applyProtection="1">
      <alignment horizontal="center" vertical="center" wrapText="1"/>
    </xf>
    <xf numFmtId="181" fontId="8" fillId="10" borderId="5" xfId="30" applyNumberFormat="1" applyFont="1" applyFill="1" applyBorder="1" applyAlignment="1" applyProtection="1">
      <alignment horizontal="center" vertical="center" wrapText="1"/>
    </xf>
    <xf numFmtId="4" fontId="8" fillId="0" borderId="3" xfId="22" applyNumberFormat="1" applyFont="1" applyBorder="1" applyAlignment="1">
      <alignment horizontal="center" vertical="center" wrapText="1"/>
    </xf>
    <xf numFmtId="0" fontId="0" fillId="0" borderId="0" xfId="0" applyAlignment="1">
      <alignment horizontal="justify" vertical="center"/>
    </xf>
    <xf numFmtId="0" fontId="40" fillId="9" borderId="6" xfId="34" applyNumberFormat="1" applyFill="1" applyBorder="1" applyAlignment="1">
      <alignment vertical="center" wrapText="1"/>
    </xf>
    <xf numFmtId="9" fontId="30" fillId="9" borderId="6" xfId="28" applyFont="1" applyFill="1" applyBorder="1" applyAlignment="1">
      <alignment vertical="center" wrapText="1"/>
    </xf>
    <xf numFmtId="9" fontId="40" fillId="9" borderId="6" xfId="34" applyNumberFormat="1" applyFill="1" applyBorder="1" applyAlignment="1">
      <alignment vertical="center" wrapText="1"/>
    </xf>
    <xf numFmtId="9" fontId="30" fillId="0" borderId="6" xfId="28" applyFont="1" applyFill="1" applyBorder="1" applyAlignment="1">
      <alignment vertical="center" wrapText="1"/>
    </xf>
    <xf numFmtId="0" fontId="40" fillId="0" borderId="0" xfId="34" applyFill="1" applyAlignment="1">
      <alignment vertical="center" wrapText="1"/>
    </xf>
    <xf numFmtId="9" fontId="47" fillId="0" borderId="0" xfId="0" applyNumberFormat="1" applyFont="1" applyAlignment="1">
      <alignment horizontal="justify" vertical="center" wrapText="1"/>
    </xf>
    <xf numFmtId="0" fontId="47" fillId="0" borderId="0" xfId="0" applyFont="1" applyAlignment="1">
      <alignment horizontal="justify" vertical="center" wrapText="1"/>
    </xf>
    <xf numFmtId="173" fontId="46" fillId="0" borderId="0" xfId="0" applyNumberFormat="1" applyFont="1" applyAlignment="1">
      <alignment horizontal="center" vertical="center" wrapText="1"/>
    </xf>
    <xf numFmtId="173" fontId="8" fillId="0" borderId="0" xfId="0" applyNumberFormat="1" applyFont="1" applyAlignment="1">
      <alignment vertical="center"/>
    </xf>
    <xf numFmtId="9" fontId="47" fillId="0" borderId="80" xfId="0" applyNumberFormat="1" applyFont="1" applyBorder="1" applyAlignment="1">
      <alignment horizontal="justify" vertical="center" wrapText="1"/>
    </xf>
    <xf numFmtId="9" fontId="47" fillId="0" borderId="76" xfId="0" applyNumberFormat="1" applyFont="1" applyBorder="1" applyAlignment="1">
      <alignment horizontal="justify" vertical="center" wrapText="1"/>
    </xf>
    <xf numFmtId="9" fontId="46" fillId="0" borderId="81" xfId="0" applyNumberFormat="1" applyFont="1" applyBorder="1" applyAlignment="1">
      <alignment horizontal="center" vertical="center" wrapText="1"/>
    </xf>
    <xf numFmtId="9" fontId="8" fillId="0" borderId="77" xfId="0" applyNumberFormat="1" applyFont="1" applyBorder="1" applyAlignment="1">
      <alignment vertical="center"/>
    </xf>
    <xf numFmtId="0" fontId="45" fillId="14" borderId="71" xfId="0" applyFont="1" applyFill="1" applyBorder="1" applyAlignment="1">
      <alignment horizontal="justify" vertical="center" wrapText="1"/>
    </xf>
    <xf numFmtId="0" fontId="8" fillId="0" borderId="76" xfId="0" applyFont="1" applyBorder="1" applyAlignment="1">
      <alignment horizontal="justify" vertical="center" wrapText="1"/>
    </xf>
    <xf numFmtId="0" fontId="45" fillId="14" borderId="72" xfId="0" applyFont="1" applyFill="1" applyBorder="1" applyAlignment="1">
      <alignment horizontal="center" vertical="center" wrapText="1"/>
    </xf>
    <xf numFmtId="0" fontId="8" fillId="0" borderId="77" xfId="0" applyFont="1" applyBorder="1" applyAlignment="1">
      <alignment vertical="center"/>
    </xf>
    <xf numFmtId="0" fontId="45" fillId="14" borderId="73" xfId="0" applyFont="1" applyFill="1" applyBorder="1" applyAlignment="1">
      <alignment horizontal="center" vertical="center" wrapText="1"/>
    </xf>
    <xf numFmtId="0" fontId="8" fillId="0" borderId="74" xfId="0" applyFont="1" applyBorder="1" applyAlignment="1">
      <alignment vertical="center"/>
    </xf>
    <xf numFmtId="0" fontId="8" fillId="0" borderId="75" xfId="0" applyFont="1" applyBorder="1" applyAlignment="1">
      <alignment vertical="center"/>
    </xf>
    <xf numFmtId="9" fontId="8" fillId="9" borderId="29" xfId="22" applyNumberFormat="1" applyFont="1" applyFill="1" applyBorder="1" applyAlignment="1">
      <alignment horizontal="justify" vertical="top" wrapText="1"/>
    </xf>
    <xf numFmtId="9" fontId="8" fillId="9" borderId="7" xfId="22" applyNumberFormat="1" applyFont="1" applyFill="1" applyBorder="1" applyAlignment="1">
      <alignment horizontal="justify" vertical="top" wrapText="1"/>
    </xf>
    <xf numFmtId="9" fontId="8" fillId="9" borderId="8" xfId="22" applyNumberFormat="1" applyFont="1" applyFill="1" applyBorder="1" applyAlignment="1">
      <alignment horizontal="justify" vertical="top" wrapText="1"/>
    </xf>
    <xf numFmtId="9" fontId="8" fillId="9" borderId="15" xfId="22" applyNumberFormat="1" applyFont="1" applyFill="1" applyBorder="1" applyAlignment="1">
      <alignment horizontal="justify" vertical="top" wrapText="1"/>
    </xf>
    <xf numFmtId="9" fontId="8" fillId="9" borderId="10" xfId="22" applyNumberFormat="1" applyFont="1" applyFill="1" applyBorder="1" applyAlignment="1">
      <alignment horizontal="justify" vertical="top" wrapText="1"/>
    </xf>
    <xf numFmtId="9" fontId="8" fillId="9" borderId="11" xfId="22" applyNumberFormat="1" applyFont="1" applyFill="1" applyBorder="1" applyAlignment="1">
      <alignment horizontal="justify" vertical="top" wrapText="1"/>
    </xf>
    <xf numFmtId="9" fontId="40" fillId="9" borderId="29" xfId="34" applyNumberFormat="1" applyFill="1" applyBorder="1" applyAlignment="1">
      <alignment horizontal="center" vertical="center" wrapText="1"/>
    </xf>
    <xf numFmtId="9" fontId="8" fillId="9" borderId="7" xfId="22" applyNumberFormat="1" applyFont="1" applyFill="1" applyBorder="1" applyAlignment="1">
      <alignment horizontal="center" vertical="center" wrapText="1"/>
    </xf>
    <xf numFmtId="9" fontId="8" fillId="9" borderId="59" xfId="22" applyNumberFormat="1" applyFont="1" applyFill="1" applyBorder="1" applyAlignment="1">
      <alignment horizontal="center" vertical="center" wrapText="1"/>
    </xf>
    <xf numFmtId="9" fontId="8" fillId="9" borderId="15" xfId="22" applyNumberFormat="1" applyFont="1" applyFill="1" applyBorder="1" applyAlignment="1">
      <alignment horizontal="center" vertical="center" wrapText="1"/>
    </xf>
    <xf numFmtId="9" fontId="8" fillId="9" borderId="10" xfId="22" applyNumberFormat="1" applyFont="1" applyFill="1" applyBorder="1" applyAlignment="1">
      <alignment horizontal="center" vertical="center" wrapText="1"/>
    </xf>
    <xf numFmtId="9" fontId="8" fillId="9" borderId="60" xfId="22" applyNumberFormat="1"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31" fillId="9" borderId="7" xfId="22" applyNumberFormat="1" applyFont="1" applyFill="1" applyBorder="1" applyAlignment="1">
      <alignment horizontal="center" vertical="center" wrapText="1"/>
    </xf>
    <xf numFmtId="9" fontId="31" fillId="9" borderId="59" xfId="22" applyNumberFormat="1" applyFont="1" applyFill="1" applyBorder="1" applyAlignment="1">
      <alignment horizontal="center" vertical="center" wrapText="1"/>
    </xf>
    <xf numFmtId="9" fontId="31" fillId="9" borderId="15" xfId="22" applyNumberFormat="1" applyFont="1" applyFill="1" applyBorder="1" applyAlignment="1">
      <alignment horizontal="center" vertical="center" wrapText="1"/>
    </xf>
    <xf numFmtId="9" fontId="31" fillId="9" borderId="10" xfId="22" applyNumberFormat="1" applyFont="1" applyFill="1" applyBorder="1" applyAlignment="1">
      <alignment horizontal="center" vertical="center" wrapText="1"/>
    </xf>
    <xf numFmtId="9" fontId="31" fillId="9" borderId="60" xfId="22" applyNumberFormat="1" applyFont="1" applyFill="1" applyBorder="1" applyAlignment="1">
      <alignment horizontal="center" vertical="center" wrapText="1"/>
    </xf>
    <xf numFmtId="2" fontId="8" fillId="9" borderId="13" xfId="22" applyNumberFormat="1" applyFont="1" applyFill="1" applyBorder="1" applyAlignment="1">
      <alignment horizontal="justify" vertical="center" wrapText="1"/>
    </xf>
    <xf numFmtId="0" fontId="25" fillId="9" borderId="23" xfId="0" applyFont="1" applyFill="1" applyBorder="1" applyAlignment="1">
      <alignment horizontal="justify" vertical="center" wrapText="1"/>
    </xf>
    <xf numFmtId="10" fontId="8" fillId="0" borderId="6" xfId="22" applyNumberFormat="1" applyFont="1" applyBorder="1" applyAlignment="1">
      <alignment horizontal="center" vertical="center" wrapText="1"/>
    </xf>
    <xf numFmtId="10" fontId="8" fillId="0" borderId="5" xfId="22" applyNumberFormat="1" applyFont="1" applyBorder="1" applyAlignment="1">
      <alignment horizontal="center" vertical="center" wrapText="1"/>
    </xf>
    <xf numFmtId="10" fontId="8" fillId="9" borderId="6" xfId="22" applyNumberFormat="1" applyFont="1" applyFill="1" applyBorder="1" applyAlignment="1">
      <alignment horizontal="center" vertical="center" wrapText="1"/>
    </xf>
    <xf numFmtId="0" fontId="8" fillId="0" borderId="58" xfId="22" applyFont="1" applyBorder="1" applyAlignment="1">
      <alignment horizontal="left" vertical="center" wrapText="1"/>
    </xf>
    <xf numFmtId="0" fontId="8" fillId="0" borderId="18" xfId="22" applyFont="1" applyBorder="1" applyAlignment="1">
      <alignment horizontal="left" vertical="center" wrapText="1"/>
    </xf>
    <xf numFmtId="9" fontId="9" fillId="9" borderId="3" xfId="22" applyNumberFormat="1" applyFont="1" applyFill="1" applyBorder="1" applyAlignment="1">
      <alignment horizontal="center" vertical="center" wrapText="1"/>
    </xf>
    <xf numFmtId="0" fontId="9" fillId="9" borderId="19" xfId="22" applyFont="1" applyFill="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9" borderId="29" xfId="30" applyFont="1" applyFill="1" applyBorder="1" applyAlignment="1" applyProtection="1">
      <alignment horizontal="justify" vertical="top" wrapText="1"/>
    </xf>
    <xf numFmtId="9" fontId="8" fillId="9" borderId="7" xfId="30" applyFont="1" applyFill="1" applyBorder="1" applyAlignment="1" applyProtection="1">
      <alignment horizontal="justify" vertical="top" wrapText="1"/>
    </xf>
    <xf numFmtId="9" fontId="8" fillId="9" borderId="8" xfId="30" applyFont="1" applyFill="1" applyBorder="1" applyAlignment="1" applyProtection="1">
      <alignment horizontal="justify" vertical="top" wrapText="1"/>
    </xf>
    <xf numFmtId="9" fontId="8" fillId="9" borderId="44" xfId="30" applyFont="1" applyFill="1" applyBorder="1" applyAlignment="1" applyProtection="1">
      <alignment horizontal="justify" vertical="top" wrapText="1"/>
    </xf>
    <xf numFmtId="9" fontId="8" fillId="9" borderId="45" xfId="30" applyFont="1" applyFill="1" applyBorder="1" applyAlignment="1" applyProtection="1">
      <alignment horizontal="justify" vertical="top" wrapText="1"/>
    </xf>
    <xf numFmtId="9" fontId="8" fillId="9" borderId="46" xfId="30" applyFont="1" applyFill="1" applyBorder="1" applyAlignment="1" applyProtection="1">
      <alignment horizontal="justify" vertical="top" wrapText="1"/>
    </xf>
    <xf numFmtId="9" fontId="8" fillId="9" borderId="35" xfId="30" applyFont="1" applyFill="1" applyBorder="1" applyAlignment="1" applyProtection="1">
      <alignment horizontal="justify" vertical="top" wrapText="1"/>
    </xf>
    <xf numFmtId="9" fontId="8" fillId="9" borderId="36" xfId="30" applyFont="1" applyFill="1" applyBorder="1" applyAlignment="1" applyProtection="1">
      <alignment horizontal="justify" vertical="top" wrapText="1"/>
    </xf>
    <xf numFmtId="9" fontId="8" fillId="9" borderId="37" xfId="30" applyFont="1" applyFill="1" applyBorder="1" applyAlignment="1" applyProtection="1">
      <alignment horizontal="justify" vertical="top" wrapText="1"/>
    </xf>
    <xf numFmtId="9" fontId="8" fillId="9" borderId="47" xfId="30" applyFont="1" applyFill="1" applyBorder="1" applyAlignment="1" applyProtection="1">
      <alignment horizontal="justify" vertical="top" wrapText="1"/>
    </xf>
    <xf numFmtId="9" fontId="8" fillId="9" borderId="48" xfId="30" applyFont="1" applyFill="1" applyBorder="1" applyAlignment="1" applyProtection="1">
      <alignment horizontal="justify" vertical="top"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 xfId="22" applyFont="1" applyFill="1" applyBorder="1" applyAlignment="1">
      <alignment horizontal="center" vertical="center" wrapText="1"/>
    </xf>
    <xf numFmtId="0" fontId="9" fillId="13" borderId="70"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42" fillId="0" borderId="53" xfId="0" applyFont="1" applyBorder="1" applyAlignment="1">
      <alignment horizontal="center" vertical="center" wrapText="1"/>
    </xf>
    <xf numFmtId="0" fontId="42" fillId="0" borderId="54" xfId="0" applyFont="1" applyBorder="1" applyAlignment="1">
      <alignment horizontal="center" vertical="center" wrapText="1"/>
    </xf>
    <xf numFmtId="0" fontId="25" fillId="0" borderId="53" xfId="0" applyFont="1" applyBorder="1" applyAlignment="1">
      <alignment horizontal="center" vertical="center"/>
    </xf>
    <xf numFmtId="0" fontId="25" fillId="0" borderId="54" xfId="0" applyFont="1" applyBorder="1" applyAlignment="1">
      <alignment horizontal="center" vertical="center"/>
    </xf>
    <xf numFmtId="14" fontId="42" fillId="0" borderId="35" xfId="0" applyNumberFormat="1" applyFont="1" applyBorder="1" applyAlignment="1">
      <alignment horizontal="center" vertical="center"/>
    </xf>
    <xf numFmtId="0" fontId="42" fillId="0" borderId="37"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47" xfId="0" applyFont="1" applyBorder="1" applyAlignment="1">
      <alignment horizontal="center" vertical="center"/>
    </xf>
    <xf numFmtId="0" fontId="42"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41" fillId="0" borderId="55" xfId="0" applyFont="1" applyBorder="1" applyAlignment="1">
      <alignment horizontal="center" vertical="center"/>
    </xf>
    <xf numFmtId="0" fontId="41" fillId="0" borderId="56" xfId="0" applyFont="1" applyBorder="1" applyAlignment="1">
      <alignment horizontal="center" vertical="center"/>
    </xf>
    <xf numFmtId="0" fontId="41" fillId="0" borderId="57" xfId="0" applyFont="1" applyBorder="1" applyAlignment="1">
      <alignment horizontal="center" vertical="center"/>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9" fontId="47" fillId="0" borderId="80" xfId="0" applyNumberFormat="1" applyFont="1" applyBorder="1" applyAlignment="1">
      <alignment horizontal="center" vertical="center" wrapText="1"/>
    </xf>
    <xf numFmtId="9" fontId="47" fillId="0" borderId="76" xfId="0" applyNumberFormat="1" applyFont="1" applyBorder="1" applyAlignment="1">
      <alignment horizontal="center" vertical="center" wrapText="1"/>
    </xf>
    <xf numFmtId="0" fontId="40" fillId="9" borderId="29" xfId="34" applyNumberFormat="1" applyFill="1" applyBorder="1" applyAlignment="1">
      <alignment horizontal="center" vertical="center" wrapText="1"/>
    </xf>
    <xf numFmtId="0" fontId="31" fillId="9" borderId="7" xfId="22" applyFont="1" applyFill="1" applyBorder="1" applyAlignment="1">
      <alignment horizontal="center" vertical="center" wrapText="1"/>
    </xf>
    <xf numFmtId="0" fontId="31" fillId="9" borderId="59" xfId="22" applyFont="1" applyFill="1" applyBorder="1" applyAlignment="1">
      <alignment horizontal="center" vertical="center" wrapText="1"/>
    </xf>
    <xf numFmtId="0" fontId="31" fillId="9" borderId="15" xfId="22" applyFont="1" applyFill="1" applyBorder="1" applyAlignment="1">
      <alignment horizontal="center" vertical="center" wrapText="1"/>
    </xf>
    <xf numFmtId="0" fontId="31" fillId="9" borderId="10" xfId="22" applyFont="1" applyFill="1" applyBorder="1" applyAlignment="1">
      <alignment horizontal="center" vertical="center" wrapText="1"/>
    </xf>
    <xf numFmtId="0" fontId="31" fillId="9" borderId="60" xfId="22" applyFont="1" applyFill="1" applyBorder="1" applyAlignment="1">
      <alignment horizontal="center" vertical="center" wrapText="1"/>
    </xf>
    <xf numFmtId="9" fontId="8" fillId="9" borderId="29" xfId="22" applyNumberFormat="1" applyFont="1" applyFill="1" applyBorder="1" applyAlignment="1">
      <alignment horizontal="center" vertical="center" wrapText="1"/>
    </xf>
    <xf numFmtId="10" fontId="8" fillId="0" borderId="3" xfId="22" applyNumberFormat="1" applyFont="1" applyBorder="1" applyAlignment="1">
      <alignment horizontal="center" vertical="center" wrapText="1"/>
    </xf>
    <xf numFmtId="10" fontId="8" fillId="0" borderId="4" xfId="22" applyNumberFormat="1" applyFont="1" applyBorder="1" applyAlignment="1">
      <alignment horizontal="center" vertical="center" wrapText="1"/>
    </xf>
    <xf numFmtId="2" fontId="8" fillId="9" borderId="23" xfId="22" applyNumberFormat="1" applyFont="1" applyFill="1" applyBorder="1" applyAlignment="1">
      <alignment horizontal="justify" vertical="center" wrapText="1"/>
    </xf>
    <xf numFmtId="9" fontId="8" fillId="9" borderId="29" xfId="22" applyNumberFormat="1" applyFont="1" applyFill="1" applyBorder="1" applyAlignment="1">
      <alignment horizontal="left" vertical="center" wrapText="1"/>
    </xf>
    <xf numFmtId="9" fontId="8" fillId="9" borderId="7" xfId="22" applyNumberFormat="1" applyFont="1" applyFill="1" applyBorder="1" applyAlignment="1">
      <alignment horizontal="left" vertical="center" wrapText="1"/>
    </xf>
    <xf numFmtId="9" fontId="8" fillId="9" borderId="8" xfId="22" applyNumberFormat="1" applyFont="1" applyFill="1" applyBorder="1" applyAlignment="1">
      <alignment horizontal="left" vertical="center" wrapText="1"/>
    </xf>
    <xf numFmtId="9" fontId="8" fillId="9" borderId="15" xfId="22" applyNumberFormat="1" applyFont="1" applyFill="1" applyBorder="1" applyAlignment="1">
      <alignment horizontal="left" vertical="center" wrapText="1"/>
    </xf>
    <xf numFmtId="9" fontId="8" fillId="9" borderId="10" xfId="22" applyNumberFormat="1" applyFont="1" applyFill="1" applyBorder="1" applyAlignment="1">
      <alignment horizontal="left" vertical="center" wrapText="1"/>
    </xf>
    <xf numFmtId="9" fontId="8" fillId="9" borderId="11" xfId="22" applyNumberFormat="1" applyFont="1" applyFill="1" applyBorder="1" applyAlignment="1">
      <alignment horizontal="left" vertical="center" wrapText="1"/>
    </xf>
    <xf numFmtId="2" fontId="8" fillId="9" borderId="58" xfId="22" applyNumberFormat="1" applyFont="1" applyFill="1" applyBorder="1" applyAlignment="1">
      <alignment horizontal="justify" vertical="center" wrapText="1"/>
    </xf>
    <xf numFmtId="2" fontId="8" fillId="9" borderId="14" xfId="22" applyNumberFormat="1" applyFont="1" applyFill="1" applyBorder="1" applyAlignment="1">
      <alignment horizontal="justify" vertical="center" wrapText="1"/>
    </xf>
    <xf numFmtId="9" fontId="31" fillId="9" borderId="7" xfId="22" applyNumberFormat="1" applyFont="1" applyFill="1" applyBorder="1" applyAlignment="1">
      <alignment horizontal="left" vertical="center" wrapText="1"/>
    </xf>
    <xf numFmtId="9" fontId="31" fillId="9" borderId="8" xfId="22" applyNumberFormat="1" applyFont="1" applyFill="1" applyBorder="1" applyAlignment="1">
      <alignment horizontal="left" vertical="center" wrapText="1"/>
    </xf>
    <xf numFmtId="9" fontId="31" fillId="9" borderId="15" xfId="22" applyNumberFormat="1" applyFont="1" applyFill="1" applyBorder="1" applyAlignment="1">
      <alignment horizontal="left" vertical="center" wrapText="1"/>
    </xf>
    <xf numFmtId="9" fontId="31" fillId="9" borderId="10" xfId="22" applyNumberFormat="1" applyFont="1" applyFill="1" applyBorder="1" applyAlignment="1">
      <alignment horizontal="left" vertical="center" wrapText="1"/>
    </xf>
    <xf numFmtId="9" fontId="31" fillId="9" borderId="11" xfId="22" applyNumberFormat="1" applyFont="1" applyFill="1" applyBorder="1" applyAlignment="1">
      <alignment horizontal="left" vertical="center" wrapText="1"/>
    </xf>
    <xf numFmtId="9" fontId="8" fillId="9" borderId="3" xfId="22" applyNumberFormat="1" applyFont="1" applyFill="1" applyBorder="1" applyAlignment="1">
      <alignment horizontal="center" vertical="center" wrapText="1"/>
    </xf>
    <xf numFmtId="0" fontId="8" fillId="9" borderId="19" xfId="22" applyFont="1" applyFill="1" applyBorder="1" applyAlignment="1">
      <alignment horizontal="center" vertical="center" wrapText="1"/>
    </xf>
    <xf numFmtId="9" fontId="8" fillId="9" borderId="29" xfId="30" applyFont="1" applyFill="1" applyBorder="1" applyAlignment="1" applyProtection="1">
      <alignment horizontal="left" vertical="top" wrapText="1"/>
    </xf>
    <xf numFmtId="9" fontId="8" fillId="9" borderId="7" xfId="30" applyFont="1" applyFill="1" applyBorder="1" applyAlignment="1" applyProtection="1">
      <alignment horizontal="left" vertical="top" wrapText="1"/>
    </xf>
    <xf numFmtId="9" fontId="8" fillId="9" borderId="8" xfId="30" applyFont="1" applyFill="1" applyBorder="1" applyAlignment="1" applyProtection="1">
      <alignment horizontal="left" vertical="top" wrapText="1"/>
    </xf>
    <xf numFmtId="9" fontId="8" fillId="9" borderId="44" xfId="30" applyFont="1" applyFill="1" applyBorder="1" applyAlignment="1" applyProtection="1">
      <alignment horizontal="left" vertical="top" wrapText="1"/>
    </xf>
    <xf numFmtId="9" fontId="8" fillId="9" borderId="45" xfId="30" applyFont="1" applyFill="1" applyBorder="1" applyAlignment="1" applyProtection="1">
      <alignment horizontal="left" vertical="top" wrapText="1"/>
    </xf>
    <xf numFmtId="9" fontId="8" fillId="9" borderId="46" xfId="30" applyFont="1" applyFill="1" applyBorder="1" applyAlignment="1" applyProtection="1">
      <alignment horizontal="left" vertical="top" wrapText="1"/>
    </xf>
    <xf numFmtId="9" fontId="8" fillId="9" borderId="6" xfId="30" applyFont="1" applyFill="1" applyBorder="1" applyAlignment="1" applyProtection="1">
      <alignment vertical="top" wrapText="1"/>
    </xf>
    <xf numFmtId="9" fontId="8" fillId="9" borderId="5" xfId="30" applyFont="1" applyFill="1" applyBorder="1" applyAlignment="1" applyProtection="1">
      <alignment vertical="top" wrapText="1"/>
    </xf>
    <xf numFmtId="9" fontId="8" fillId="9" borderId="16" xfId="30" applyFont="1" applyFill="1" applyBorder="1" applyAlignment="1" applyProtection="1">
      <alignment vertical="top" wrapText="1"/>
    </xf>
    <xf numFmtId="9" fontId="8" fillId="9" borderId="28" xfId="30" applyFont="1" applyFill="1" applyBorder="1" applyAlignment="1" applyProtection="1">
      <alignment vertical="top" wrapText="1"/>
    </xf>
    <xf numFmtId="9" fontId="8" fillId="0" borderId="6" xfId="22" applyNumberFormat="1" applyFont="1" applyBorder="1" applyAlignment="1">
      <alignment horizontal="center" vertical="center" wrapText="1"/>
    </xf>
    <xf numFmtId="9" fontId="8" fillId="9" borderId="29" xfId="22" applyNumberFormat="1" applyFont="1" applyFill="1" applyBorder="1" applyAlignment="1">
      <alignment horizontal="left" vertical="top" wrapText="1"/>
    </xf>
    <xf numFmtId="9" fontId="8" fillId="9" borderId="7" xfId="22" applyNumberFormat="1" applyFont="1" applyFill="1" applyBorder="1" applyAlignment="1">
      <alignment horizontal="left" vertical="top" wrapText="1"/>
    </xf>
    <xf numFmtId="9" fontId="8" fillId="9" borderId="8" xfId="22" applyNumberFormat="1" applyFont="1" applyFill="1" applyBorder="1" applyAlignment="1">
      <alignment horizontal="left" vertical="top" wrapText="1"/>
    </xf>
    <xf numFmtId="9" fontId="8" fillId="9" borderId="15" xfId="22" applyNumberFormat="1" applyFont="1" applyFill="1" applyBorder="1" applyAlignment="1">
      <alignment horizontal="left" vertical="top" wrapText="1"/>
    </xf>
    <xf numFmtId="9" fontId="8" fillId="9" borderId="10" xfId="22" applyNumberFormat="1" applyFont="1" applyFill="1" applyBorder="1" applyAlignment="1">
      <alignment horizontal="left" vertical="top" wrapText="1"/>
    </xf>
    <xf numFmtId="9" fontId="8" fillId="9" borderId="11" xfId="22" applyNumberFormat="1" applyFont="1" applyFill="1" applyBorder="1" applyAlignment="1">
      <alignment horizontal="left" vertical="top" wrapText="1"/>
    </xf>
    <xf numFmtId="0" fontId="8" fillId="9" borderId="23" xfId="0" applyFont="1" applyFill="1" applyBorder="1" applyAlignment="1">
      <alignment horizontal="justify" vertical="center" wrapText="1"/>
    </xf>
    <xf numFmtId="9" fontId="8" fillId="0" borderId="5" xfId="22" applyNumberFormat="1" applyFont="1" applyBorder="1" applyAlignment="1">
      <alignment horizontal="center" vertical="center" wrapText="1"/>
    </xf>
    <xf numFmtId="9" fontId="8" fillId="9" borderId="6" xfId="30" applyFont="1" applyFill="1" applyBorder="1" applyAlignment="1" applyProtection="1">
      <alignment horizontal="left" vertical="top" wrapText="1"/>
    </xf>
    <xf numFmtId="9" fontId="8" fillId="9" borderId="16" xfId="30" applyFont="1" applyFill="1" applyBorder="1" applyAlignment="1" applyProtection="1">
      <alignment horizontal="left" vertical="top" wrapText="1"/>
    </xf>
    <xf numFmtId="9" fontId="8" fillId="9" borderId="5" xfId="30" applyFont="1" applyFill="1" applyBorder="1" applyAlignment="1" applyProtection="1">
      <alignment horizontal="left" vertical="top" wrapText="1"/>
    </xf>
    <xf numFmtId="9" fontId="8" fillId="9" borderId="28" xfId="30" applyFont="1" applyFill="1" applyBorder="1" applyAlignment="1" applyProtection="1">
      <alignment horizontal="left" vertical="top" wrapText="1"/>
    </xf>
    <xf numFmtId="2" fontId="8" fillId="9" borderId="69" xfId="22" applyNumberFormat="1" applyFont="1" applyFill="1" applyBorder="1" applyAlignment="1">
      <alignment horizontal="justify" vertical="center" wrapText="1"/>
    </xf>
    <xf numFmtId="2" fontId="8" fillId="9" borderId="18" xfId="22" applyNumberFormat="1" applyFont="1" applyFill="1" applyBorder="1" applyAlignment="1">
      <alignment horizontal="justify" vertical="center" wrapText="1"/>
    </xf>
    <xf numFmtId="2" fontId="8" fillId="0" borderId="6" xfId="22" applyNumberFormat="1" applyFont="1" applyBorder="1" applyAlignment="1">
      <alignment horizontal="center" vertical="center" wrapText="1"/>
    </xf>
    <xf numFmtId="9" fontId="8" fillId="9" borderId="59" xfId="30" applyFont="1" applyFill="1" applyBorder="1" applyAlignment="1" applyProtection="1">
      <alignment horizontal="left" vertical="top" wrapText="1"/>
    </xf>
    <xf numFmtId="9" fontId="8" fillId="9" borderId="48" xfId="30" applyFont="1" applyFill="1" applyBorder="1" applyAlignment="1" applyProtection="1">
      <alignment horizontal="left" vertical="top" wrapText="1"/>
    </xf>
    <xf numFmtId="0" fontId="8" fillId="0" borderId="3" xfId="22" applyFont="1" applyBorder="1" applyAlignment="1">
      <alignment horizontal="center" vertical="center" wrapText="1"/>
    </xf>
    <xf numFmtId="0" fontId="8" fillId="0" borderId="19" xfId="22" applyFont="1" applyBorder="1" applyAlignment="1">
      <alignment horizontal="center" vertical="center" wrapText="1"/>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9" fontId="8" fillId="0" borderId="3" xfId="22" applyNumberFormat="1" applyFont="1" applyBorder="1" applyAlignment="1">
      <alignment horizontal="center" vertical="center" wrapText="1"/>
    </xf>
    <xf numFmtId="9" fontId="8" fillId="0" borderId="29" xfId="30" applyFont="1" applyFill="1" applyBorder="1" applyAlignment="1" applyProtection="1">
      <alignment horizontal="justify" vertical="top" wrapText="1"/>
    </xf>
    <xf numFmtId="9" fontId="8" fillId="0" borderId="7" xfId="30" applyFont="1" applyFill="1" applyBorder="1" applyAlignment="1" applyProtection="1">
      <alignment horizontal="justify" vertical="top" wrapText="1"/>
    </xf>
    <xf numFmtId="9" fontId="8" fillId="0" borderId="8" xfId="30" applyFont="1" applyFill="1" applyBorder="1" applyAlignment="1" applyProtection="1">
      <alignment horizontal="justify" vertical="top" wrapText="1"/>
    </xf>
    <xf numFmtId="9" fontId="8" fillId="0" borderId="44" xfId="30" applyFont="1" applyFill="1" applyBorder="1" applyAlignment="1" applyProtection="1">
      <alignment horizontal="justify" vertical="top" wrapText="1"/>
    </xf>
    <xf numFmtId="9" fontId="8" fillId="0" borderId="45" xfId="30" applyFont="1" applyFill="1" applyBorder="1" applyAlignment="1" applyProtection="1">
      <alignment horizontal="justify" vertical="top" wrapText="1"/>
    </xf>
    <xf numFmtId="9" fontId="8" fillId="0" borderId="46" xfId="30" applyFont="1" applyFill="1" applyBorder="1" applyAlignment="1" applyProtection="1">
      <alignment horizontal="justify" vertical="top" wrapText="1"/>
    </xf>
    <xf numFmtId="9" fontId="8" fillId="0" borderId="29" xfId="22" applyNumberFormat="1" applyFont="1" applyBorder="1" applyAlignment="1">
      <alignment horizontal="justify" vertical="center" wrapText="1"/>
    </xf>
    <xf numFmtId="9" fontId="8" fillId="0" borderId="7" xfId="22" applyNumberFormat="1" applyFont="1" applyBorder="1" applyAlignment="1">
      <alignment horizontal="justify" vertical="center" wrapText="1"/>
    </xf>
    <xf numFmtId="9" fontId="8" fillId="0" borderId="8" xfId="22" applyNumberFormat="1" applyFont="1" applyBorder="1" applyAlignment="1">
      <alignment horizontal="justify" vertical="center" wrapText="1"/>
    </xf>
    <xf numFmtId="9" fontId="8" fillId="0" borderId="15" xfId="22" applyNumberFormat="1" applyFont="1" applyBorder="1" applyAlignment="1">
      <alignment horizontal="justify" vertical="center" wrapText="1"/>
    </xf>
    <xf numFmtId="9" fontId="8" fillId="0" borderId="10" xfId="22" applyNumberFormat="1" applyFont="1" applyBorder="1" applyAlignment="1">
      <alignment horizontal="justify" vertical="center" wrapText="1"/>
    </xf>
    <xf numFmtId="9" fontId="8" fillId="0" borderId="11" xfId="22" applyNumberFormat="1" applyFont="1" applyBorder="1" applyAlignment="1">
      <alignment horizontal="justify" vertical="center" wrapText="1"/>
    </xf>
    <xf numFmtId="9" fontId="8" fillId="0" borderId="6" xfId="30" applyFont="1" applyFill="1" applyBorder="1" applyAlignment="1" applyProtection="1">
      <alignment horizontal="justify" vertical="top" wrapText="1"/>
    </xf>
    <xf numFmtId="9" fontId="8" fillId="0" borderId="5" xfId="30" applyFont="1" applyFill="1" applyBorder="1" applyAlignment="1" applyProtection="1">
      <alignment horizontal="justify" vertical="top" wrapText="1"/>
    </xf>
    <xf numFmtId="9" fontId="40"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9" fontId="8" fillId="0" borderId="16" xfId="30" applyFont="1" applyFill="1" applyBorder="1" applyAlignment="1" applyProtection="1">
      <alignment horizontal="justify" vertical="top" wrapText="1"/>
    </xf>
    <xf numFmtId="9" fontId="8" fillId="0" borderId="28" xfId="30" applyFont="1" applyFill="1" applyBorder="1" applyAlignment="1" applyProtection="1">
      <alignment horizontal="justify" vertical="top" wrapText="1"/>
    </xf>
    <xf numFmtId="2" fontId="39" fillId="9" borderId="13" xfId="22" applyNumberFormat="1" applyFont="1" applyFill="1" applyBorder="1" applyAlignment="1">
      <alignment horizontal="justify" vertical="center" wrapText="1"/>
    </xf>
    <xf numFmtId="2" fontId="39" fillId="9" borderId="23" xfId="22" applyNumberFormat="1" applyFont="1" applyFill="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19" borderId="3" xfId="0" applyFont="1" applyFill="1" applyBorder="1" applyAlignment="1">
      <alignment horizontal="center" vertical="center" wrapText="1"/>
    </xf>
    <xf numFmtId="0" fontId="8" fillId="19" borderId="4" xfId="0" applyFont="1" applyFill="1" applyBorder="1" applyAlignment="1">
      <alignment horizontal="center" vertical="center" wrapText="1"/>
    </xf>
    <xf numFmtId="2" fontId="39" fillId="0" borderId="13" xfId="22" applyNumberFormat="1" applyFont="1" applyBorder="1" applyAlignment="1">
      <alignment horizontal="justify" vertical="center" wrapText="1"/>
    </xf>
    <xf numFmtId="0" fontId="8" fillId="9" borderId="29" xfId="22" applyFont="1" applyFill="1" applyBorder="1" applyAlignment="1">
      <alignment horizontal="left" vertical="center" wrapText="1"/>
    </xf>
    <xf numFmtId="0" fontId="8" fillId="9" borderId="7" xfId="22" applyFont="1" applyFill="1" applyBorder="1" applyAlignment="1">
      <alignment horizontal="left" vertical="center" wrapText="1"/>
    </xf>
    <xf numFmtId="0" fontId="8" fillId="9" borderId="8" xfId="22" applyFont="1" applyFill="1" applyBorder="1" applyAlignment="1">
      <alignment horizontal="left" vertical="center" wrapText="1"/>
    </xf>
    <xf numFmtId="0" fontId="8" fillId="9" borderId="15" xfId="22" applyFont="1" applyFill="1" applyBorder="1" applyAlignment="1">
      <alignment horizontal="left" vertical="center" wrapText="1"/>
    </xf>
    <xf numFmtId="0" fontId="8" fillId="9" borderId="10" xfId="22" applyFont="1" applyFill="1" applyBorder="1" applyAlignment="1">
      <alignment horizontal="left" vertical="center" wrapText="1"/>
    </xf>
    <xf numFmtId="0" fontId="8" fillId="9" borderId="11" xfId="22" applyFont="1" applyFill="1" applyBorder="1" applyAlignment="1">
      <alignment horizontal="left" vertical="center" wrapText="1"/>
    </xf>
    <xf numFmtId="0" fontId="40" fillId="9" borderId="29" xfId="34" applyFill="1" applyBorder="1" applyAlignment="1">
      <alignment horizontal="center" vertical="center" wrapText="1"/>
    </xf>
    <xf numFmtId="0" fontId="40" fillId="9" borderId="7" xfId="34" applyFill="1" applyBorder="1" applyAlignment="1">
      <alignment horizontal="center" vertical="center" wrapText="1"/>
    </xf>
    <xf numFmtId="0" fontId="40" fillId="9" borderId="59" xfId="34" applyFill="1" applyBorder="1" applyAlignment="1">
      <alignment horizontal="center" vertical="center" wrapText="1"/>
    </xf>
    <xf numFmtId="0" fontId="40" fillId="9" borderId="15" xfId="34" applyFill="1" applyBorder="1" applyAlignment="1">
      <alignment horizontal="center" vertical="center" wrapText="1"/>
    </xf>
    <xf numFmtId="0" fontId="40" fillId="9" borderId="10" xfId="34" applyFill="1" applyBorder="1" applyAlignment="1">
      <alignment horizontal="center" vertical="center" wrapText="1"/>
    </xf>
    <xf numFmtId="0" fontId="40" fillId="9" borderId="60" xfId="34" applyFill="1" applyBorder="1" applyAlignment="1">
      <alignment horizontal="center" vertical="center" wrapText="1"/>
    </xf>
    <xf numFmtId="3" fontId="8" fillId="0" borderId="3" xfId="22" applyNumberFormat="1" applyFont="1" applyBorder="1" applyAlignment="1">
      <alignment horizontal="center" vertical="center" wrapText="1"/>
    </xf>
    <xf numFmtId="3" fontId="8" fillId="0" borderId="19" xfId="22" applyNumberFormat="1" applyFont="1" applyBorder="1" applyAlignment="1">
      <alignment horizontal="center" vertical="center" wrapText="1"/>
    </xf>
    <xf numFmtId="2" fontId="8" fillId="0" borderId="13" xfId="22" applyNumberFormat="1" applyFont="1" applyBorder="1" applyAlignment="1">
      <alignment horizontal="justify" vertical="center" wrapText="1"/>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2" fillId="0" borderId="6" xfId="0" applyFont="1" applyBorder="1" applyAlignment="1">
      <alignment horizontal="center" vertical="center" wrapText="1"/>
    </xf>
    <xf numFmtId="0" fontId="43" fillId="9" borderId="6" xfId="22" applyFont="1" applyFill="1" applyBorder="1" applyAlignment="1">
      <alignment horizontal="left"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10" borderId="12"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2" borderId="6" xfId="22" applyFont="1" applyFill="1" applyBorder="1" applyAlignment="1">
      <alignment horizontal="center" vertical="center" wrapText="1"/>
    </xf>
    <xf numFmtId="0" fontId="43" fillId="12" borderId="6" xfId="22" applyFont="1" applyFill="1" applyBorder="1" applyAlignment="1">
      <alignment horizontal="center" vertical="center" wrapText="1"/>
    </xf>
    <xf numFmtId="0" fontId="32" fillId="10" borderId="6" xfId="0" applyFont="1" applyFill="1" applyBorder="1" applyAlignment="1">
      <alignment horizontal="center" vertical="center" wrapText="1"/>
    </xf>
    <xf numFmtId="172" fontId="32" fillId="10" borderId="3" xfId="10" applyNumberFormat="1" applyFont="1" applyFill="1" applyBorder="1" applyAlignment="1">
      <alignment horizontal="center" vertical="center" wrapText="1"/>
    </xf>
    <xf numFmtId="172" fontId="32" fillId="10" borderId="4" xfId="10" applyNumberFormat="1" applyFont="1" applyFill="1" applyBorder="1" applyAlignment="1">
      <alignment horizontal="center" vertical="center" wrapText="1"/>
    </xf>
    <xf numFmtId="0" fontId="32" fillId="10" borderId="38" xfId="0" applyFont="1" applyFill="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2" fillId="0" borderId="6" xfId="0" applyFont="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0" fontId="0" fillId="0" borderId="6"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38" xfId="0" applyBorder="1" applyAlignment="1">
      <alignment horizontal="left" vertical="top" wrapText="1"/>
    </xf>
    <xf numFmtId="0" fontId="0" fillId="0" borderId="52" xfId="0" applyBorder="1" applyAlignment="1">
      <alignment horizontal="left" vertical="top"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8" fillId="9" borderId="6" xfId="0" applyFont="1" applyFill="1" applyBorder="1" applyAlignment="1">
      <alignment vertical="center" wrapText="1"/>
    </xf>
    <xf numFmtId="0" fontId="40" fillId="9" borderId="0" xfId="34" applyFill="1" applyAlignment="1">
      <alignment vertical="center"/>
    </xf>
    <xf numFmtId="9" fontId="30" fillId="9" borderId="6" xfId="28" applyFont="1" applyFill="1" applyBorder="1" applyAlignment="1">
      <alignment horizontal="justify" vertical="center" wrapText="1"/>
    </xf>
    <xf numFmtId="9" fontId="40" fillId="9" borderId="6" xfId="34" applyNumberFormat="1" applyFill="1" applyBorder="1" applyAlignment="1">
      <alignment horizontal="justify" vertical="center" wrapText="1"/>
    </xf>
    <xf numFmtId="0" fontId="50" fillId="19" borderId="6" xfId="0" applyFont="1" applyFill="1" applyBorder="1" applyAlignment="1">
      <alignment horizontal="justify" vertical="center" wrapText="1"/>
    </xf>
    <xf numFmtId="0" fontId="34" fillId="19" borderId="0" xfId="0" applyFont="1" applyFill="1" applyAlignment="1">
      <alignment horizontal="justify" vertical="center" wrapText="1"/>
    </xf>
    <xf numFmtId="0" fontId="34" fillId="19" borderId="6" xfId="0" applyFont="1" applyFill="1" applyBorder="1" applyAlignment="1">
      <alignment horizontal="justify" vertical="center" wrapText="1"/>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Hyperlink" xfId="35" xr:uid="{00000000-0005-0000-0000-00000A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11000000}"/>
    <cellStyle name="Moneda 2" xfId="17" xr:uid="{00000000-0005-0000-0000-000012000000}"/>
    <cellStyle name="Moneda 2 2" xfId="18" xr:uid="{00000000-0005-0000-0000-000013000000}"/>
    <cellStyle name="Moneda 23" xfId="19" xr:uid="{00000000-0005-0000-0000-000014000000}"/>
    <cellStyle name="Moneda 3" xfId="20" xr:uid="{00000000-0005-0000-0000-000015000000}"/>
    <cellStyle name="Neutral 2" xfId="21" xr:uid="{00000000-0005-0000-0000-000016000000}"/>
    <cellStyle name="Normal" xfId="0" builtinId="0"/>
    <cellStyle name="Normal 2" xfId="22" xr:uid="{00000000-0005-0000-0000-000018000000}"/>
    <cellStyle name="Normal 2 2" xfId="23" xr:uid="{00000000-0005-0000-0000-000019000000}"/>
    <cellStyle name="Normal 2 3" xfId="24" xr:uid="{00000000-0005-0000-0000-00001A000000}"/>
    <cellStyle name="Normal 3" xfId="25" xr:uid="{00000000-0005-0000-0000-00001B000000}"/>
    <cellStyle name="Normal 3 2" xfId="26" xr:uid="{00000000-0005-0000-0000-00001C000000}"/>
    <cellStyle name="Normal 6 2" xfId="27" xr:uid="{00000000-0005-0000-0000-00001D000000}"/>
    <cellStyle name="Porcentaje" xfId="28" builtinId="5"/>
    <cellStyle name="Porcentaje 2" xfId="29" xr:uid="{00000000-0005-0000-0000-00001F000000}"/>
    <cellStyle name="Porcentual 2" xfId="30" xr:uid="{00000000-0005-0000-0000-000020000000}"/>
    <cellStyle name="Texto de inicio" xfId="31" xr:uid="{00000000-0005-0000-0000-000021000000}"/>
    <cellStyle name="Texto de la columna A" xfId="32" xr:uid="{00000000-0005-0000-0000-000022000000}"/>
    <cellStyle name="Título 4" xfId="33" xr:uid="{00000000-0005-0000-0000-00002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FB2B046-3437-414F-A440-2C316AE04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93A6BB3-8BF6-486E-A0C5-033E9E0AE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49EF60F9-6753-4305-9CF0-8BDB6BBCC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0F3CBCF-CA56-4EFE-9BEE-42BB4E6F8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94BE499C-96BF-449A-A67B-DA6821215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730250</xdr:colOff>
      <xdr:row>0</xdr:row>
      <xdr:rowOff>133350</xdr:rowOff>
    </xdr:from>
    <xdr:to>
      <xdr:col>0</xdr:col>
      <xdr:colOff>1901825</xdr:colOff>
      <xdr:row>3</xdr:row>
      <xdr:rowOff>190500</xdr:rowOff>
    </xdr:to>
    <xdr:pic>
      <xdr:nvPicPr>
        <xdr:cNvPr id="2" name="Picture 47">
          <a:extLst>
            <a:ext uri="{FF2B5EF4-FFF2-40B4-BE49-F238E27FC236}">
              <a16:creationId xmlns:a16="http://schemas.microsoft.com/office/drawing/2014/main" id="{771CF7EA-0296-4D64-9335-9F7075A4A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133350"/>
          <a:ext cx="1171575" cy="11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ecretariadistritald.sharepoint.com/:f:/s/Instrumentosplaneacin2021/EvPFvxZCPbVIiTSmEurBzIwBCHN1C3mAzK2zT2tRQG05mg?e=p0cCtb" TargetMode="External"/><Relationship Id="rId7" Type="http://schemas.openxmlformats.org/officeDocument/2006/relationships/vmlDrawing" Target="../drawings/vmlDrawing1.vml"/><Relationship Id="rId2" Type="http://schemas.openxmlformats.org/officeDocument/2006/relationships/hyperlink" Target="https://secretariadistritald.sharepoint.com/:f:/s/Instrumentosplaneacin2021/EjUTVwL7VGZHmi_pExXM8IcBYhFdVLZaWY3S1Z1WOLra1g?e=cFqQJr" TargetMode="External"/><Relationship Id="rId1" Type="http://schemas.openxmlformats.org/officeDocument/2006/relationships/hyperlink" Target="https://secretariadistritald.sharepoint.com/:f:/s/Instrumentosplaneacin2021/EjNi3cgXArpHs80aZOEuD3ABa27Ahmh2M1VmqoGPWCuZNw?e=oieEt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cretariadistritald.sharepoint.com/:f:/s/Instrumentosplaneacin2021/Esf9ngLjK-JAsMNN_fFtDcoBp3VYqBdaJQrkCBWwhYrdhQ?e=4k7sf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secretariadistritald.sharepoint.com/:f:/s/Instrumentosplaneacin2021/Eh_rcRLzLGtDkGEiuclMA64BEHEpjoJ3Z3kd2lr4A5O08w?e=WDWbPu" TargetMode="External"/><Relationship Id="rId3" Type="http://schemas.openxmlformats.org/officeDocument/2006/relationships/hyperlink" Target="https://secretariadistritald.sharepoint.com/:f:/s/Instrumentosplaneacin2021/Eu8-qPuOF9xFmNOIyECq4hoBWSu6vHtRge93MOW9SyFVTw?e=Yk84Rn" TargetMode="External"/><Relationship Id="rId7" Type="http://schemas.openxmlformats.org/officeDocument/2006/relationships/hyperlink" Target="https://secretariadistritald.sharepoint.com/:f:/s/Instrumentosplaneacin2021/EqE2SN36ZXlKhL-TmWONu9EBBFzmMkYPpiI6b7YzpmqleQ?e=456RxA" TargetMode="External"/><Relationship Id="rId12" Type="http://schemas.openxmlformats.org/officeDocument/2006/relationships/comments" Target="../comments2.xml"/><Relationship Id="rId2" Type="http://schemas.openxmlformats.org/officeDocument/2006/relationships/hyperlink" Target="https://secretariadistritald.sharepoint.com/:f:/s/Instrumentosplaneacin2021/ElDSUFPjwVNAvRY0HGEpxN8ByQPYRjIM_3v-fGmNTbk5WA?e=oLFQxG" TargetMode="External"/><Relationship Id="rId1" Type="http://schemas.openxmlformats.org/officeDocument/2006/relationships/hyperlink" Target="https://secretariadistritald.sharepoint.com/:f:/s/Instrumentosplaneacin2021/Eiu2d_TvhVhHmndimLfTwlABjWYFWfdoQEvmBoHbBuyIvw?e=JXB7nx" TargetMode="External"/><Relationship Id="rId6" Type="http://schemas.openxmlformats.org/officeDocument/2006/relationships/hyperlink" Target="https://secretariadistritald.sharepoint.com/:f:/s/Instrumentosplaneacin2021/EhuWwJ64vIlBgyDCS9klQ9wBX8Kj_4EO8BC2OvTJ0GLzhQ?e=xKRwD3" TargetMode="External"/><Relationship Id="rId11" Type="http://schemas.openxmlformats.org/officeDocument/2006/relationships/vmlDrawing" Target="../drawings/vmlDrawing2.vml"/><Relationship Id="rId5" Type="http://schemas.openxmlformats.org/officeDocument/2006/relationships/hyperlink" Target="https://secretariadistritald.sharepoint.com/:f:/s/Instrumentosplaneacin2021/Ejbx1N0GD6ZBqhxj1E0Qm_0BHMGEj6o6k5HmRDgC6fNoHg?e=nwenW1" TargetMode="External"/><Relationship Id="rId10" Type="http://schemas.openxmlformats.org/officeDocument/2006/relationships/drawing" Target="../drawings/drawing2.xml"/><Relationship Id="rId4" Type="http://schemas.openxmlformats.org/officeDocument/2006/relationships/hyperlink" Target="https://secretariadistritald.sharepoint.com/:f:/s/Instrumentosplaneacin2021/EqvJSO_elWlIn0v8q1xU8_QBaaG10tsp3pFuhqGU3rN4lA?e=0eRrXb"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ecretariadistritald.sharepoint.com/:f:/s/Instrumentosplaneacin2021/ErfLrOISb2RDv8UMorcov_QBxAIZVCXx2c72YCchZHrihg?e=IY7cTH" TargetMode="External"/><Relationship Id="rId7" Type="http://schemas.openxmlformats.org/officeDocument/2006/relationships/comments" Target="../comments3.xml"/><Relationship Id="rId2" Type="http://schemas.openxmlformats.org/officeDocument/2006/relationships/hyperlink" Target="https://secretariadistritald.sharepoint.com/:f:/s/Instrumentosplaneacin2021/EoR32yf58mVCjVdlZoJ2rgIBNOkcHG1Vl7cqUUscvKMAQg?e=9uFNuH" TargetMode="External"/><Relationship Id="rId1" Type="http://schemas.openxmlformats.org/officeDocument/2006/relationships/hyperlink" Target="https://secretariadistritald.sharepoint.com/:f:/s/Instrumentosplaneacin2021/EiPAvkjKD9ZAi9xWTHGq5NcBzRY8xlySAq9F9641qa3G6g?e=jhgFDX"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sharepoint.com/:f:/s/Instrumentosplaneacin2021/EtnNTzC7d_xAnOFIToVbzlYBRIEI4_-8R_DBgyMoYUVllA?e=2xcTky" TargetMode="External"/><Relationship Id="rId7" Type="http://schemas.openxmlformats.org/officeDocument/2006/relationships/comments" Target="../comments4.xml"/><Relationship Id="rId2" Type="http://schemas.openxmlformats.org/officeDocument/2006/relationships/hyperlink" Target="https://secretariadistritald.sharepoint.com/:f:/s/Instrumentosplaneacin2021/ElKs_LJG7K5PrCPLWBor3TEBAWO6C-Ef2gDUVYd5NcCY8g?e=0ZJOEx" TargetMode="External"/><Relationship Id="rId1" Type="http://schemas.openxmlformats.org/officeDocument/2006/relationships/hyperlink" Target="https://secretariadistritald.sharepoint.com/:f:/s/Instrumentosplaneacin2021/Eh-X2ne3DyBDogqjZOE8cLYB2wCyI7ZcYCZ4V7e3RG7Q2w?e=FkXqhA"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ecretariadistritald.sharepoint.com/:f:/s/Instrumentosplaneacin2021/Ei8J8yON5nFBmKrApT0EkJcBKZc3eSQfeAeUTZz7jEPi9g?e=GVYgc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secretariadistritald.sharepoint.com/:f:/s/Instrumentosplaneacin2021/EreUcg52YDtFr1Oz3LS92JYB3CsCvHH7FAXnwdL8zq3qgQ?e=0mfXrz" TargetMode="External"/><Relationship Id="rId7" Type="http://schemas.openxmlformats.org/officeDocument/2006/relationships/vmlDrawing" Target="../drawings/vmlDrawing6.vml"/><Relationship Id="rId2" Type="http://schemas.openxmlformats.org/officeDocument/2006/relationships/hyperlink" Target="https://secretariadistritald.sharepoint.com/:f:/s/Instrumentosplaneacin2021/EmJW69yKxZtNrZzAMrW-O3IB2lr2oyG7k5xVARiHDoZ6nw?e=ctXgu3" TargetMode="External"/><Relationship Id="rId1" Type="http://schemas.openxmlformats.org/officeDocument/2006/relationships/hyperlink" Target="https://secretariadistritald.sharepoint.com/:f:/s/Instrumentosplaneacin2021/EowtRibQQfVKiptSE_-Sj_wBRnIHopx_VVi0d5Z15usl6A?e=Rfj5P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secretariadistritald.sharepoint.com/:f:/s/Instrumentosplaneacin2021/EqmIRVQufV1ImTMRGjglVp0Bd6kWPcyvoPhsW0Avtg6YZw?e=bFAOQ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ecretariadistritald.sharepoint.com/:f:/s/Instrumentosplaneacin2021/Ev4rLsTypwBJk2i-yrs1pfIBA3Tqpyro8kN7dIL0nz9Asw?e=dB7ygK" TargetMode="External"/><Relationship Id="rId1" Type="http://schemas.openxmlformats.org/officeDocument/2006/relationships/hyperlink" Target="https://secretariadistritald.sharepoint.com/:f:/s/Instrumentosplaneacin2021/Es1Rzyvns9JAqSrpqSUc7AsBKHykWg95vCEuwdi36RhyAA?e=WDPNRi"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s://secretariadistritald.sharepoint.com/:f:/s/Instrumentosplaneacin2021/Ev-KtLuzwYJEha3jiOXgDXYBVGroqXdQRDcPSjdeMihXAw?e=cxt351" TargetMode="External"/><Relationship Id="rId7" Type="http://schemas.openxmlformats.org/officeDocument/2006/relationships/printerSettings" Target="../printerSettings/printerSettings8.bin"/><Relationship Id="rId2" Type="http://schemas.openxmlformats.org/officeDocument/2006/relationships/hyperlink" Target="https://secretariadistritald.sharepoint.com/:f:/s/Instrumentosplaneacin2021/EmklOK4AC0dMh5sU8lz_gIcBEanK0PfP7WRu4dbQ2DJDtw?e=VyMOfh" TargetMode="External"/><Relationship Id="rId1" Type="http://schemas.openxmlformats.org/officeDocument/2006/relationships/hyperlink" Target="https://secretariadistritald.sharepoint.com/:f:/s/Instrumentosplaneacin2021/EkHHRqj1sftGvRAnSluzcVkB9d8J4_mmjAZ2rgcCli0mWQ?e=ShcPjj" TargetMode="External"/><Relationship Id="rId6" Type="http://schemas.openxmlformats.org/officeDocument/2006/relationships/hyperlink" Target="https://secretariadistritald.sharepoint.com/:b:/s/Instrumentosplaneacin2021/Ec91OySbRktIleagvIcNIY4ByGgPnwNnP1mdNFtN8Dz_VA?e=fI8x1B" TargetMode="External"/><Relationship Id="rId5" Type="http://schemas.openxmlformats.org/officeDocument/2006/relationships/hyperlink" Target="https://secretariadistritald.sharepoint.com/:f:/s/Instrumentosplaneacin2021/Ety-LnPSkEBJqm2v1Cg-s1QBtD2JaemedeVaES42LCO7Qg?e=GQwN4H" TargetMode="External"/><Relationship Id="rId4" Type="http://schemas.openxmlformats.org/officeDocument/2006/relationships/hyperlink" Target="https://secretariadistritald.sharepoint.com/:b:/s/Instrumentosplaneacin2021/ETxxa6TMlWZFkiaYs7k-g20BlEOLuc56HMVjLdB3kgYUww?e=MCrDdK" TargetMode="External"/><Relationship Id="rId9"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94"/>
  <sheetViews>
    <sheetView showGridLines="0" view="pageBreakPreview" topLeftCell="A31" zoomScale="60" zoomScaleNormal="60" workbookViewId="0">
      <selection activeCell="A47" sqref="A47:A48"/>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379"/>
      <c r="B1" s="382"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4"/>
      <c r="AB1" s="391" t="s">
        <v>1</v>
      </c>
      <c r="AC1" s="392"/>
      <c r="AD1" s="392"/>
      <c r="AE1" s="393"/>
    </row>
    <row r="2" spans="1:31" ht="30.75" customHeight="1" thickBot="1" x14ac:dyDescent="0.35">
      <c r="A2" s="380"/>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391" t="s">
        <v>3</v>
      </c>
      <c r="AC2" s="392"/>
      <c r="AD2" s="392"/>
      <c r="AE2" s="393"/>
    </row>
    <row r="3" spans="1:31" ht="24" customHeight="1" thickBot="1" x14ac:dyDescent="0.35">
      <c r="A3" s="380"/>
      <c r="B3" s="385" t="s">
        <v>4</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91" t="s">
        <v>5</v>
      </c>
      <c r="AC3" s="392"/>
      <c r="AD3" s="392"/>
      <c r="AE3" s="393"/>
    </row>
    <row r="4" spans="1:31" ht="21.75" customHeight="1" thickBot="1" x14ac:dyDescent="0.35">
      <c r="A4" s="381"/>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6</v>
      </c>
      <c r="AC4" s="392"/>
      <c r="AD4" s="392"/>
      <c r="AE4" s="393"/>
    </row>
    <row r="5" spans="1:31" ht="9" customHeight="1" thickBot="1" x14ac:dyDescent="0.35">
      <c r="A5" s="3"/>
      <c r="B5" s="101"/>
      <c r="C5" s="102"/>
      <c r="D5" s="4"/>
      <c r="E5" s="4"/>
      <c r="F5" s="4"/>
      <c r="G5" s="4"/>
      <c r="H5" s="4"/>
      <c r="I5" s="4"/>
      <c r="J5" s="4"/>
      <c r="K5" s="4"/>
      <c r="L5" s="4"/>
      <c r="M5" s="4"/>
      <c r="N5" s="4"/>
      <c r="O5" s="4"/>
      <c r="P5" s="4"/>
      <c r="Q5" s="4"/>
      <c r="R5" s="4"/>
      <c r="S5" s="4"/>
      <c r="T5" s="4"/>
      <c r="U5" s="4"/>
      <c r="V5" s="4"/>
      <c r="W5" s="4"/>
      <c r="X5" s="4"/>
      <c r="Y5" s="4"/>
      <c r="Z5" s="4"/>
      <c r="AA5" s="4"/>
      <c r="AB5" s="4"/>
      <c r="AC5" s="171"/>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4"/>
      <c r="AA6" s="4"/>
      <c r="AB6" s="4"/>
      <c r="AC6" s="171"/>
      <c r="AD6" s="7"/>
      <c r="AE6" s="8"/>
    </row>
    <row r="7" spans="1:31" x14ac:dyDescent="0.3">
      <c r="A7" s="336" t="s">
        <v>7</v>
      </c>
      <c r="B7" s="337"/>
      <c r="C7" s="374" t="s">
        <v>29</v>
      </c>
      <c r="D7" s="336" t="s">
        <v>8</v>
      </c>
      <c r="E7" s="342"/>
      <c r="F7" s="342"/>
      <c r="G7" s="342"/>
      <c r="H7" s="337"/>
      <c r="I7" s="366">
        <v>45357</v>
      </c>
      <c r="J7" s="367"/>
      <c r="K7" s="336" t="s">
        <v>9</v>
      </c>
      <c r="L7" s="337"/>
      <c r="M7" s="358" t="s">
        <v>10</v>
      </c>
      <c r="N7" s="359"/>
      <c r="O7" s="347"/>
      <c r="P7" s="348"/>
      <c r="Q7" s="4"/>
      <c r="R7" s="4"/>
      <c r="S7" s="4"/>
      <c r="T7" s="4"/>
      <c r="U7" s="4"/>
      <c r="V7" s="4"/>
      <c r="W7" s="4"/>
      <c r="X7" s="4"/>
      <c r="Y7" s="4"/>
      <c r="Z7" s="4"/>
      <c r="AA7" s="4"/>
      <c r="AB7" s="4"/>
      <c r="AC7" s="171"/>
      <c r="AD7" s="7"/>
      <c r="AE7" s="8"/>
    </row>
    <row r="8" spans="1:31" x14ac:dyDescent="0.3">
      <c r="A8" s="338"/>
      <c r="B8" s="339"/>
      <c r="C8" s="375"/>
      <c r="D8" s="338"/>
      <c r="E8" s="343"/>
      <c r="F8" s="343"/>
      <c r="G8" s="343"/>
      <c r="H8" s="339"/>
      <c r="I8" s="368"/>
      <c r="J8" s="369"/>
      <c r="K8" s="338"/>
      <c r="L8" s="339"/>
      <c r="M8" s="377" t="s">
        <v>11</v>
      </c>
      <c r="N8" s="378"/>
      <c r="O8" s="360"/>
      <c r="P8" s="361"/>
      <c r="Q8" s="4"/>
      <c r="R8" s="4"/>
      <c r="S8" s="4"/>
      <c r="T8" s="4"/>
      <c r="U8" s="4"/>
      <c r="V8" s="4"/>
      <c r="W8" s="4"/>
      <c r="X8" s="4"/>
      <c r="Y8" s="4"/>
      <c r="Z8" s="4"/>
      <c r="AA8" s="4"/>
      <c r="AB8" s="4"/>
      <c r="AC8" s="171"/>
      <c r="AD8" s="7"/>
      <c r="AE8" s="8"/>
    </row>
    <row r="9" spans="1:31" ht="15" thickBot="1" x14ac:dyDescent="0.35">
      <c r="A9" s="340"/>
      <c r="B9" s="341"/>
      <c r="C9" s="376"/>
      <c r="D9" s="340"/>
      <c r="E9" s="344"/>
      <c r="F9" s="344"/>
      <c r="G9" s="344"/>
      <c r="H9" s="341"/>
      <c r="I9" s="370"/>
      <c r="J9" s="371"/>
      <c r="K9" s="340"/>
      <c r="L9" s="341"/>
      <c r="M9" s="362" t="s">
        <v>13</v>
      </c>
      <c r="N9" s="363"/>
      <c r="O9" s="364" t="s">
        <v>12</v>
      </c>
      <c r="P9" s="365"/>
      <c r="Q9" s="4"/>
      <c r="R9" s="4"/>
      <c r="S9" s="4"/>
      <c r="T9" s="4"/>
      <c r="U9" s="4"/>
      <c r="V9" s="4"/>
      <c r="W9" s="4"/>
      <c r="X9" s="4"/>
      <c r="Y9" s="4"/>
      <c r="Z9" s="4"/>
      <c r="AA9" s="4"/>
      <c r="AB9" s="4"/>
      <c r="AC9" s="171"/>
      <c r="AD9" s="7"/>
      <c r="AE9" s="8"/>
    </row>
    <row r="10" spans="1:31" ht="15" customHeight="1" thickBot="1" x14ac:dyDescent="0.35">
      <c r="A10" s="75"/>
      <c r="B10" s="76"/>
      <c r="C10" s="76"/>
      <c r="D10" s="9"/>
      <c r="E10" s="9"/>
      <c r="F10" s="9"/>
      <c r="G10" s="9"/>
      <c r="H10" s="9"/>
      <c r="I10" s="172"/>
      <c r="J10" s="172"/>
      <c r="K10" s="9"/>
      <c r="L10" s="9"/>
      <c r="M10" s="173"/>
      <c r="N10" s="173"/>
      <c r="O10" s="174"/>
      <c r="P10" s="174"/>
      <c r="Q10" s="76"/>
      <c r="R10" s="76"/>
      <c r="S10" s="76"/>
      <c r="T10" s="76"/>
      <c r="U10" s="76"/>
      <c r="V10" s="76"/>
      <c r="W10" s="76"/>
      <c r="X10" s="76"/>
      <c r="Y10" s="76"/>
      <c r="Z10" s="76"/>
      <c r="AA10" s="76"/>
      <c r="AB10" s="76"/>
      <c r="AC10" s="171"/>
      <c r="AD10" s="78"/>
      <c r="AE10" s="79"/>
    </row>
    <row r="11" spans="1:31" ht="15" customHeight="1" x14ac:dyDescent="0.3">
      <c r="A11" s="336" t="s">
        <v>14</v>
      </c>
      <c r="B11" s="337"/>
      <c r="C11" s="308" t="s">
        <v>15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ht="15" customHeight="1" x14ac:dyDescent="0.3">
      <c r="A12" s="338"/>
      <c r="B12" s="339"/>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15" customHeight="1" thickBot="1" x14ac:dyDescent="0.35">
      <c r="A13" s="340"/>
      <c r="B13" s="341"/>
      <c r="C13" s="352"/>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C14" s="171"/>
      <c r="AD14" s="9"/>
      <c r="AE14" s="10"/>
    </row>
    <row r="15" spans="1:31" ht="45" customHeight="1" thickBot="1" x14ac:dyDescent="0.35">
      <c r="A15" s="345" t="s">
        <v>16</v>
      </c>
      <c r="B15" s="346"/>
      <c r="C15" s="355" t="s">
        <v>17</v>
      </c>
      <c r="D15" s="356"/>
      <c r="E15" s="356"/>
      <c r="F15" s="356"/>
      <c r="G15" s="356"/>
      <c r="H15" s="356"/>
      <c r="I15" s="356"/>
      <c r="J15" s="356"/>
      <c r="K15" s="357"/>
      <c r="L15" s="372" t="s">
        <v>18</v>
      </c>
      <c r="M15" s="399"/>
      <c r="N15" s="399"/>
      <c r="O15" s="399"/>
      <c r="P15" s="399"/>
      <c r="Q15" s="373"/>
      <c r="R15" s="400" t="s">
        <v>19</v>
      </c>
      <c r="S15" s="401"/>
      <c r="T15" s="401"/>
      <c r="U15" s="401"/>
      <c r="V15" s="401"/>
      <c r="W15" s="401"/>
      <c r="X15" s="402"/>
      <c r="Y15" s="372" t="s">
        <v>20</v>
      </c>
      <c r="Z15" s="373"/>
      <c r="AA15" s="355" t="s">
        <v>21</v>
      </c>
      <c r="AB15" s="356"/>
      <c r="AC15" s="356"/>
      <c r="AD15" s="356"/>
      <c r="AE15" s="357"/>
    </row>
    <row r="16" spans="1:31" ht="9" customHeight="1" thickBot="1" x14ac:dyDescent="0.35">
      <c r="A16" s="6"/>
      <c r="B16" s="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171"/>
      <c r="AD16" s="7"/>
      <c r="AE16" s="8"/>
    </row>
    <row r="17" spans="1:32" s="16" customFormat="1" ht="37.5" customHeight="1" thickBot="1" x14ac:dyDescent="0.35">
      <c r="A17" s="345" t="s">
        <v>22</v>
      </c>
      <c r="B17" s="346"/>
      <c r="C17" s="355" t="s">
        <v>23</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7"/>
    </row>
    <row r="18" spans="1:32" ht="16.5" customHeight="1" thickBot="1" x14ac:dyDescent="0.35">
      <c r="A18" s="175"/>
      <c r="B18" s="176"/>
      <c r="C18" s="176"/>
      <c r="D18" s="197"/>
      <c r="E18" s="176"/>
      <c r="F18" s="176"/>
      <c r="G18" s="176"/>
      <c r="H18" s="176"/>
      <c r="I18" s="176"/>
      <c r="J18" s="176"/>
      <c r="K18" s="176"/>
      <c r="L18" s="176"/>
      <c r="M18" s="176"/>
      <c r="N18" s="176"/>
      <c r="O18" s="176"/>
      <c r="P18" s="176"/>
      <c r="Q18" s="176"/>
      <c r="R18" s="176"/>
      <c r="S18" s="197"/>
      <c r="T18" s="176"/>
      <c r="U18" s="197"/>
      <c r="V18" s="197"/>
      <c r="W18" s="197"/>
      <c r="X18" s="176"/>
      <c r="Y18" s="176"/>
      <c r="Z18" s="197"/>
      <c r="AA18" s="213"/>
      <c r="AB18" s="197"/>
      <c r="AC18" s="171"/>
      <c r="AD18" s="176"/>
      <c r="AE18" s="177"/>
    </row>
    <row r="19" spans="1:32" ht="32.1" customHeight="1" thickBot="1" x14ac:dyDescent="0.35">
      <c r="A19" s="372" t="s">
        <v>24</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73"/>
      <c r="AF19" s="20"/>
    </row>
    <row r="20" spans="1:32" ht="32.1" customHeight="1" thickBot="1" x14ac:dyDescent="0.35">
      <c r="A20" s="104" t="s">
        <v>25</v>
      </c>
      <c r="B20" s="396" t="s">
        <v>26</v>
      </c>
      <c r="C20" s="397"/>
      <c r="D20" s="397"/>
      <c r="E20" s="397"/>
      <c r="F20" s="397"/>
      <c r="G20" s="397"/>
      <c r="H20" s="397"/>
      <c r="I20" s="397"/>
      <c r="J20" s="397"/>
      <c r="K20" s="397"/>
      <c r="L20" s="397"/>
      <c r="M20" s="397"/>
      <c r="N20" s="397"/>
      <c r="O20" s="398"/>
      <c r="P20" s="372" t="s">
        <v>27</v>
      </c>
      <c r="Q20" s="399"/>
      <c r="R20" s="399"/>
      <c r="S20" s="399"/>
      <c r="T20" s="399"/>
      <c r="U20" s="399"/>
      <c r="V20" s="399"/>
      <c r="W20" s="399"/>
      <c r="X20" s="399"/>
      <c r="Y20" s="399"/>
      <c r="Z20" s="399"/>
      <c r="AA20" s="399"/>
      <c r="AB20" s="399"/>
      <c r="AC20" s="399"/>
      <c r="AD20" s="399"/>
      <c r="AE20" s="373"/>
      <c r="AF20" s="20"/>
    </row>
    <row r="21" spans="1:32" ht="32.1" customHeight="1" thickBot="1" x14ac:dyDescent="0.35">
      <c r="A21" s="184">
        <v>86040220</v>
      </c>
      <c r="B21" s="114" t="s">
        <v>28</v>
      </c>
      <c r="C21" s="115" t="s">
        <v>29</v>
      </c>
      <c r="D21" s="115" t="s">
        <v>30</v>
      </c>
      <c r="E21" s="115" t="s">
        <v>31</v>
      </c>
      <c r="F21" s="115" t="s">
        <v>32</v>
      </c>
      <c r="G21" s="115" t="s">
        <v>33</v>
      </c>
      <c r="H21" s="115" t="s">
        <v>34</v>
      </c>
      <c r="I21" s="115" t="s">
        <v>35</v>
      </c>
      <c r="J21" s="115" t="s">
        <v>36</v>
      </c>
      <c r="K21" s="115" t="s">
        <v>37</v>
      </c>
      <c r="L21" s="115" t="s">
        <v>38</v>
      </c>
      <c r="M21" s="115" t="s">
        <v>39</v>
      </c>
      <c r="N21" s="115" t="s">
        <v>40</v>
      </c>
      <c r="O21" s="116" t="s">
        <v>41</v>
      </c>
      <c r="P21" s="143"/>
      <c r="Q21" s="104" t="s">
        <v>28</v>
      </c>
      <c r="R21" s="105" t="s">
        <v>29</v>
      </c>
      <c r="S21" s="105" t="s">
        <v>30</v>
      </c>
      <c r="T21" s="105" t="s">
        <v>31</v>
      </c>
      <c r="U21" s="105" t="s">
        <v>32</v>
      </c>
      <c r="V21" s="105" t="s">
        <v>33</v>
      </c>
      <c r="W21" s="105" t="s">
        <v>34</v>
      </c>
      <c r="X21" s="105" t="s">
        <v>35</v>
      </c>
      <c r="Y21" s="105" t="s">
        <v>36</v>
      </c>
      <c r="Z21" s="105" t="s">
        <v>37</v>
      </c>
      <c r="AA21" s="105" t="s">
        <v>38</v>
      </c>
      <c r="AB21" s="105" t="s">
        <v>39</v>
      </c>
      <c r="AC21" s="105" t="s">
        <v>40</v>
      </c>
      <c r="AD21" s="142" t="s">
        <v>42</v>
      </c>
      <c r="AE21" s="142" t="s">
        <v>43</v>
      </c>
      <c r="AF21" s="1"/>
    </row>
    <row r="22" spans="1:32" ht="32.1" customHeight="1" x14ac:dyDescent="0.3">
      <c r="A22" s="139" t="s">
        <v>44</v>
      </c>
      <c r="B22" s="179"/>
      <c r="C22" s="178">
        <f>78525032</f>
        <v>78525032</v>
      </c>
      <c r="D22" s="178">
        <v>7515187</v>
      </c>
      <c r="E22" s="178"/>
      <c r="F22" s="178"/>
      <c r="G22" s="178"/>
      <c r="H22" s="178"/>
      <c r="I22" s="178"/>
      <c r="J22" s="178"/>
      <c r="K22" s="178"/>
      <c r="L22" s="178"/>
      <c r="M22" s="178"/>
      <c r="N22" s="178">
        <f>SUM(B22:M22)</f>
        <v>86040219</v>
      </c>
      <c r="O22" s="180"/>
      <c r="P22" s="139" t="s">
        <v>45</v>
      </c>
      <c r="Q22" s="181"/>
      <c r="R22" s="182">
        <v>714052000</v>
      </c>
      <c r="S22" s="182"/>
      <c r="T22" s="182"/>
      <c r="U22" s="182"/>
      <c r="V22" s="182">
        <f>159334000-76618732+63956732</f>
        <v>146672000</v>
      </c>
      <c r="W22" s="182"/>
      <c r="X22" s="182"/>
      <c r="Y22" s="182"/>
      <c r="Z22" s="182"/>
      <c r="AA22" s="182"/>
      <c r="AB22" s="182"/>
      <c r="AC22" s="182">
        <f>SUM(Q22:AB22)</f>
        <v>860724000</v>
      </c>
      <c r="AD22" s="171"/>
      <c r="AE22" s="183"/>
      <c r="AF22" s="1"/>
    </row>
    <row r="23" spans="1:32" ht="32.1" customHeight="1" x14ac:dyDescent="0.3">
      <c r="A23" s="140" t="s">
        <v>46</v>
      </c>
      <c r="B23" s="184"/>
      <c r="C23" s="185"/>
      <c r="D23" s="185"/>
      <c r="E23" s="185"/>
      <c r="F23" s="185"/>
      <c r="G23" s="185"/>
      <c r="H23" s="185"/>
      <c r="I23" s="185"/>
      <c r="J23" s="185"/>
      <c r="K23" s="185"/>
      <c r="L23" s="185"/>
      <c r="M23" s="185"/>
      <c r="N23" s="185">
        <f>SUM(B23:M23)</f>
        <v>0</v>
      </c>
      <c r="O23" s="186" t="str">
        <f>IFERROR(N23/(SUMIF(B23:M23,"&gt;0",B22:M22))," ")</f>
        <v xml:space="preserve"> </v>
      </c>
      <c r="P23" s="140" t="s">
        <v>47</v>
      </c>
      <c r="Q23" s="184">
        <f>16747500</f>
        <v>16747500</v>
      </c>
      <c r="R23" s="185">
        <f>271709165-Q23</f>
        <v>254961665</v>
      </c>
      <c r="S23" s="185"/>
      <c r="T23" s="185"/>
      <c r="U23" s="185"/>
      <c r="V23" s="185"/>
      <c r="W23" s="185"/>
      <c r="X23" s="185"/>
      <c r="Y23" s="185"/>
      <c r="Z23" s="185"/>
      <c r="AA23" s="185"/>
      <c r="AB23" s="185"/>
      <c r="AC23" s="185">
        <f>SUM(Q23:AB23)</f>
        <v>271709165</v>
      </c>
      <c r="AD23" s="185">
        <f>AC23/SUM(Q22:AC22)</f>
        <v>0.15783756755940348</v>
      </c>
      <c r="AE23" s="187">
        <f>AC23/AC22</f>
        <v>0.31567513511880696</v>
      </c>
      <c r="AF23" s="1"/>
    </row>
    <row r="24" spans="1:32" ht="32.1" customHeight="1" x14ac:dyDescent="0.3">
      <c r="A24" s="140" t="s">
        <v>48</v>
      </c>
      <c r="B24" s="184"/>
      <c r="C24" s="185"/>
      <c r="D24" s="185"/>
      <c r="E24" s="185"/>
      <c r="F24" s="185"/>
      <c r="G24" s="185"/>
      <c r="H24" s="185"/>
      <c r="I24" s="185"/>
      <c r="J24" s="185"/>
      <c r="K24" s="185"/>
      <c r="L24" s="185"/>
      <c r="M24" s="185"/>
      <c r="N24" s="185">
        <f>SUM(B24:M24)</f>
        <v>0</v>
      </c>
      <c r="O24" s="188"/>
      <c r="P24" s="140" t="s">
        <v>44</v>
      </c>
      <c r="Q24" s="184"/>
      <c r="R24" s="185">
        <v>12098256.341961678</v>
      </c>
      <c r="S24" s="185">
        <v>66950756.341961674</v>
      </c>
      <c r="T24" s="185">
        <v>74744769.025885031</v>
      </c>
      <c r="U24" s="185">
        <v>74744769.025885031</v>
      </c>
      <c r="V24" s="185">
        <v>76793397.196865872</v>
      </c>
      <c r="W24" s="185">
        <v>91798897.196865872</v>
      </c>
      <c r="X24" s="185">
        <v>85688540.880789205</v>
      </c>
      <c r="Y24" s="185">
        <f>78842025.3678467-35000000+15323746</f>
        <v>59165771.367846698</v>
      </c>
      <c r="Z24" s="185">
        <f>78842025.3678467+15323746</f>
        <v>94165771.367846698</v>
      </c>
      <c r="AA24" s="185">
        <f>78842025.3678467+15323746</f>
        <v>94165771.367846698</v>
      </c>
      <c r="AB24" s="185">
        <f>154040538-76618732+35000000+30647494-12662000</f>
        <v>130407300</v>
      </c>
      <c r="AC24" s="185">
        <f>SUM(Q24:AB24)</f>
        <v>860724000.11375451</v>
      </c>
      <c r="AD24" s="185"/>
      <c r="AE24" s="189"/>
      <c r="AF24" s="1"/>
    </row>
    <row r="25" spans="1:32" ht="32.1" customHeight="1" thickBot="1" x14ac:dyDescent="0.35">
      <c r="A25" s="141" t="s">
        <v>49</v>
      </c>
      <c r="B25" s="191">
        <f>40224313</f>
        <v>40224313</v>
      </c>
      <c r="C25" s="191">
        <f>52357353-B25</f>
        <v>12133040</v>
      </c>
      <c r="D25" s="191"/>
      <c r="E25" s="191"/>
      <c r="F25" s="191"/>
      <c r="G25" s="191"/>
      <c r="H25" s="191"/>
      <c r="I25" s="191"/>
      <c r="J25" s="191"/>
      <c r="K25" s="191"/>
      <c r="L25" s="191"/>
      <c r="M25" s="191"/>
      <c r="N25" s="191">
        <f>SUM(B25:M25)</f>
        <v>52357353</v>
      </c>
      <c r="O25" s="192" t="str">
        <f>IFERROR(N25/(SUMIF(B25:M25,"&gt;0",B24:M24))," ")</f>
        <v xml:space="preserve"> </v>
      </c>
      <c r="P25" s="141" t="s">
        <v>49</v>
      </c>
      <c r="Q25" s="190"/>
      <c r="R25" s="191">
        <v>0</v>
      </c>
      <c r="S25" s="191"/>
      <c r="T25" s="191"/>
      <c r="U25" s="191"/>
      <c r="V25" s="191"/>
      <c r="W25" s="191"/>
      <c r="X25" s="191"/>
      <c r="Y25" s="191"/>
      <c r="Z25" s="191"/>
      <c r="AA25" s="191"/>
      <c r="AB25" s="191"/>
      <c r="AC25" s="191">
        <f>SUM(Q25:AB25)</f>
        <v>0</v>
      </c>
      <c r="AD25" s="191">
        <f>AC25/SUM(Q24:AB24)</f>
        <v>0</v>
      </c>
      <c r="AE25" s="193">
        <f>AC25/AC24</f>
        <v>0</v>
      </c>
      <c r="AF25" s="1"/>
    </row>
    <row r="26" spans="1:32" customFormat="1" ht="16.5" customHeight="1" thickBot="1" x14ac:dyDescent="0.3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row>
    <row r="27" spans="1:32" ht="33.9" customHeight="1" x14ac:dyDescent="0.3">
      <c r="A27" s="329" t="s">
        <v>50</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1"/>
    </row>
    <row r="28" spans="1:32" ht="15" customHeight="1" x14ac:dyDescent="0.3">
      <c r="A28" s="305" t="s">
        <v>51</v>
      </c>
      <c r="B28" s="307" t="s">
        <v>52</v>
      </c>
      <c r="C28" s="307"/>
      <c r="D28" s="307" t="s">
        <v>53</v>
      </c>
      <c r="E28" s="307"/>
      <c r="F28" s="307"/>
      <c r="G28" s="307"/>
      <c r="H28" s="307"/>
      <c r="I28" s="307"/>
      <c r="J28" s="307"/>
      <c r="K28" s="307"/>
      <c r="L28" s="307"/>
      <c r="M28" s="307"/>
      <c r="N28" s="307"/>
      <c r="O28" s="307"/>
      <c r="P28" s="307" t="s">
        <v>40</v>
      </c>
      <c r="Q28" s="307" t="s">
        <v>54</v>
      </c>
      <c r="R28" s="307"/>
      <c r="S28" s="307"/>
      <c r="T28" s="307"/>
      <c r="U28" s="307"/>
      <c r="V28" s="307"/>
      <c r="W28" s="307"/>
      <c r="X28" s="307"/>
      <c r="Y28" s="307" t="s">
        <v>55</v>
      </c>
      <c r="Z28" s="307"/>
      <c r="AA28" s="307"/>
      <c r="AB28" s="307"/>
      <c r="AC28" s="307"/>
      <c r="AD28" s="307"/>
      <c r="AE28" s="332"/>
    </row>
    <row r="29" spans="1:32" ht="27" customHeight="1" x14ac:dyDescent="0.3">
      <c r="A29" s="305"/>
      <c r="B29" s="307"/>
      <c r="C29" s="307"/>
      <c r="D29" s="100" t="s">
        <v>28</v>
      </c>
      <c r="E29" s="100" t="s">
        <v>29</v>
      </c>
      <c r="F29" s="100" t="s">
        <v>30</v>
      </c>
      <c r="G29" s="100" t="s">
        <v>31</v>
      </c>
      <c r="H29" s="100" t="s">
        <v>32</v>
      </c>
      <c r="I29" s="100" t="s">
        <v>33</v>
      </c>
      <c r="J29" s="100" t="s">
        <v>34</v>
      </c>
      <c r="K29" s="100" t="s">
        <v>35</v>
      </c>
      <c r="L29" s="100" t="s">
        <v>36</v>
      </c>
      <c r="M29" s="100" t="s">
        <v>37</v>
      </c>
      <c r="N29" s="100" t="s">
        <v>38</v>
      </c>
      <c r="O29" s="100" t="s">
        <v>39</v>
      </c>
      <c r="P29" s="307"/>
      <c r="Q29" s="307"/>
      <c r="R29" s="307"/>
      <c r="S29" s="307"/>
      <c r="T29" s="307"/>
      <c r="U29" s="307"/>
      <c r="V29" s="307"/>
      <c r="W29" s="307"/>
      <c r="X29" s="307"/>
      <c r="Y29" s="307"/>
      <c r="Z29" s="307"/>
      <c r="AA29" s="307"/>
      <c r="AB29" s="307"/>
      <c r="AC29" s="307"/>
      <c r="AD29" s="307"/>
      <c r="AE29" s="332"/>
    </row>
    <row r="30" spans="1:32" ht="61.95" customHeight="1" thickBot="1" x14ac:dyDescent="0.35">
      <c r="A30" s="110" t="s">
        <v>23</v>
      </c>
      <c r="B30" s="403"/>
      <c r="C30" s="403"/>
      <c r="D30" s="103"/>
      <c r="E30" s="103"/>
      <c r="F30" s="103"/>
      <c r="G30" s="103"/>
      <c r="H30" s="103"/>
      <c r="I30" s="103"/>
      <c r="J30" s="103"/>
      <c r="K30" s="103"/>
      <c r="L30" s="103"/>
      <c r="M30" s="103"/>
      <c r="N30" s="103"/>
      <c r="O30" s="103"/>
      <c r="P30" s="111">
        <f>SUM(D30:O30)</f>
        <v>0</v>
      </c>
      <c r="Q30" s="394" t="s">
        <v>482</v>
      </c>
      <c r="R30" s="394"/>
      <c r="S30" s="394"/>
      <c r="T30" s="394"/>
      <c r="U30" s="394"/>
      <c r="V30" s="394"/>
      <c r="W30" s="394"/>
      <c r="X30" s="394"/>
      <c r="Y30" s="394" t="s">
        <v>114</v>
      </c>
      <c r="Z30" s="394"/>
      <c r="AA30" s="394"/>
      <c r="AB30" s="394"/>
      <c r="AC30" s="394"/>
      <c r="AD30" s="394"/>
      <c r="AE30" s="395"/>
    </row>
    <row r="31" spans="1:32" ht="12" customHeight="1" thickBot="1" x14ac:dyDescent="0.35">
      <c r="A31" s="121"/>
      <c r="B31" s="122"/>
      <c r="C31" s="122"/>
      <c r="D31" s="9"/>
      <c r="E31" s="9"/>
      <c r="F31" s="9"/>
      <c r="G31" s="9"/>
      <c r="H31" s="9"/>
      <c r="I31" s="9"/>
      <c r="J31" s="9"/>
      <c r="K31" s="9"/>
      <c r="L31" s="9"/>
      <c r="M31" s="9"/>
      <c r="N31" s="9"/>
      <c r="O31" s="9"/>
      <c r="P31" s="123"/>
      <c r="Q31" s="195"/>
      <c r="R31" s="195"/>
      <c r="S31" s="195"/>
      <c r="T31" s="195"/>
      <c r="U31" s="195"/>
      <c r="V31" s="195"/>
      <c r="W31" s="195"/>
      <c r="X31" s="195"/>
      <c r="Y31" s="195"/>
      <c r="Z31" s="195"/>
      <c r="AA31" s="195"/>
      <c r="AB31" s="195"/>
      <c r="AC31" s="195"/>
      <c r="AD31" s="195"/>
      <c r="AE31" s="196"/>
    </row>
    <row r="32" spans="1:32" ht="45" customHeight="1" x14ac:dyDescent="0.3">
      <c r="A32" s="308" t="s">
        <v>56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10"/>
    </row>
    <row r="33" spans="1:41" ht="23.1" customHeight="1" x14ac:dyDescent="0.3">
      <c r="A33" s="305" t="s">
        <v>57</v>
      </c>
      <c r="B33" s="307" t="s">
        <v>58</v>
      </c>
      <c r="C33" s="307" t="s">
        <v>52</v>
      </c>
      <c r="D33" s="307" t="s">
        <v>59</v>
      </c>
      <c r="E33" s="307"/>
      <c r="F33" s="307"/>
      <c r="G33" s="307"/>
      <c r="H33" s="307"/>
      <c r="I33" s="307"/>
      <c r="J33" s="307"/>
      <c r="K33" s="307"/>
      <c r="L33" s="307"/>
      <c r="M33" s="307"/>
      <c r="N33" s="307"/>
      <c r="O33" s="307"/>
      <c r="P33" s="307"/>
      <c r="Q33" s="307" t="s">
        <v>60</v>
      </c>
      <c r="R33" s="307"/>
      <c r="S33" s="307"/>
      <c r="T33" s="307"/>
      <c r="U33" s="307"/>
      <c r="V33" s="307"/>
      <c r="W33" s="307"/>
      <c r="X33" s="307"/>
      <c r="Y33" s="307"/>
      <c r="Z33" s="307"/>
      <c r="AA33" s="307"/>
      <c r="AB33" s="307"/>
      <c r="AC33" s="307"/>
      <c r="AD33" s="307"/>
      <c r="AE33" s="332"/>
      <c r="AG33" s="21"/>
      <c r="AH33" s="21"/>
      <c r="AI33" s="21"/>
      <c r="AJ33" s="21"/>
      <c r="AK33" s="21"/>
      <c r="AL33" s="21"/>
      <c r="AM33" s="21"/>
      <c r="AN33" s="21"/>
      <c r="AO33" s="21"/>
    </row>
    <row r="34" spans="1:41" ht="27" customHeight="1" thickBot="1" x14ac:dyDescent="0.35">
      <c r="A34" s="305"/>
      <c r="B34" s="307"/>
      <c r="C34" s="333"/>
      <c r="D34" s="100" t="s">
        <v>28</v>
      </c>
      <c r="E34" s="100" t="s">
        <v>29</v>
      </c>
      <c r="F34" s="100" t="s">
        <v>30</v>
      </c>
      <c r="G34" s="100" t="s">
        <v>31</v>
      </c>
      <c r="H34" s="100" t="s">
        <v>32</v>
      </c>
      <c r="I34" s="100" t="s">
        <v>33</v>
      </c>
      <c r="J34" s="100" t="s">
        <v>34</v>
      </c>
      <c r="K34" s="100" t="s">
        <v>35</v>
      </c>
      <c r="L34" s="100" t="s">
        <v>36</v>
      </c>
      <c r="M34" s="100" t="s">
        <v>37</v>
      </c>
      <c r="N34" s="100" t="s">
        <v>38</v>
      </c>
      <c r="O34" s="100" t="s">
        <v>39</v>
      </c>
      <c r="P34" s="100" t="s">
        <v>40</v>
      </c>
      <c r="Q34" s="287" t="s">
        <v>61</v>
      </c>
      <c r="R34" s="288"/>
      <c r="S34" s="288"/>
      <c r="T34" s="311"/>
      <c r="U34" s="307" t="s">
        <v>62</v>
      </c>
      <c r="V34" s="307"/>
      <c r="W34" s="307"/>
      <c r="X34" s="307"/>
      <c r="Y34" s="307" t="s">
        <v>63</v>
      </c>
      <c r="Z34" s="307"/>
      <c r="AA34" s="307"/>
      <c r="AB34" s="307"/>
      <c r="AC34" s="334" t="s">
        <v>64</v>
      </c>
      <c r="AD34" s="334"/>
      <c r="AE34" s="335"/>
      <c r="AG34" s="21"/>
      <c r="AH34" s="21"/>
      <c r="AI34" s="21"/>
      <c r="AJ34" s="21"/>
      <c r="AK34" s="21"/>
      <c r="AL34" s="21"/>
      <c r="AM34" s="21"/>
      <c r="AN34" s="21"/>
      <c r="AO34" s="21"/>
    </row>
    <row r="35" spans="1:41" ht="45" customHeight="1" x14ac:dyDescent="0.3">
      <c r="A35" s="300" t="s">
        <v>23</v>
      </c>
      <c r="B35" s="302">
        <v>0.18</v>
      </c>
      <c r="C35" s="23" t="s">
        <v>65</v>
      </c>
      <c r="D35" s="244">
        <f>D75</f>
        <v>1.2500000000000002E-2</v>
      </c>
      <c r="E35" s="244">
        <f t="shared" ref="E35:J35" si="0">E75</f>
        <v>5.4166666666666669E-2</v>
      </c>
      <c r="F35" s="244">
        <f t="shared" si="0"/>
        <v>8.3333333333333329E-2</v>
      </c>
      <c r="G35" s="244">
        <f t="shared" si="0"/>
        <v>7.5000000000000011E-2</v>
      </c>
      <c r="H35" s="244">
        <f t="shared" si="0"/>
        <v>7.5000000000000011E-2</v>
      </c>
      <c r="I35" s="244">
        <f t="shared" si="0"/>
        <v>0</v>
      </c>
      <c r="J35" s="244">
        <f t="shared" si="0"/>
        <v>0</v>
      </c>
      <c r="K35" s="22"/>
      <c r="L35" s="22"/>
      <c r="M35" s="22"/>
      <c r="N35" s="22"/>
      <c r="O35" s="22"/>
      <c r="P35" s="245">
        <f>SUM(D35:O35)</f>
        <v>0.30000000000000004</v>
      </c>
      <c r="Q35" s="317" t="s">
        <v>534</v>
      </c>
      <c r="R35" s="318"/>
      <c r="S35" s="318"/>
      <c r="T35" s="319"/>
      <c r="U35" s="317" t="s">
        <v>535</v>
      </c>
      <c r="V35" s="318"/>
      <c r="W35" s="318"/>
      <c r="X35" s="319"/>
      <c r="Y35" s="317" t="s">
        <v>456</v>
      </c>
      <c r="Z35" s="318"/>
      <c r="AA35" s="318"/>
      <c r="AB35" s="318"/>
      <c r="AC35" s="323" t="s">
        <v>519</v>
      </c>
      <c r="AD35" s="324"/>
      <c r="AE35" s="325"/>
      <c r="AG35" s="21"/>
      <c r="AH35" s="21"/>
      <c r="AI35" s="21"/>
      <c r="AJ35" s="21"/>
      <c r="AK35" s="21"/>
      <c r="AL35" s="21"/>
      <c r="AM35" s="21"/>
      <c r="AN35" s="21"/>
      <c r="AO35" s="21"/>
    </row>
    <row r="36" spans="1:41" ht="45" customHeight="1" thickBot="1" x14ac:dyDescent="0.35">
      <c r="A36" s="301"/>
      <c r="B36" s="303"/>
      <c r="C36" s="24" t="s">
        <v>66</v>
      </c>
      <c r="D36" s="247">
        <f>D72</f>
        <v>1.2500000000000002E-2</v>
      </c>
      <c r="E36" s="247">
        <f t="shared" ref="E36:J36" si="1">E72</f>
        <v>5.4166666666666669E-2</v>
      </c>
      <c r="F36" s="247">
        <f t="shared" si="1"/>
        <v>0</v>
      </c>
      <c r="G36" s="247">
        <f t="shared" si="1"/>
        <v>0</v>
      </c>
      <c r="H36" s="247">
        <f t="shared" si="1"/>
        <v>0</v>
      </c>
      <c r="I36" s="247">
        <f t="shared" si="1"/>
        <v>0</v>
      </c>
      <c r="J36" s="247">
        <f t="shared" si="1"/>
        <v>0</v>
      </c>
      <c r="K36" s="25"/>
      <c r="L36" s="25"/>
      <c r="M36" s="25"/>
      <c r="N36" s="25"/>
      <c r="O36" s="25"/>
      <c r="P36" s="246">
        <f>SUM(D36:O36)</f>
        <v>6.6666666666666666E-2</v>
      </c>
      <c r="Q36" s="320"/>
      <c r="R36" s="321"/>
      <c r="S36" s="321"/>
      <c r="T36" s="322"/>
      <c r="U36" s="320"/>
      <c r="V36" s="321"/>
      <c r="W36" s="321"/>
      <c r="X36" s="322"/>
      <c r="Y36" s="320"/>
      <c r="Z36" s="321"/>
      <c r="AA36" s="321"/>
      <c r="AB36" s="321"/>
      <c r="AC36" s="326"/>
      <c r="AD36" s="321"/>
      <c r="AE36" s="327"/>
      <c r="AG36" s="21"/>
      <c r="AH36" s="21"/>
      <c r="AI36" s="21"/>
      <c r="AJ36" s="21"/>
      <c r="AK36" s="21"/>
      <c r="AL36" s="21"/>
      <c r="AM36" s="21"/>
      <c r="AN36" s="21"/>
      <c r="AO36" s="21"/>
    </row>
    <row r="37" spans="1:41" customFormat="1" ht="17.25" customHeight="1" thickBot="1" x14ac:dyDescent="0.35">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row>
    <row r="38" spans="1:41" ht="45" customHeight="1" thickBot="1" x14ac:dyDescent="0.35">
      <c r="A38" s="308" t="s">
        <v>67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G38" s="21"/>
      <c r="AH38" s="21"/>
      <c r="AI38" s="21"/>
      <c r="AJ38" s="21"/>
      <c r="AK38" s="21"/>
      <c r="AL38" s="21"/>
      <c r="AM38" s="21"/>
      <c r="AN38" s="21"/>
      <c r="AO38" s="21"/>
    </row>
    <row r="39" spans="1:41" ht="26.1" customHeight="1" x14ac:dyDescent="0.3">
      <c r="A39" s="304" t="s">
        <v>68</v>
      </c>
      <c r="B39" s="306" t="s">
        <v>69</v>
      </c>
      <c r="C39" s="312" t="s">
        <v>70</v>
      </c>
      <c r="D39" s="314" t="s">
        <v>71</v>
      </c>
      <c r="E39" s="315"/>
      <c r="F39" s="315"/>
      <c r="G39" s="315"/>
      <c r="H39" s="315"/>
      <c r="I39" s="315"/>
      <c r="J39" s="315"/>
      <c r="K39" s="315"/>
      <c r="L39" s="315"/>
      <c r="M39" s="315"/>
      <c r="N39" s="315"/>
      <c r="O39" s="315"/>
      <c r="P39" s="316"/>
      <c r="Q39" s="306" t="s">
        <v>72</v>
      </c>
      <c r="R39" s="306"/>
      <c r="S39" s="306"/>
      <c r="T39" s="306"/>
      <c r="U39" s="306"/>
      <c r="V39" s="306"/>
      <c r="W39" s="306"/>
      <c r="X39" s="306"/>
      <c r="Y39" s="306"/>
      <c r="Z39" s="306"/>
      <c r="AA39" s="306"/>
      <c r="AB39" s="306"/>
      <c r="AC39" s="306"/>
      <c r="AD39" s="306"/>
      <c r="AE39" s="328"/>
      <c r="AG39" s="21"/>
      <c r="AH39" s="21"/>
      <c r="AI39" s="21"/>
      <c r="AJ39" s="21"/>
      <c r="AK39" s="21"/>
      <c r="AL39" s="21"/>
      <c r="AM39" s="21"/>
      <c r="AN39" s="21"/>
      <c r="AO39" s="21"/>
    </row>
    <row r="40" spans="1:41" ht="26.1" customHeight="1" x14ac:dyDescent="0.3">
      <c r="A40" s="305"/>
      <c r="B40" s="307"/>
      <c r="C40" s="313"/>
      <c r="D40" s="100" t="s">
        <v>73</v>
      </c>
      <c r="E40" s="100" t="s">
        <v>74</v>
      </c>
      <c r="F40" s="100" t="s">
        <v>75</v>
      </c>
      <c r="G40" s="100" t="s">
        <v>76</v>
      </c>
      <c r="H40" s="100" t="s">
        <v>77</v>
      </c>
      <c r="I40" s="100" t="s">
        <v>78</v>
      </c>
      <c r="J40" s="100" t="s">
        <v>79</v>
      </c>
      <c r="K40" s="100" t="s">
        <v>80</v>
      </c>
      <c r="L40" s="100" t="s">
        <v>81</v>
      </c>
      <c r="M40" s="100" t="s">
        <v>82</v>
      </c>
      <c r="N40" s="100" t="s">
        <v>83</v>
      </c>
      <c r="O40" s="100" t="s">
        <v>84</v>
      </c>
      <c r="P40" s="100" t="s">
        <v>85</v>
      </c>
      <c r="Q40" s="287" t="s">
        <v>86</v>
      </c>
      <c r="R40" s="288"/>
      <c r="S40" s="288"/>
      <c r="T40" s="288"/>
      <c r="U40" s="288"/>
      <c r="V40" s="288"/>
      <c r="W40" s="288"/>
      <c r="X40" s="311"/>
      <c r="Y40" s="287" t="s">
        <v>87</v>
      </c>
      <c r="Z40" s="288"/>
      <c r="AA40" s="288"/>
      <c r="AB40" s="288"/>
      <c r="AC40" s="288"/>
      <c r="AD40" s="288"/>
      <c r="AE40" s="289"/>
      <c r="AG40" s="26"/>
      <c r="AH40" s="26"/>
      <c r="AI40" s="26"/>
      <c r="AJ40" s="26"/>
      <c r="AK40" s="26"/>
      <c r="AL40" s="26"/>
      <c r="AM40" s="26"/>
      <c r="AN40" s="26"/>
      <c r="AO40" s="26"/>
    </row>
    <row r="41" spans="1:41" ht="73.5" customHeight="1" x14ac:dyDescent="0.3">
      <c r="A41" s="295" t="s">
        <v>88</v>
      </c>
      <c r="B41" s="299">
        <v>0.05</v>
      </c>
      <c r="C41" s="30" t="s">
        <v>65</v>
      </c>
      <c r="D41" s="31">
        <v>0.05</v>
      </c>
      <c r="E41" s="31">
        <v>0.2</v>
      </c>
      <c r="F41" s="31">
        <v>0.35</v>
      </c>
      <c r="G41" s="31">
        <v>0.2</v>
      </c>
      <c r="H41" s="31">
        <v>0.2</v>
      </c>
      <c r="I41" s="31">
        <v>0</v>
      </c>
      <c r="J41" s="31"/>
      <c r="K41" s="31"/>
      <c r="L41" s="31"/>
      <c r="M41" s="31"/>
      <c r="N41" s="31"/>
      <c r="O41" s="31"/>
      <c r="P41" s="112">
        <f t="shared" ref="P41:P48" si="2">SUM(D41:O41)</f>
        <v>1</v>
      </c>
      <c r="Q41" s="275" t="s">
        <v>556</v>
      </c>
      <c r="R41" s="276"/>
      <c r="S41" s="276"/>
      <c r="T41" s="276"/>
      <c r="U41" s="276"/>
      <c r="V41" s="276"/>
      <c r="W41" s="276"/>
      <c r="X41" s="277"/>
      <c r="Y41" s="281" t="s">
        <v>520</v>
      </c>
      <c r="Z41" s="290"/>
      <c r="AA41" s="290"/>
      <c r="AB41" s="290"/>
      <c r="AC41" s="290"/>
      <c r="AD41" s="290"/>
      <c r="AE41" s="291"/>
      <c r="AG41" s="27"/>
      <c r="AH41" s="27"/>
      <c r="AI41" s="27"/>
      <c r="AJ41" s="27"/>
      <c r="AK41" s="27"/>
      <c r="AL41" s="27"/>
      <c r="AM41" s="27"/>
      <c r="AN41" s="27"/>
      <c r="AO41" s="27"/>
    </row>
    <row r="42" spans="1:41" ht="84.75" customHeight="1" x14ac:dyDescent="0.3">
      <c r="A42" s="295"/>
      <c r="B42" s="299"/>
      <c r="C42" s="28" t="s">
        <v>66</v>
      </c>
      <c r="D42" s="29">
        <v>0.05</v>
      </c>
      <c r="E42" s="29">
        <v>0.2</v>
      </c>
      <c r="F42" s="29"/>
      <c r="G42" s="29"/>
      <c r="H42" s="29"/>
      <c r="I42" s="29"/>
      <c r="J42" s="29"/>
      <c r="K42" s="29"/>
      <c r="L42" s="29"/>
      <c r="M42" s="29"/>
      <c r="N42" s="29"/>
      <c r="O42" s="29"/>
      <c r="P42" s="112">
        <f t="shared" si="2"/>
        <v>0.25</v>
      </c>
      <c r="Q42" s="278"/>
      <c r="R42" s="279"/>
      <c r="S42" s="279"/>
      <c r="T42" s="279"/>
      <c r="U42" s="279"/>
      <c r="V42" s="279"/>
      <c r="W42" s="279"/>
      <c r="X42" s="280"/>
      <c r="Y42" s="292"/>
      <c r="Z42" s="293"/>
      <c r="AA42" s="293"/>
      <c r="AB42" s="293"/>
      <c r="AC42" s="293"/>
      <c r="AD42" s="293"/>
      <c r="AE42" s="294"/>
    </row>
    <row r="43" spans="1:41" ht="73.5" customHeight="1" x14ac:dyDescent="0.3">
      <c r="A43" s="295" t="s">
        <v>89</v>
      </c>
      <c r="B43" s="299">
        <v>0.05</v>
      </c>
      <c r="C43" s="30" t="s">
        <v>65</v>
      </c>
      <c r="D43" s="31">
        <v>0</v>
      </c>
      <c r="E43" s="31">
        <v>0.15</v>
      </c>
      <c r="F43" s="31">
        <v>0.25</v>
      </c>
      <c r="G43" s="31">
        <v>0.3</v>
      </c>
      <c r="H43" s="31">
        <v>0.3</v>
      </c>
      <c r="I43" s="31">
        <v>0</v>
      </c>
      <c r="J43" s="31"/>
      <c r="K43" s="31"/>
      <c r="L43" s="31"/>
      <c r="M43" s="31"/>
      <c r="N43" s="31"/>
      <c r="O43" s="31"/>
      <c r="P43" s="112">
        <f t="shared" si="2"/>
        <v>1</v>
      </c>
      <c r="Q43" s="275" t="s">
        <v>526</v>
      </c>
      <c r="R43" s="276"/>
      <c r="S43" s="276"/>
      <c r="T43" s="276"/>
      <c r="U43" s="276"/>
      <c r="V43" s="276"/>
      <c r="W43" s="276"/>
      <c r="X43" s="277"/>
      <c r="Y43" s="281" t="s">
        <v>521</v>
      </c>
      <c r="Z43" s="282"/>
      <c r="AA43" s="282"/>
      <c r="AB43" s="282"/>
      <c r="AC43" s="282"/>
      <c r="AD43" s="282"/>
      <c r="AE43" s="283"/>
    </row>
    <row r="44" spans="1:41" ht="73.5" customHeight="1" x14ac:dyDescent="0.3">
      <c r="A44" s="295"/>
      <c r="B44" s="299"/>
      <c r="C44" s="28" t="s">
        <v>66</v>
      </c>
      <c r="D44" s="29">
        <v>0</v>
      </c>
      <c r="E44" s="29">
        <v>0.15</v>
      </c>
      <c r="F44" s="29"/>
      <c r="G44" s="29"/>
      <c r="H44" s="29"/>
      <c r="I44" s="29"/>
      <c r="J44" s="29"/>
      <c r="K44" s="29"/>
      <c r="L44" s="29"/>
      <c r="M44" s="29"/>
      <c r="N44" s="29"/>
      <c r="O44" s="29"/>
      <c r="P44" s="112">
        <f t="shared" si="2"/>
        <v>0.15</v>
      </c>
      <c r="Q44" s="278"/>
      <c r="R44" s="279"/>
      <c r="S44" s="279"/>
      <c r="T44" s="279"/>
      <c r="U44" s="279"/>
      <c r="V44" s="279"/>
      <c r="W44" s="279"/>
      <c r="X44" s="280"/>
      <c r="Y44" s="284"/>
      <c r="Z44" s="285"/>
      <c r="AA44" s="285"/>
      <c r="AB44" s="285"/>
      <c r="AC44" s="285"/>
      <c r="AD44" s="285"/>
      <c r="AE44" s="286"/>
    </row>
    <row r="45" spans="1:41" ht="73.5" customHeight="1" x14ac:dyDescent="0.3">
      <c r="A45" s="295" t="s">
        <v>90</v>
      </c>
      <c r="B45" s="299">
        <v>0.05</v>
      </c>
      <c r="C45" s="30" t="s">
        <v>65</v>
      </c>
      <c r="D45" s="31">
        <v>0.1</v>
      </c>
      <c r="E45" s="31">
        <v>0.15</v>
      </c>
      <c r="F45" s="31">
        <v>0.25</v>
      </c>
      <c r="G45" s="31">
        <v>0.25</v>
      </c>
      <c r="H45" s="31">
        <v>0.25</v>
      </c>
      <c r="I45" s="31">
        <v>0</v>
      </c>
      <c r="J45" s="31"/>
      <c r="K45" s="31"/>
      <c r="L45" s="31"/>
      <c r="M45" s="31"/>
      <c r="N45" s="31"/>
      <c r="O45" s="31"/>
      <c r="P45" s="112">
        <f t="shared" si="2"/>
        <v>1</v>
      </c>
      <c r="Q45" s="275" t="s">
        <v>527</v>
      </c>
      <c r="R45" s="276"/>
      <c r="S45" s="276"/>
      <c r="T45" s="276"/>
      <c r="U45" s="276"/>
      <c r="V45" s="276"/>
      <c r="W45" s="276"/>
      <c r="X45" s="277"/>
      <c r="Y45" s="281" t="s">
        <v>522</v>
      </c>
      <c r="Z45" s="290"/>
      <c r="AA45" s="290"/>
      <c r="AB45" s="290"/>
      <c r="AC45" s="290"/>
      <c r="AD45" s="290"/>
      <c r="AE45" s="291"/>
    </row>
    <row r="46" spans="1:41" ht="73.5" customHeight="1" x14ac:dyDescent="0.3">
      <c r="A46" s="295"/>
      <c r="B46" s="299"/>
      <c r="C46" s="28" t="s">
        <v>66</v>
      </c>
      <c r="D46" s="29">
        <v>0.1</v>
      </c>
      <c r="E46" s="29">
        <v>0.15</v>
      </c>
      <c r="F46" s="29"/>
      <c r="G46" s="29"/>
      <c r="H46" s="29"/>
      <c r="I46" s="29"/>
      <c r="J46" s="29"/>
      <c r="K46" s="29"/>
      <c r="L46" s="29"/>
      <c r="M46" s="29"/>
      <c r="N46" s="29"/>
      <c r="O46" s="29"/>
      <c r="P46" s="112">
        <f t="shared" si="2"/>
        <v>0.25</v>
      </c>
      <c r="Q46" s="278"/>
      <c r="R46" s="279"/>
      <c r="S46" s="279"/>
      <c r="T46" s="279"/>
      <c r="U46" s="279"/>
      <c r="V46" s="279"/>
      <c r="W46" s="279"/>
      <c r="X46" s="280"/>
      <c r="Y46" s="292"/>
      <c r="Z46" s="293"/>
      <c r="AA46" s="293"/>
      <c r="AB46" s="293"/>
      <c r="AC46" s="293"/>
      <c r="AD46" s="293"/>
      <c r="AE46" s="294"/>
    </row>
    <row r="47" spans="1:41" ht="73.5" customHeight="1" x14ac:dyDescent="0.3">
      <c r="A47" s="295" t="s">
        <v>91</v>
      </c>
      <c r="B47" s="297">
        <v>0.03</v>
      </c>
      <c r="C47" s="30" t="s">
        <v>65</v>
      </c>
      <c r="D47" s="31">
        <v>0</v>
      </c>
      <c r="E47" s="31">
        <v>0.25</v>
      </c>
      <c r="F47" s="31">
        <v>0.25</v>
      </c>
      <c r="G47" s="31">
        <v>0.25</v>
      </c>
      <c r="H47" s="31">
        <v>0.25</v>
      </c>
      <c r="I47" s="31">
        <v>0</v>
      </c>
      <c r="J47" s="31"/>
      <c r="K47" s="31"/>
      <c r="L47" s="31"/>
      <c r="M47" s="31"/>
      <c r="N47" s="31"/>
      <c r="O47" s="31"/>
      <c r="P47" s="112">
        <f t="shared" si="2"/>
        <v>1</v>
      </c>
      <c r="Q47" s="275" t="s">
        <v>528</v>
      </c>
      <c r="R47" s="276"/>
      <c r="S47" s="276"/>
      <c r="T47" s="276"/>
      <c r="U47" s="276"/>
      <c r="V47" s="276"/>
      <c r="W47" s="276"/>
      <c r="X47" s="277"/>
      <c r="Y47" s="281" t="s">
        <v>529</v>
      </c>
      <c r="Z47" s="282"/>
      <c r="AA47" s="282"/>
      <c r="AB47" s="282"/>
      <c r="AC47" s="282"/>
      <c r="AD47" s="282"/>
      <c r="AE47" s="283"/>
    </row>
    <row r="48" spans="1:41" ht="73.5" customHeight="1" thickBot="1" x14ac:dyDescent="0.35">
      <c r="A48" s="296"/>
      <c r="B48" s="298"/>
      <c r="C48" s="24" t="s">
        <v>66</v>
      </c>
      <c r="D48" s="32">
        <v>0</v>
      </c>
      <c r="E48" s="32">
        <v>0.25</v>
      </c>
      <c r="F48" s="32"/>
      <c r="G48" s="32"/>
      <c r="H48" s="32"/>
      <c r="I48" s="32"/>
      <c r="J48" s="32"/>
      <c r="K48" s="32"/>
      <c r="L48" s="32"/>
      <c r="M48" s="32"/>
      <c r="N48" s="32"/>
      <c r="O48" s="32"/>
      <c r="P48" s="113">
        <f t="shared" si="2"/>
        <v>0.25</v>
      </c>
      <c r="Q48" s="278"/>
      <c r="R48" s="279"/>
      <c r="S48" s="279"/>
      <c r="T48" s="279"/>
      <c r="U48" s="279"/>
      <c r="V48" s="279"/>
      <c r="W48" s="279"/>
      <c r="X48" s="280"/>
      <c r="Y48" s="284"/>
      <c r="Z48" s="285"/>
      <c r="AA48" s="285"/>
      <c r="AB48" s="285"/>
      <c r="AC48" s="285"/>
      <c r="AD48" s="285"/>
      <c r="AE48" s="286"/>
    </row>
    <row r="49" spans="1:30" ht="15" customHeight="1" x14ac:dyDescent="0.3">
      <c r="A49" s="254" t="s">
        <v>92</v>
      </c>
    </row>
    <row r="50" spans="1:30" x14ac:dyDescent="0.3">
      <c r="A50" s="254"/>
    </row>
    <row r="51" spans="1:30" x14ac:dyDescent="0.3">
      <c r="A51" s="254"/>
    </row>
    <row r="52" spans="1:30" x14ac:dyDescent="0.3">
      <c r="A52" s="254"/>
    </row>
    <row r="53" spans="1:30" x14ac:dyDescent="0.3">
      <c r="A53" s="254"/>
    </row>
    <row r="54" spans="1:30" ht="15" thickBot="1" x14ac:dyDescent="0.35">
      <c r="A54" s="254"/>
    </row>
    <row r="55" spans="1:30" x14ac:dyDescent="0.3">
      <c r="A55" s="268" t="s">
        <v>68</v>
      </c>
      <c r="B55" s="270" t="s">
        <v>69</v>
      </c>
      <c r="C55" s="272" t="s">
        <v>71</v>
      </c>
      <c r="D55" s="273"/>
      <c r="E55" s="273"/>
      <c r="F55" s="273"/>
      <c r="G55" s="273"/>
      <c r="H55" s="273"/>
      <c r="I55" s="273"/>
      <c r="J55" s="273"/>
      <c r="K55" s="273"/>
      <c r="L55" s="273"/>
      <c r="M55" s="273"/>
      <c r="N55" s="273"/>
      <c r="O55" s="273"/>
      <c r="P55" s="274"/>
      <c r="Q55" s="215"/>
      <c r="R55" s="215"/>
      <c r="S55" s="216"/>
      <c r="T55" s="216"/>
      <c r="U55" s="216"/>
      <c r="V55" s="216"/>
      <c r="W55" s="216"/>
      <c r="X55" s="216"/>
      <c r="Y55" s="216"/>
      <c r="Z55" s="216"/>
      <c r="AA55" s="216"/>
      <c r="AB55" s="216"/>
      <c r="AC55" s="216"/>
      <c r="AD55" s="216"/>
    </row>
    <row r="56" spans="1:30" x14ac:dyDescent="0.3">
      <c r="A56" s="269"/>
      <c r="B56" s="271"/>
      <c r="C56" s="217" t="s">
        <v>70</v>
      </c>
      <c r="D56" s="217" t="s">
        <v>73</v>
      </c>
      <c r="E56" s="217" t="s">
        <v>74</v>
      </c>
      <c r="F56" s="217" t="s">
        <v>75</v>
      </c>
      <c r="G56" s="217" t="s">
        <v>76</v>
      </c>
      <c r="H56" s="217" t="s">
        <v>77</v>
      </c>
      <c r="I56" s="217" t="s">
        <v>78</v>
      </c>
      <c r="J56" s="217" t="s">
        <v>79</v>
      </c>
      <c r="K56" s="217" t="s">
        <v>80</v>
      </c>
      <c r="L56" s="217" t="s">
        <v>81</v>
      </c>
      <c r="M56" s="217" t="s">
        <v>82</v>
      </c>
      <c r="N56" s="217" t="s">
        <v>83</v>
      </c>
      <c r="O56" s="217" t="s">
        <v>84</v>
      </c>
      <c r="P56" s="218" t="s">
        <v>85</v>
      </c>
      <c r="Q56" s="215"/>
      <c r="R56" s="215"/>
      <c r="S56" s="216"/>
      <c r="T56" s="216"/>
      <c r="U56" s="216"/>
      <c r="V56" s="216"/>
      <c r="W56" s="216"/>
      <c r="X56" s="216"/>
      <c r="Y56" s="216"/>
      <c r="Z56" s="216"/>
      <c r="AA56" s="216"/>
      <c r="AB56" s="216"/>
      <c r="AC56" s="216"/>
      <c r="AD56" s="216"/>
    </row>
    <row r="57" spans="1:30" ht="18" customHeight="1" x14ac:dyDescent="0.3">
      <c r="A57" s="264" t="str">
        <f>A41</f>
        <v xml:space="preserve">1. Realizar actividades de asistencia técnica dirigidas a los Sectores de la Administración Distrital, orientadas a la implementación de los lineamientos para la estrategia de transversalización del enfoque diferencial. </v>
      </c>
      <c r="B57" s="266">
        <f>B41</f>
        <v>0.05</v>
      </c>
      <c r="C57" s="219" t="s">
        <v>65</v>
      </c>
      <c r="D57" s="220">
        <f>D41*$B$41/$P$41</f>
        <v>2.5000000000000005E-3</v>
      </c>
      <c r="E57" s="220">
        <f t="shared" ref="E57:J57" si="3">E41*$B$41/$P$41</f>
        <v>1.0000000000000002E-2</v>
      </c>
      <c r="F57" s="220">
        <f t="shared" si="3"/>
        <v>1.7499999999999998E-2</v>
      </c>
      <c r="G57" s="220">
        <f t="shared" si="3"/>
        <v>1.0000000000000002E-2</v>
      </c>
      <c r="H57" s="220">
        <f t="shared" si="3"/>
        <v>1.0000000000000002E-2</v>
      </c>
      <c r="I57" s="220">
        <f t="shared" si="3"/>
        <v>0</v>
      </c>
      <c r="J57" s="220">
        <f t="shared" si="3"/>
        <v>0</v>
      </c>
      <c r="K57" s="220"/>
      <c r="L57" s="220"/>
      <c r="M57" s="220"/>
      <c r="N57" s="220"/>
      <c r="O57" s="220"/>
      <c r="P57" s="221">
        <f t="shared" ref="P57:P64" si="4">SUM(D57:O57)</f>
        <v>0.05</v>
      </c>
      <c r="Q57" s="222">
        <v>0.05</v>
      </c>
      <c r="R57" s="223">
        <f t="shared" ref="R57:R71" si="5">+P57-Q57</f>
        <v>0</v>
      </c>
      <c r="S57" s="216"/>
      <c r="T57" s="216"/>
      <c r="U57" s="216"/>
      <c r="V57" s="216"/>
      <c r="W57" s="216"/>
      <c r="X57" s="216"/>
      <c r="Y57" s="216"/>
      <c r="Z57" s="216"/>
      <c r="AA57" s="216"/>
      <c r="AB57" s="216"/>
      <c r="AC57" s="216"/>
      <c r="AD57" s="216"/>
    </row>
    <row r="58" spans="1:30" ht="18" customHeight="1" x14ac:dyDescent="0.3">
      <c r="A58" s="265"/>
      <c r="B58" s="267"/>
      <c r="C58" s="224" t="s">
        <v>66</v>
      </c>
      <c r="D58" s="225">
        <f>D42*$B$41/$P$41</f>
        <v>2.5000000000000005E-3</v>
      </c>
      <c r="E58" s="225">
        <f t="shared" ref="E58:I58" si="6">E42*$B$41/$P$41</f>
        <v>1.0000000000000002E-2</v>
      </c>
      <c r="F58" s="225">
        <f t="shared" si="6"/>
        <v>0</v>
      </c>
      <c r="G58" s="225">
        <f t="shared" si="6"/>
        <v>0</v>
      </c>
      <c r="H58" s="225">
        <f t="shared" si="6"/>
        <v>0</v>
      </c>
      <c r="I58" s="225">
        <f t="shared" si="6"/>
        <v>0</v>
      </c>
      <c r="J58" s="225"/>
      <c r="K58" s="225"/>
      <c r="L58" s="225"/>
      <c r="M58" s="225"/>
      <c r="N58" s="225"/>
      <c r="O58" s="225"/>
      <c r="P58" s="226">
        <f t="shared" si="4"/>
        <v>1.2500000000000002E-2</v>
      </c>
      <c r="Q58" s="227">
        <f>+P58</f>
        <v>1.2500000000000002E-2</v>
      </c>
      <c r="R58" s="223">
        <f t="shared" si="5"/>
        <v>0</v>
      </c>
      <c r="S58" s="216"/>
      <c r="T58" s="216"/>
      <c r="U58" s="216"/>
      <c r="V58" s="216"/>
      <c r="W58" s="216"/>
      <c r="X58" s="216"/>
      <c r="Y58" s="216"/>
      <c r="Z58" s="216"/>
      <c r="AA58" s="216"/>
      <c r="AB58" s="216"/>
      <c r="AC58" s="216"/>
      <c r="AD58" s="216"/>
    </row>
    <row r="59" spans="1:30" ht="18" customHeight="1" x14ac:dyDescent="0.3">
      <c r="A59" s="264" t="str">
        <f t="shared" ref="A59:B59" si="7">A43</f>
        <v xml:space="preserve">2. Socializar con los diferentes sectores de la Administración Distrital, la caja de herramientas que contribuya a la eliminación de barreras de acceso a los servicios y a la realización de acciones afirmativas dirigidas a mujeres en sus diferencias y diversidad para la garantía de sus derechos en el Distrito Capital. </v>
      </c>
      <c r="B59" s="266">
        <f t="shared" si="7"/>
        <v>0.05</v>
      </c>
      <c r="C59" s="219" t="s">
        <v>65</v>
      </c>
      <c r="D59" s="220">
        <f>D43*$B$43/$P$43</f>
        <v>0</v>
      </c>
      <c r="E59" s="220">
        <f>E43*$B$43/$P$43</f>
        <v>7.4999999999999997E-3</v>
      </c>
      <c r="F59" s="220">
        <f t="shared" ref="F59:I59" si="8">F43*$B$43/$P$43</f>
        <v>1.2500000000000001E-2</v>
      </c>
      <c r="G59" s="220">
        <f t="shared" si="8"/>
        <v>1.4999999999999999E-2</v>
      </c>
      <c r="H59" s="220">
        <f t="shared" si="8"/>
        <v>1.4999999999999999E-2</v>
      </c>
      <c r="I59" s="220">
        <f t="shared" si="8"/>
        <v>0</v>
      </c>
      <c r="J59" s="220"/>
      <c r="K59" s="220"/>
      <c r="L59" s="220"/>
      <c r="M59" s="220"/>
      <c r="N59" s="220"/>
      <c r="O59" s="220"/>
      <c r="P59" s="221">
        <f t="shared" si="4"/>
        <v>0.05</v>
      </c>
      <c r="Q59" s="222">
        <v>2.5000000000000001E-2</v>
      </c>
      <c r="R59" s="223">
        <f t="shared" si="5"/>
        <v>2.5000000000000001E-2</v>
      </c>
      <c r="S59" s="216"/>
      <c r="T59" s="216"/>
      <c r="U59" s="216"/>
      <c r="V59" s="216"/>
      <c r="W59" s="216"/>
      <c r="X59" s="216"/>
      <c r="Y59" s="216"/>
      <c r="Z59" s="216"/>
      <c r="AA59" s="216"/>
      <c r="AB59" s="216"/>
      <c r="AC59" s="216"/>
      <c r="AD59" s="216"/>
    </row>
    <row r="60" spans="1:30" ht="18" customHeight="1" x14ac:dyDescent="0.3">
      <c r="A60" s="265"/>
      <c r="B60" s="267"/>
      <c r="C60" s="224" t="s">
        <v>66</v>
      </c>
      <c r="D60" s="225">
        <f>D44*$B$43/$P$43</f>
        <v>0</v>
      </c>
      <c r="E60" s="225">
        <f t="shared" ref="E60:I60" si="9">E44*$B$43/$P$43</f>
        <v>7.4999999999999997E-3</v>
      </c>
      <c r="F60" s="225">
        <f t="shared" si="9"/>
        <v>0</v>
      </c>
      <c r="G60" s="225">
        <f t="shared" si="9"/>
        <v>0</v>
      </c>
      <c r="H60" s="225">
        <f t="shared" si="9"/>
        <v>0</v>
      </c>
      <c r="I60" s="225">
        <f t="shared" si="9"/>
        <v>0</v>
      </c>
      <c r="J60" s="225"/>
      <c r="K60" s="225"/>
      <c r="L60" s="225"/>
      <c r="M60" s="225"/>
      <c r="N60" s="225"/>
      <c r="O60" s="225"/>
      <c r="P60" s="226">
        <f t="shared" si="4"/>
        <v>7.4999999999999997E-3</v>
      </c>
      <c r="Q60" s="227">
        <f>+P60</f>
        <v>7.4999999999999997E-3</v>
      </c>
      <c r="R60" s="223">
        <f t="shared" si="5"/>
        <v>0</v>
      </c>
      <c r="S60" s="216"/>
      <c r="T60" s="216"/>
      <c r="U60" s="216"/>
      <c r="V60" s="216"/>
      <c r="W60" s="216"/>
      <c r="X60" s="216"/>
      <c r="Y60" s="216"/>
      <c r="Z60" s="216"/>
      <c r="AA60" s="216"/>
      <c r="AB60" s="216"/>
      <c r="AC60" s="216"/>
      <c r="AD60" s="216"/>
    </row>
    <row r="61" spans="1:30" ht="18" customHeight="1" x14ac:dyDescent="0.3">
      <c r="A61" s="264" t="str">
        <f t="shared" ref="A61:B61" si="10">A45</f>
        <v>3. Hacer seguimiento al plan de fortalecimiento interno para la incorporación de acciones afirmativas con enfoque diferencial que permitan el acceso de las mujeres en toda su diversidad a los servicios que presta la Secretaría Distrital de la Mujer.</v>
      </c>
      <c r="B61" s="266">
        <f t="shared" si="10"/>
        <v>0.05</v>
      </c>
      <c r="C61" s="219" t="s">
        <v>65</v>
      </c>
      <c r="D61" s="220">
        <f>D45*$B$45/$P$45</f>
        <v>5.000000000000001E-3</v>
      </c>
      <c r="E61" s="220">
        <f t="shared" ref="E61:I61" si="11">E45*$B$45/$P$45</f>
        <v>7.4999999999999997E-3</v>
      </c>
      <c r="F61" s="220">
        <f t="shared" si="11"/>
        <v>1.2500000000000001E-2</v>
      </c>
      <c r="G61" s="220">
        <f t="shared" si="11"/>
        <v>1.2500000000000001E-2</v>
      </c>
      <c r="H61" s="220">
        <f t="shared" si="11"/>
        <v>1.2500000000000001E-2</v>
      </c>
      <c r="I61" s="220">
        <f t="shared" si="11"/>
        <v>0</v>
      </c>
      <c r="J61" s="220"/>
      <c r="K61" s="220"/>
      <c r="L61" s="220"/>
      <c r="M61" s="220"/>
      <c r="N61" s="220"/>
      <c r="O61" s="220"/>
      <c r="P61" s="221">
        <f t="shared" si="4"/>
        <v>0.05</v>
      </c>
      <c r="Q61" s="222">
        <v>2.5000000000000001E-2</v>
      </c>
      <c r="R61" s="223">
        <f t="shared" si="5"/>
        <v>2.5000000000000001E-2</v>
      </c>
      <c r="S61" s="216"/>
      <c r="T61" s="216"/>
      <c r="U61" s="216"/>
      <c r="V61" s="216"/>
      <c r="W61" s="216"/>
      <c r="X61" s="216"/>
      <c r="Y61" s="216"/>
      <c r="Z61" s="216"/>
      <c r="AA61" s="216"/>
      <c r="AB61" s="216"/>
      <c r="AC61" s="216"/>
      <c r="AD61" s="216"/>
    </row>
    <row r="62" spans="1:30" ht="18" customHeight="1" x14ac:dyDescent="0.3">
      <c r="A62" s="265"/>
      <c r="B62" s="267"/>
      <c r="C62" s="224" t="s">
        <v>66</v>
      </c>
      <c r="D62" s="243">
        <f>D46*$B$45/$P$45</f>
        <v>5.000000000000001E-3</v>
      </c>
      <c r="E62" s="243">
        <f t="shared" ref="E62:I62" si="12">E46*$B$45/$P$45</f>
        <v>7.4999999999999997E-3</v>
      </c>
      <c r="F62" s="243">
        <f t="shared" si="12"/>
        <v>0</v>
      </c>
      <c r="G62" s="243">
        <f t="shared" si="12"/>
        <v>0</v>
      </c>
      <c r="H62" s="243">
        <f t="shared" si="12"/>
        <v>0</v>
      </c>
      <c r="I62" s="243">
        <f t="shared" si="12"/>
        <v>0</v>
      </c>
      <c r="J62" s="225"/>
      <c r="K62" s="225"/>
      <c r="L62" s="225"/>
      <c r="M62" s="225"/>
      <c r="N62" s="225"/>
      <c r="O62" s="225"/>
      <c r="P62" s="226">
        <f t="shared" si="4"/>
        <v>1.2500000000000001E-2</v>
      </c>
      <c r="Q62" s="227">
        <f>+P62</f>
        <v>1.2500000000000001E-2</v>
      </c>
      <c r="R62" s="223">
        <f t="shared" si="5"/>
        <v>0</v>
      </c>
      <c r="S62" s="216"/>
      <c r="T62" s="216"/>
      <c r="U62" s="216"/>
      <c r="V62" s="216"/>
      <c r="W62" s="216"/>
      <c r="X62" s="216"/>
      <c r="Y62" s="216"/>
      <c r="Z62" s="216"/>
      <c r="AA62" s="216"/>
      <c r="AB62" s="216"/>
      <c r="AC62" s="216"/>
      <c r="AD62" s="216"/>
    </row>
    <row r="63" spans="1:30" ht="18" customHeight="1" x14ac:dyDescent="0.3">
      <c r="A63" s="264" t="str">
        <f t="shared" ref="A63:B63" si="13">A47</f>
        <v>4.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3" s="266">
        <f t="shared" si="13"/>
        <v>0.03</v>
      </c>
      <c r="C63" s="219" t="s">
        <v>65</v>
      </c>
      <c r="D63" s="220">
        <f>D47*$B$47/$P$47</f>
        <v>0</v>
      </c>
      <c r="E63" s="220">
        <f t="shared" ref="E63:I63" si="14">E47*$B$47/$P$47</f>
        <v>7.4999999999999997E-3</v>
      </c>
      <c r="F63" s="220">
        <f t="shared" si="14"/>
        <v>7.4999999999999997E-3</v>
      </c>
      <c r="G63" s="220">
        <f t="shared" si="14"/>
        <v>7.4999999999999997E-3</v>
      </c>
      <c r="H63" s="220">
        <f t="shared" si="14"/>
        <v>7.4999999999999997E-3</v>
      </c>
      <c r="I63" s="220">
        <f t="shared" si="14"/>
        <v>0</v>
      </c>
      <c r="J63" s="220"/>
      <c r="K63" s="220"/>
      <c r="L63" s="220"/>
      <c r="M63" s="220"/>
      <c r="N63" s="220"/>
      <c r="O63" s="220"/>
      <c r="P63" s="221">
        <f t="shared" si="4"/>
        <v>0.03</v>
      </c>
      <c r="Q63" s="222">
        <v>0.02</v>
      </c>
      <c r="R63" s="223">
        <f t="shared" si="5"/>
        <v>9.9999999999999985E-3</v>
      </c>
      <c r="S63" s="216"/>
      <c r="T63" s="216"/>
      <c r="U63" s="216"/>
      <c r="V63" s="216"/>
      <c r="W63" s="216"/>
      <c r="X63" s="216"/>
      <c r="Y63" s="216"/>
      <c r="Z63" s="216"/>
      <c r="AA63" s="216"/>
      <c r="AB63" s="216"/>
      <c r="AC63" s="216"/>
      <c r="AD63" s="216"/>
    </row>
    <row r="64" spans="1:30" ht="18" customHeight="1" thickBot="1" x14ac:dyDescent="0.35">
      <c r="A64" s="265"/>
      <c r="B64" s="267"/>
      <c r="C64" s="228" t="s">
        <v>66</v>
      </c>
      <c r="D64" s="229">
        <f>D48*$B$47/$P$47</f>
        <v>0</v>
      </c>
      <c r="E64" s="229">
        <f t="shared" ref="E64:I64" si="15">E48*$B$47/$P$47</f>
        <v>7.4999999999999997E-3</v>
      </c>
      <c r="F64" s="229">
        <f t="shared" si="15"/>
        <v>0</v>
      </c>
      <c r="G64" s="229">
        <f t="shared" si="15"/>
        <v>0</v>
      </c>
      <c r="H64" s="229">
        <f t="shared" si="15"/>
        <v>0</v>
      </c>
      <c r="I64" s="229">
        <f t="shared" si="15"/>
        <v>0</v>
      </c>
      <c r="J64" s="229"/>
      <c r="K64" s="229"/>
      <c r="L64" s="229"/>
      <c r="M64" s="229"/>
      <c r="N64" s="229"/>
      <c r="O64" s="229"/>
      <c r="P64" s="230">
        <f t="shared" si="4"/>
        <v>7.4999999999999997E-3</v>
      </c>
      <c r="Q64" s="227">
        <f>+P64</f>
        <v>7.4999999999999997E-3</v>
      </c>
      <c r="R64" s="223">
        <f t="shared" si="5"/>
        <v>0</v>
      </c>
      <c r="S64" s="216"/>
      <c r="T64" s="216"/>
      <c r="U64" s="216"/>
      <c r="V64" s="216"/>
      <c r="W64" s="216"/>
      <c r="X64" s="216"/>
      <c r="Y64" s="216"/>
      <c r="Z64" s="216"/>
      <c r="AA64" s="216"/>
      <c r="AB64" s="216"/>
      <c r="AC64" s="216"/>
      <c r="AD64" s="216"/>
    </row>
    <row r="65" spans="1:30" x14ac:dyDescent="0.3">
      <c r="A65" s="260"/>
      <c r="B65" s="262"/>
      <c r="C65" s="231"/>
      <c r="D65" s="220"/>
      <c r="E65" s="220"/>
      <c r="F65" s="220"/>
      <c r="G65" s="220"/>
      <c r="H65" s="220"/>
      <c r="I65" s="220"/>
      <c r="J65" s="220"/>
      <c r="K65" s="220"/>
      <c r="L65" s="220"/>
      <c r="M65" s="220"/>
      <c r="N65" s="220"/>
      <c r="O65" s="220"/>
      <c r="P65" s="232"/>
      <c r="Q65" s="222">
        <v>0.02</v>
      </c>
      <c r="R65" s="223">
        <f t="shared" si="5"/>
        <v>-0.02</v>
      </c>
      <c r="S65" s="216"/>
      <c r="T65" s="216"/>
      <c r="U65" s="216"/>
      <c r="V65" s="216"/>
      <c r="W65" s="216"/>
      <c r="X65" s="216"/>
      <c r="Y65" s="216"/>
      <c r="Z65" s="216"/>
      <c r="AA65" s="216"/>
      <c r="AB65" s="216"/>
      <c r="AC65" s="216"/>
      <c r="AD65" s="216"/>
    </row>
    <row r="66" spans="1:30" x14ac:dyDescent="0.3">
      <c r="A66" s="261"/>
      <c r="B66" s="263"/>
      <c r="C66" s="231"/>
      <c r="D66" s="233"/>
      <c r="E66" s="233"/>
      <c r="F66" s="233"/>
      <c r="G66" s="233"/>
      <c r="H66" s="233"/>
      <c r="I66" s="233"/>
      <c r="J66" s="233"/>
      <c r="K66" s="233"/>
      <c r="L66" s="233"/>
      <c r="M66" s="233"/>
      <c r="N66" s="233"/>
      <c r="O66" s="233"/>
      <c r="P66" s="232"/>
      <c r="Q66" s="227">
        <f>+P66</f>
        <v>0</v>
      </c>
      <c r="R66" s="223">
        <f t="shared" si="5"/>
        <v>0</v>
      </c>
      <c r="S66" s="216"/>
      <c r="T66" s="216"/>
      <c r="U66" s="216"/>
      <c r="V66" s="216"/>
      <c r="W66" s="216"/>
      <c r="X66" s="216"/>
      <c r="Y66" s="216"/>
      <c r="Z66" s="216"/>
      <c r="AA66" s="216"/>
      <c r="AB66" s="216"/>
      <c r="AC66" s="216"/>
      <c r="AD66" s="216"/>
    </row>
    <row r="67" spans="1:30" x14ac:dyDescent="0.3">
      <c r="A67" s="260"/>
      <c r="B67" s="262"/>
      <c r="C67" s="231"/>
      <c r="D67" s="220"/>
      <c r="E67" s="220"/>
      <c r="F67" s="220"/>
      <c r="G67" s="220"/>
      <c r="H67" s="220"/>
      <c r="I67" s="220"/>
      <c r="J67" s="220"/>
      <c r="K67" s="220"/>
      <c r="L67" s="220"/>
      <c r="M67" s="220"/>
      <c r="N67" s="220"/>
      <c r="O67" s="220"/>
      <c r="P67" s="232"/>
      <c r="Q67" s="222">
        <v>0.02</v>
      </c>
      <c r="R67" s="223">
        <f t="shared" si="5"/>
        <v>-0.02</v>
      </c>
      <c r="S67" s="216"/>
      <c r="T67" s="216"/>
      <c r="U67" s="216"/>
      <c r="V67" s="216"/>
      <c r="W67" s="216"/>
      <c r="X67" s="216"/>
      <c r="Y67" s="216"/>
      <c r="Z67" s="216"/>
      <c r="AA67" s="216"/>
      <c r="AB67" s="216"/>
      <c r="AC67" s="216"/>
      <c r="AD67" s="216"/>
    </row>
    <row r="68" spans="1:30" x14ac:dyDescent="0.3">
      <c r="A68" s="261"/>
      <c r="B68" s="263"/>
      <c r="C68" s="231"/>
      <c r="D68" s="233"/>
      <c r="E68" s="233"/>
      <c r="F68" s="233"/>
      <c r="G68" s="233"/>
      <c r="H68" s="233"/>
      <c r="I68" s="233"/>
      <c r="J68" s="233"/>
      <c r="K68" s="233"/>
      <c r="L68" s="233"/>
      <c r="M68" s="233"/>
      <c r="N68" s="233"/>
      <c r="O68" s="233"/>
      <c r="P68" s="232"/>
      <c r="Q68" s="227">
        <f>+P68</f>
        <v>0</v>
      </c>
      <c r="R68" s="223">
        <f t="shared" si="5"/>
        <v>0</v>
      </c>
      <c r="S68" s="216"/>
      <c r="T68" s="216"/>
      <c r="U68" s="216"/>
      <c r="V68" s="216"/>
      <c r="W68" s="216"/>
      <c r="X68" s="216"/>
      <c r="Y68" s="216"/>
      <c r="Z68" s="216"/>
      <c r="AA68" s="216"/>
      <c r="AB68" s="216"/>
      <c r="AC68" s="216"/>
      <c r="AD68" s="216"/>
    </row>
    <row r="69" spans="1:30" x14ac:dyDescent="0.3">
      <c r="A69" s="260"/>
      <c r="B69" s="262"/>
      <c r="C69" s="231"/>
      <c r="D69" s="220"/>
      <c r="E69" s="220"/>
      <c r="F69" s="220"/>
      <c r="G69" s="220"/>
      <c r="H69" s="220"/>
      <c r="I69" s="220"/>
      <c r="J69" s="220"/>
      <c r="K69" s="220"/>
      <c r="L69" s="220"/>
      <c r="M69" s="220"/>
      <c r="N69" s="220"/>
      <c r="O69" s="220"/>
      <c r="P69" s="232"/>
      <c r="Q69" s="222"/>
      <c r="R69" s="223"/>
      <c r="S69" s="216"/>
      <c r="T69" s="216"/>
      <c r="U69" s="216"/>
      <c r="V69" s="216"/>
      <c r="W69" s="216"/>
      <c r="X69" s="216"/>
      <c r="Y69" s="216"/>
      <c r="Z69" s="216"/>
      <c r="AA69" s="216"/>
      <c r="AB69" s="216"/>
      <c r="AC69" s="216"/>
      <c r="AD69" s="216"/>
    </row>
    <row r="70" spans="1:30" x14ac:dyDescent="0.3">
      <c r="A70" s="261"/>
      <c r="B70" s="263"/>
      <c r="C70" s="231"/>
      <c r="D70" s="233"/>
      <c r="E70" s="233"/>
      <c r="F70" s="233"/>
      <c r="G70" s="233"/>
      <c r="H70" s="233"/>
      <c r="I70" s="233"/>
      <c r="J70" s="233"/>
      <c r="K70" s="233"/>
      <c r="L70" s="233"/>
      <c r="M70" s="233"/>
      <c r="N70" s="233"/>
      <c r="O70" s="233"/>
      <c r="P70" s="232"/>
      <c r="Q70" s="227"/>
      <c r="R70" s="223"/>
      <c r="S70" s="216"/>
      <c r="T70" s="216"/>
      <c r="U70" s="216"/>
      <c r="V70" s="216"/>
      <c r="W70" s="216"/>
      <c r="X70" s="216"/>
      <c r="Y70" s="216"/>
      <c r="Z70" s="216"/>
      <c r="AA70" s="216"/>
      <c r="AB70" s="216"/>
      <c r="AC70" s="216"/>
      <c r="AD70" s="216"/>
    </row>
    <row r="71" spans="1:30" x14ac:dyDescent="0.3">
      <c r="A71" s="215"/>
      <c r="B71" s="234"/>
      <c r="C71" s="235"/>
      <c r="D71" s="236">
        <f>D58+D60+D62+D64</f>
        <v>7.5000000000000015E-3</v>
      </c>
      <c r="E71" s="236">
        <f t="shared" ref="E71:O71" si="16">E58+E60+E62+E64</f>
        <v>3.2500000000000001E-2</v>
      </c>
      <c r="F71" s="236">
        <f t="shared" si="16"/>
        <v>0</v>
      </c>
      <c r="G71" s="236">
        <f t="shared" si="16"/>
        <v>0</v>
      </c>
      <c r="H71" s="236">
        <f t="shared" si="16"/>
        <v>0</v>
      </c>
      <c r="I71" s="236">
        <f t="shared" si="16"/>
        <v>0</v>
      </c>
      <c r="J71" s="236">
        <f t="shared" si="16"/>
        <v>0</v>
      </c>
      <c r="K71" s="236">
        <f t="shared" si="16"/>
        <v>0</v>
      </c>
      <c r="L71" s="236">
        <f t="shared" si="16"/>
        <v>0</v>
      </c>
      <c r="M71" s="236">
        <f t="shared" si="16"/>
        <v>0</v>
      </c>
      <c r="N71" s="236">
        <f t="shared" si="16"/>
        <v>0</v>
      </c>
      <c r="O71" s="236">
        <f t="shared" si="16"/>
        <v>0</v>
      </c>
      <c r="P71" s="236">
        <f>P58+P60+P62+P64</f>
        <v>0.04</v>
      </c>
      <c r="Q71" s="215"/>
      <c r="R71" s="223">
        <f t="shared" si="5"/>
        <v>0.04</v>
      </c>
      <c r="S71" s="216"/>
      <c r="T71" s="216"/>
      <c r="U71" s="216"/>
      <c r="V71" s="216"/>
      <c r="W71" s="216"/>
      <c r="X71" s="216"/>
      <c r="Y71" s="216"/>
      <c r="Z71" s="216"/>
      <c r="AA71" s="216"/>
      <c r="AB71" s="216"/>
      <c r="AC71" s="216"/>
      <c r="AD71" s="216"/>
    </row>
    <row r="72" spans="1:30" x14ac:dyDescent="0.3">
      <c r="A72" s="215"/>
      <c r="B72" s="237"/>
      <c r="C72" s="238" t="s">
        <v>66</v>
      </c>
      <c r="D72" s="239">
        <f t="shared" ref="D72:N72" si="17">D71*0.3/$B$35</f>
        <v>1.2500000000000002E-2</v>
      </c>
      <c r="E72" s="239">
        <f t="shared" si="17"/>
        <v>5.4166666666666669E-2</v>
      </c>
      <c r="F72" s="239">
        <f t="shared" si="17"/>
        <v>0</v>
      </c>
      <c r="G72" s="239">
        <f t="shared" si="17"/>
        <v>0</v>
      </c>
      <c r="H72" s="239">
        <f t="shared" si="17"/>
        <v>0</v>
      </c>
      <c r="I72" s="239">
        <f t="shared" si="17"/>
        <v>0</v>
      </c>
      <c r="J72" s="239">
        <f t="shared" si="17"/>
        <v>0</v>
      </c>
      <c r="K72" s="239">
        <f t="shared" si="17"/>
        <v>0</v>
      </c>
      <c r="L72" s="239">
        <f t="shared" si="17"/>
        <v>0</v>
      </c>
      <c r="M72" s="239">
        <f t="shared" si="17"/>
        <v>0</v>
      </c>
      <c r="N72" s="239">
        <f t="shared" si="17"/>
        <v>0</v>
      </c>
      <c r="O72" s="239">
        <f>O71*0.53/$B$35</f>
        <v>0</v>
      </c>
      <c r="P72" s="240">
        <f>SUM(D72:O72)</f>
        <v>6.6666666666666666E-2</v>
      </c>
      <c r="Q72" s="241"/>
      <c r="R72" s="215"/>
      <c r="S72" s="216"/>
      <c r="T72" s="216"/>
      <c r="U72" s="216"/>
      <c r="V72" s="216"/>
      <c r="W72" s="216"/>
      <c r="X72" s="216"/>
      <c r="Y72" s="216"/>
      <c r="Z72" s="216"/>
      <c r="AA72" s="216"/>
      <c r="AB72" s="216"/>
      <c r="AC72" s="216"/>
      <c r="AD72" s="216"/>
    </row>
    <row r="73" spans="1:30" x14ac:dyDescent="0.3">
      <c r="A73" s="241"/>
      <c r="B73" s="242"/>
      <c r="C73" s="242"/>
      <c r="D73" s="242"/>
      <c r="E73" s="242"/>
      <c r="F73" s="242"/>
      <c r="G73" s="242"/>
      <c r="H73" s="242"/>
      <c r="I73" s="242"/>
      <c r="J73" s="242"/>
      <c r="K73" s="242"/>
      <c r="L73" s="242"/>
      <c r="M73" s="242"/>
      <c r="N73" s="242"/>
      <c r="O73" s="242"/>
      <c r="P73" s="242"/>
      <c r="Q73" s="241"/>
      <c r="R73" s="241"/>
      <c r="S73" s="216"/>
      <c r="T73" s="216"/>
      <c r="U73" s="216"/>
      <c r="V73" s="216"/>
      <c r="W73" s="216"/>
      <c r="X73" s="216"/>
      <c r="Y73" s="216"/>
      <c r="Z73" s="216"/>
      <c r="AA73" s="216"/>
      <c r="AB73" s="216"/>
      <c r="AC73" s="216"/>
      <c r="AD73" s="216"/>
    </row>
    <row r="74" spans="1:30" x14ac:dyDescent="0.3">
      <c r="A74" s="222"/>
      <c r="B74" s="33"/>
      <c r="C74" s="33"/>
      <c r="D74" s="236">
        <f>+D57+D59+D61+D63</f>
        <v>7.5000000000000015E-3</v>
      </c>
      <c r="E74" s="236">
        <f t="shared" ref="E74:O74" si="18">+E57+E59+E61+E63</f>
        <v>3.2500000000000001E-2</v>
      </c>
      <c r="F74" s="236">
        <f t="shared" si="18"/>
        <v>4.9999999999999996E-2</v>
      </c>
      <c r="G74" s="236">
        <f t="shared" si="18"/>
        <v>4.5000000000000005E-2</v>
      </c>
      <c r="H74" s="236">
        <f t="shared" si="18"/>
        <v>4.5000000000000005E-2</v>
      </c>
      <c r="I74" s="236">
        <f t="shared" si="18"/>
        <v>0</v>
      </c>
      <c r="J74" s="236">
        <f t="shared" si="18"/>
        <v>0</v>
      </c>
      <c r="K74" s="236">
        <f t="shared" si="18"/>
        <v>0</v>
      </c>
      <c r="L74" s="236">
        <f t="shared" si="18"/>
        <v>0</v>
      </c>
      <c r="M74" s="236">
        <f t="shared" si="18"/>
        <v>0</v>
      </c>
      <c r="N74" s="236">
        <f t="shared" si="18"/>
        <v>0</v>
      </c>
      <c r="O74" s="236">
        <f t="shared" si="18"/>
        <v>0</v>
      </c>
      <c r="P74" s="236">
        <f t="shared" ref="P74" si="19">+P57+P59+P61+P63</f>
        <v>0.18000000000000002</v>
      </c>
      <c r="Q74" s="222"/>
      <c r="R74" s="222"/>
      <c r="S74" s="216"/>
      <c r="T74" s="216"/>
      <c r="U74" s="216"/>
      <c r="V74" s="216"/>
      <c r="W74" s="216"/>
      <c r="X74" s="216"/>
      <c r="Y74" s="216"/>
      <c r="Z74" s="216"/>
      <c r="AA74" s="216"/>
      <c r="AB74" s="216"/>
      <c r="AC74" s="216"/>
      <c r="AD74" s="216"/>
    </row>
    <row r="75" spans="1:30" x14ac:dyDescent="0.3">
      <c r="A75" s="222"/>
      <c r="B75" s="33"/>
      <c r="C75" s="238" t="s">
        <v>65</v>
      </c>
      <c r="D75" s="239">
        <f t="shared" ref="D75:O75" si="20">D74*0.3/$B$35</f>
        <v>1.2500000000000002E-2</v>
      </c>
      <c r="E75" s="239">
        <f t="shared" si="20"/>
        <v>5.4166666666666669E-2</v>
      </c>
      <c r="F75" s="239">
        <f t="shared" si="20"/>
        <v>8.3333333333333329E-2</v>
      </c>
      <c r="G75" s="239">
        <f t="shared" si="20"/>
        <v>7.5000000000000011E-2</v>
      </c>
      <c r="H75" s="239">
        <f t="shared" si="20"/>
        <v>7.5000000000000011E-2</v>
      </c>
      <c r="I75" s="239">
        <f t="shared" si="20"/>
        <v>0</v>
      </c>
      <c r="J75" s="239">
        <f t="shared" si="20"/>
        <v>0</v>
      </c>
      <c r="K75" s="239">
        <f t="shared" si="20"/>
        <v>0</v>
      </c>
      <c r="L75" s="239">
        <f t="shared" si="20"/>
        <v>0</v>
      </c>
      <c r="M75" s="239">
        <f t="shared" si="20"/>
        <v>0</v>
      </c>
      <c r="N75" s="239">
        <f t="shared" si="20"/>
        <v>0</v>
      </c>
      <c r="O75" s="239">
        <f t="shared" si="20"/>
        <v>0</v>
      </c>
      <c r="P75" s="240">
        <f>SUM(D75:O75)</f>
        <v>0.30000000000000004</v>
      </c>
      <c r="Q75" s="222"/>
      <c r="R75" s="222"/>
      <c r="S75" s="216"/>
      <c r="T75" s="216"/>
      <c r="U75" s="216"/>
      <c r="V75" s="216"/>
      <c r="W75" s="216"/>
      <c r="X75" s="216"/>
      <c r="Y75" s="216"/>
      <c r="Z75" s="216"/>
      <c r="AA75" s="216"/>
      <c r="AB75" s="216"/>
      <c r="AC75" s="216"/>
      <c r="AD75" s="216"/>
    </row>
    <row r="76" spans="1:30" x14ac:dyDescent="0.3">
      <c r="A76" s="216"/>
      <c r="Q76" s="216"/>
      <c r="R76" s="216"/>
      <c r="S76" s="216"/>
      <c r="T76" s="216"/>
      <c r="U76" s="216"/>
      <c r="V76" s="216"/>
      <c r="W76" s="216"/>
      <c r="X76" s="216"/>
      <c r="Y76" s="216"/>
      <c r="Z76" s="216"/>
      <c r="AA76" s="216"/>
      <c r="AB76" s="216"/>
      <c r="AC76" s="216"/>
      <c r="AD76" s="216"/>
    </row>
    <row r="77" spans="1:30" x14ac:dyDescent="0.3">
      <c r="A77" s="216"/>
      <c r="Q77" s="216"/>
      <c r="R77" s="216"/>
      <c r="S77" s="216"/>
      <c r="T77" s="216"/>
      <c r="U77" s="216"/>
      <c r="V77" s="216"/>
      <c r="W77" s="216"/>
      <c r="X77" s="216"/>
      <c r="Y77" s="216"/>
      <c r="Z77" s="216"/>
      <c r="AA77" s="216"/>
      <c r="AB77" s="216"/>
      <c r="AC77" s="216"/>
      <c r="AD77" s="216"/>
    </row>
    <row r="78" spans="1:30" x14ac:dyDescent="0.3">
      <c r="A78" s="216"/>
      <c r="Q78" s="216"/>
      <c r="R78" s="216"/>
      <c r="S78" s="216"/>
      <c r="T78" s="216"/>
      <c r="U78" s="216"/>
      <c r="V78" s="216"/>
      <c r="W78" s="216"/>
      <c r="X78" s="216"/>
      <c r="Y78" s="216"/>
      <c r="Z78" s="216"/>
      <c r="AA78" s="216"/>
      <c r="AB78" s="216"/>
      <c r="AC78" s="216"/>
      <c r="AD78" s="216"/>
    </row>
    <row r="79" spans="1:30" x14ac:dyDescent="0.3">
      <c r="A79" s="216"/>
      <c r="Q79" s="216"/>
      <c r="R79" s="216"/>
      <c r="S79" s="216"/>
      <c r="T79" s="216"/>
      <c r="U79" s="216"/>
      <c r="V79" s="216"/>
      <c r="W79" s="216"/>
      <c r="X79" s="216"/>
      <c r="Y79" s="216"/>
      <c r="Z79" s="216"/>
      <c r="AA79" s="216"/>
      <c r="AB79" s="216"/>
      <c r="AC79" s="216"/>
      <c r="AD79" s="216"/>
    </row>
    <row r="80" spans="1:30" x14ac:dyDescent="0.3">
      <c r="A80" s="216"/>
      <c r="Q80" s="216"/>
      <c r="R80" s="216"/>
      <c r="S80" s="216"/>
      <c r="T80" s="216"/>
      <c r="U80" s="216"/>
      <c r="V80" s="216"/>
      <c r="W80" s="216"/>
      <c r="X80" s="216"/>
      <c r="Y80" s="216"/>
      <c r="Z80" s="216"/>
      <c r="AA80" s="216"/>
      <c r="AB80" s="216"/>
      <c r="AC80" s="216"/>
      <c r="AD80" s="216"/>
    </row>
    <row r="81" spans="1:30" x14ac:dyDescent="0.3">
      <c r="A81" s="216"/>
      <c r="Q81" s="216"/>
      <c r="R81" s="216"/>
      <c r="S81" s="216"/>
      <c r="T81" s="216"/>
      <c r="U81" s="216"/>
      <c r="V81" s="216"/>
      <c r="W81" s="216"/>
      <c r="X81" s="216"/>
      <c r="Y81" s="216"/>
      <c r="Z81" s="216"/>
      <c r="AA81" s="216"/>
      <c r="AB81" s="216"/>
      <c r="AC81" s="216"/>
      <c r="AD81" s="216"/>
    </row>
    <row r="82" spans="1:30" x14ac:dyDescent="0.3">
      <c r="A82" s="216"/>
      <c r="Q82" s="216"/>
      <c r="R82" s="216"/>
      <c r="S82" s="216"/>
      <c r="T82" s="216"/>
      <c r="U82" s="216"/>
      <c r="V82" s="216"/>
      <c r="W82" s="216"/>
      <c r="X82" s="216"/>
      <c r="Y82" s="216"/>
      <c r="Z82" s="216"/>
      <c r="AA82" s="216"/>
      <c r="AB82" s="216"/>
      <c r="AC82" s="216"/>
      <c r="AD82" s="216"/>
    </row>
    <row r="83" spans="1:30" x14ac:dyDescent="0.3">
      <c r="A83" s="216"/>
      <c r="Q83" s="216"/>
      <c r="R83" s="216"/>
      <c r="S83" s="216"/>
      <c r="T83" s="216"/>
      <c r="U83" s="216"/>
      <c r="V83" s="216"/>
      <c r="W83" s="216"/>
      <c r="X83" s="216"/>
      <c r="Y83" s="216"/>
      <c r="Z83" s="216"/>
      <c r="AA83" s="216"/>
      <c r="AB83" s="216"/>
      <c r="AC83" s="216"/>
      <c r="AD83" s="216"/>
    </row>
    <row r="84" spans="1:30" x14ac:dyDescent="0.3">
      <c r="A84" s="216"/>
      <c r="Q84" s="216"/>
      <c r="R84" s="216"/>
      <c r="S84" s="216"/>
      <c r="T84" s="216"/>
      <c r="U84" s="216"/>
      <c r="V84" s="216"/>
      <c r="W84" s="216"/>
      <c r="X84" s="216"/>
      <c r="Y84" s="216"/>
      <c r="Z84" s="216"/>
      <c r="AA84" s="216"/>
      <c r="AB84" s="216"/>
      <c r="AC84" s="216"/>
      <c r="AD84" s="216"/>
    </row>
    <row r="85" spans="1:30" x14ac:dyDescent="0.3">
      <c r="A85" s="254"/>
    </row>
    <row r="86" spans="1:30" x14ac:dyDescent="0.3">
      <c r="A86" s="254"/>
    </row>
    <row r="87" spans="1:30" x14ac:dyDescent="0.3">
      <c r="A87" s="254"/>
    </row>
    <row r="88" spans="1:30" x14ac:dyDescent="0.3">
      <c r="A88" s="254"/>
    </row>
    <row r="89" spans="1:30" x14ac:dyDescent="0.3">
      <c r="A89" s="254"/>
    </row>
    <row r="90" spans="1:30" x14ac:dyDescent="0.3">
      <c r="A90" s="254"/>
    </row>
    <row r="91" spans="1:30" x14ac:dyDescent="0.3">
      <c r="A91" s="254"/>
    </row>
    <row r="92" spans="1:30" x14ac:dyDescent="0.3">
      <c r="A92" s="254"/>
    </row>
    <row r="93" spans="1:30" x14ac:dyDescent="0.3">
      <c r="A93" s="254"/>
    </row>
    <row r="94" spans="1:30" x14ac:dyDescent="0.3">
      <c r="A94" s="254"/>
    </row>
  </sheetData>
  <mergeCells count="100">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7:A48"/>
    <mergeCell ref="B47:B48"/>
    <mergeCell ref="A43:A44"/>
    <mergeCell ref="B43:B44"/>
    <mergeCell ref="A45:A46"/>
    <mergeCell ref="B45:B46"/>
    <mergeCell ref="Q47:X48"/>
    <mergeCell ref="Y47:AE48"/>
    <mergeCell ref="Y40:AE40"/>
    <mergeCell ref="Y41:AE42"/>
    <mergeCell ref="Q43:X44"/>
    <mergeCell ref="Y43:AE44"/>
    <mergeCell ref="Q45:X46"/>
    <mergeCell ref="Y45:AE46"/>
    <mergeCell ref="Q41:X42"/>
    <mergeCell ref="A55:A56"/>
    <mergeCell ref="B55:B56"/>
    <mergeCell ref="C55:P55"/>
    <mergeCell ref="A57:A58"/>
    <mergeCell ref="B57:B58"/>
    <mergeCell ref="A59:A60"/>
    <mergeCell ref="B59:B60"/>
    <mergeCell ref="A61:A62"/>
    <mergeCell ref="B61:B62"/>
    <mergeCell ref="A63:A64"/>
    <mergeCell ref="B63:B64"/>
    <mergeCell ref="A65:A66"/>
    <mergeCell ref="B65:B66"/>
    <mergeCell ref="A67:A68"/>
    <mergeCell ref="B67:B68"/>
    <mergeCell ref="A69:A70"/>
    <mergeCell ref="B69:B70"/>
  </mergeCells>
  <dataValidations count="3">
    <dataValidation type="textLength" operator="lessThanOrEqual" allowBlank="1" showInputMessage="1" showErrorMessage="1" errorTitle="Máximo 2.000 caracteres" error="Máximo 2.000 caracteres" sqref="Q43 Q41 Q35 Q45 Y35 AC35 Q47"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BB23494D-0D98-4EE4-AFC5-416C6DEF9979}"/>
    <hyperlink ref="Y43" r:id="rId2" xr:uid="{33E4557F-B67E-4F3A-8494-BAD0FD703CD3}"/>
    <hyperlink ref="Y45" r:id="rId3" xr:uid="{B6FCA1E3-AD66-410D-BC27-14E8BF7E2CA7}"/>
    <hyperlink ref="Y47" r:id="rId4" xr:uid="{2A5AC56A-E895-4373-A20D-66F9121CA2FD}"/>
  </hyperlinks>
  <printOptions horizontalCentered="1"/>
  <pageMargins left="0.23622047244094491" right="0.43307086614173229" top="0.74803149606299213" bottom="0.74803149606299213" header="0" footer="0"/>
  <pageSetup scale="20" orientation="landscape" r:id="rId5"/>
  <drawing r:id="rId6"/>
  <legacy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BK58"/>
  <sheetViews>
    <sheetView zoomScale="70" zoomScaleNormal="70" workbookViewId="0">
      <selection sqref="A1:BK58"/>
    </sheetView>
  </sheetViews>
  <sheetFormatPr baseColWidth="10" defaultColWidth="19.44140625" defaultRowHeight="13.8" x14ac:dyDescent="0.3"/>
  <cols>
    <col min="1" max="1" width="29.5546875" style="33" bestFit="1" customWidth="1"/>
    <col min="2" max="17" width="11" style="33" customWidth="1"/>
    <col min="18" max="19" width="12.109375" style="33" customWidth="1"/>
    <col min="20" max="23" width="8.109375" style="33" customWidth="1"/>
    <col min="24" max="24" width="9.44140625" style="33" customWidth="1"/>
    <col min="25" max="25" width="8.109375" style="33" customWidth="1"/>
    <col min="26" max="30" width="7.88671875" style="33" customWidth="1"/>
    <col min="31" max="31" width="11.33203125" style="33" customWidth="1"/>
    <col min="32" max="32" width="2.33203125" style="33" customWidth="1"/>
    <col min="33" max="33" width="19.44140625" style="33" customWidth="1"/>
    <col min="34" max="51" width="11.33203125" style="33" customWidth="1"/>
    <col min="52" max="63" width="8.88671875" style="33" customWidth="1"/>
    <col min="64" max="16384" width="19.44140625" style="33"/>
  </cols>
  <sheetData>
    <row r="1" spans="1:63" ht="15.9" customHeight="1" x14ac:dyDescent="0.3">
      <c r="A1" s="575"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9" t="s">
        <v>226</v>
      </c>
      <c r="BJ1" s="579"/>
      <c r="BK1" s="579"/>
    </row>
    <row r="2" spans="1:63" ht="15.9" customHeight="1" x14ac:dyDescent="0.3">
      <c r="A2" s="575" t="s">
        <v>2</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9" t="s">
        <v>3</v>
      </c>
      <c r="BJ2" s="579"/>
      <c r="BK2" s="579"/>
    </row>
    <row r="3" spans="1:63" ht="26.1" customHeight="1" x14ac:dyDescent="0.3">
      <c r="A3" s="575" t="s">
        <v>227</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9" t="s">
        <v>5</v>
      </c>
      <c r="BJ3" s="579"/>
      <c r="BK3" s="579"/>
    </row>
    <row r="4" spans="1:63" ht="15.9" customHeight="1" x14ac:dyDescent="0.3">
      <c r="A4" s="575" t="s">
        <v>228</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6" t="s">
        <v>229</v>
      </c>
      <c r="BJ4" s="577"/>
      <c r="BK4" s="578"/>
    </row>
    <row r="5" spans="1:63" ht="26.1" customHeight="1" x14ac:dyDescent="0.3">
      <c r="A5" s="580" t="s">
        <v>230</v>
      </c>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G5" s="580" t="s">
        <v>231</v>
      </c>
      <c r="AH5" s="580"/>
      <c r="AI5" s="580"/>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c r="BH5" s="580"/>
      <c r="BI5" s="581"/>
      <c r="BJ5" s="581"/>
      <c r="BK5" s="581"/>
    </row>
    <row r="6" spans="1:63" ht="31.5" customHeight="1" x14ac:dyDescent="0.3">
      <c r="A6" s="68" t="s">
        <v>232</v>
      </c>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6"/>
      <c r="AY6" s="586"/>
      <c r="AZ6" s="586"/>
      <c r="BA6" s="586"/>
      <c r="BB6" s="586"/>
      <c r="BC6" s="586"/>
      <c r="BD6" s="586"/>
      <c r="BE6" s="586"/>
      <c r="BF6" s="586"/>
      <c r="BG6" s="586"/>
      <c r="BH6" s="586"/>
      <c r="BI6" s="586"/>
      <c r="BJ6" s="586"/>
      <c r="BK6" s="586"/>
    </row>
    <row r="7" spans="1:63" ht="31.5" customHeight="1" x14ac:dyDescent="0.3">
      <c r="A7" s="69" t="s">
        <v>233</v>
      </c>
      <c r="B7" s="584"/>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5"/>
    </row>
    <row r="8" spans="1:63" ht="18.75" customHeight="1" x14ac:dyDescent="0.3">
      <c r="A8" s="60"/>
      <c r="B8" s="60"/>
      <c r="C8" s="60"/>
      <c r="D8" s="60"/>
      <c r="E8" s="60"/>
      <c r="F8" s="60"/>
      <c r="G8" s="60"/>
      <c r="H8" s="60"/>
      <c r="I8" s="60"/>
      <c r="J8" s="60"/>
      <c r="K8" s="61"/>
      <c r="L8" s="61"/>
      <c r="M8" s="61"/>
      <c r="N8" s="61"/>
      <c r="O8" s="61"/>
      <c r="P8" s="61"/>
      <c r="Q8" s="61"/>
      <c r="R8" s="61"/>
      <c r="S8" s="61"/>
      <c r="T8" s="61"/>
      <c r="U8" s="61"/>
      <c r="V8" s="61"/>
      <c r="W8" s="61"/>
      <c r="X8" s="61"/>
      <c r="Y8" s="61"/>
      <c r="Z8" s="61"/>
      <c r="AA8" s="61"/>
      <c r="AB8" s="61"/>
      <c r="AC8" s="61"/>
      <c r="AD8" s="61"/>
      <c r="AE8" s="61"/>
      <c r="AG8" s="60"/>
      <c r="AH8" s="61"/>
      <c r="AI8" s="61"/>
      <c r="AJ8" s="61"/>
      <c r="AK8" s="61"/>
      <c r="AL8" s="61"/>
      <c r="AM8" s="61"/>
      <c r="AN8" s="61"/>
      <c r="AO8" s="61"/>
    </row>
    <row r="9" spans="1:63" ht="30" customHeight="1" x14ac:dyDescent="0.3">
      <c r="A9" s="582" t="s">
        <v>234</v>
      </c>
      <c r="B9" s="95" t="s">
        <v>28</v>
      </c>
      <c r="C9" s="95" t="s">
        <v>29</v>
      </c>
      <c r="D9" s="584" t="s">
        <v>30</v>
      </c>
      <c r="E9" s="585"/>
      <c r="F9" s="95" t="s">
        <v>31</v>
      </c>
      <c r="G9" s="95" t="s">
        <v>32</v>
      </c>
      <c r="H9" s="584" t="s">
        <v>33</v>
      </c>
      <c r="I9" s="585"/>
      <c r="J9" s="95" t="s">
        <v>34</v>
      </c>
      <c r="K9" s="95" t="s">
        <v>35</v>
      </c>
      <c r="L9" s="584" t="s">
        <v>36</v>
      </c>
      <c r="M9" s="585"/>
      <c r="N9" s="95" t="s">
        <v>37</v>
      </c>
      <c r="O9" s="95" t="s">
        <v>38</v>
      </c>
      <c r="P9" s="584" t="s">
        <v>39</v>
      </c>
      <c r="Q9" s="585"/>
      <c r="R9" s="584" t="s">
        <v>235</v>
      </c>
      <c r="S9" s="585"/>
      <c r="T9" s="584" t="s">
        <v>236</v>
      </c>
      <c r="U9" s="587"/>
      <c r="V9" s="587"/>
      <c r="W9" s="587"/>
      <c r="X9" s="587"/>
      <c r="Y9" s="585"/>
      <c r="Z9" s="584" t="s">
        <v>237</v>
      </c>
      <c r="AA9" s="587"/>
      <c r="AB9" s="587"/>
      <c r="AC9" s="587"/>
      <c r="AD9" s="587"/>
      <c r="AE9" s="585"/>
      <c r="AG9" s="582" t="s">
        <v>234</v>
      </c>
      <c r="AH9" s="95" t="s">
        <v>28</v>
      </c>
      <c r="AI9" s="95" t="s">
        <v>29</v>
      </c>
      <c r="AJ9" s="584" t="s">
        <v>30</v>
      </c>
      <c r="AK9" s="585"/>
      <c r="AL9" s="95" t="s">
        <v>31</v>
      </c>
      <c r="AM9" s="95" t="s">
        <v>32</v>
      </c>
      <c r="AN9" s="584" t="s">
        <v>33</v>
      </c>
      <c r="AO9" s="585"/>
      <c r="AP9" s="95" t="s">
        <v>34</v>
      </c>
      <c r="AQ9" s="95" t="s">
        <v>35</v>
      </c>
      <c r="AR9" s="584" t="s">
        <v>36</v>
      </c>
      <c r="AS9" s="585"/>
      <c r="AT9" s="95" t="s">
        <v>37</v>
      </c>
      <c r="AU9" s="95" t="s">
        <v>38</v>
      </c>
      <c r="AV9" s="584" t="s">
        <v>39</v>
      </c>
      <c r="AW9" s="585"/>
      <c r="AX9" s="584" t="s">
        <v>235</v>
      </c>
      <c r="AY9" s="585"/>
      <c r="AZ9" s="584" t="s">
        <v>236</v>
      </c>
      <c r="BA9" s="587"/>
      <c r="BB9" s="587"/>
      <c r="BC9" s="587"/>
      <c r="BD9" s="587"/>
      <c r="BE9" s="585"/>
      <c r="BF9" s="584" t="s">
        <v>237</v>
      </c>
      <c r="BG9" s="587"/>
      <c r="BH9" s="587"/>
      <c r="BI9" s="587"/>
      <c r="BJ9" s="587"/>
      <c r="BK9" s="585"/>
    </row>
    <row r="10" spans="1:63" ht="36" customHeight="1" x14ac:dyDescent="0.3">
      <c r="A10" s="583"/>
      <c r="B10" s="45" t="s">
        <v>238</v>
      </c>
      <c r="C10" s="45" t="s">
        <v>238</v>
      </c>
      <c r="D10" s="45" t="s">
        <v>238</v>
      </c>
      <c r="E10" s="45" t="s">
        <v>239</v>
      </c>
      <c r="F10" s="45" t="s">
        <v>238</v>
      </c>
      <c r="G10" s="45" t="s">
        <v>238</v>
      </c>
      <c r="H10" s="45" t="s">
        <v>238</v>
      </c>
      <c r="I10" s="45" t="s">
        <v>239</v>
      </c>
      <c r="J10" s="45" t="s">
        <v>238</v>
      </c>
      <c r="K10" s="45" t="s">
        <v>238</v>
      </c>
      <c r="L10" s="45" t="s">
        <v>238</v>
      </c>
      <c r="M10" s="45" t="s">
        <v>239</v>
      </c>
      <c r="N10" s="45" t="s">
        <v>238</v>
      </c>
      <c r="O10" s="45" t="s">
        <v>238</v>
      </c>
      <c r="P10" s="45" t="s">
        <v>238</v>
      </c>
      <c r="Q10" s="45" t="s">
        <v>239</v>
      </c>
      <c r="R10" s="45" t="s">
        <v>238</v>
      </c>
      <c r="S10" s="45" t="s">
        <v>239</v>
      </c>
      <c r="T10" s="89" t="s">
        <v>240</v>
      </c>
      <c r="U10" s="89" t="s">
        <v>241</v>
      </c>
      <c r="V10" s="89" t="s">
        <v>242</v>
      </c>
      <c r="W10" s="89" t="s">
        <v>243</v>
      </c>
      <c r="X10" s="90" t="s">
        <v>244</v>
      </c>
      <c r="Y10" s="89" t="s">
        <v>245</v>
      </c>
      <c r="Z10" s="45" t="s">
        <v>246</v>
      </c>
      <c r="AA10" s="62" t="s">
        <v>247</v>
      </c>
      <c r="AB10" s="45" t="s">
        <v>248</v>
      </c>
      <c r="AC10" s="45" t="s">
        <v>249</v>
      </c>
      <c r="AD10" s="45" t="s">
        <v>250</v>
      </c>
      <c r="AE10" s="45" t="s">
        <v>251</v>
      </c>
      <c r="AG10" s="583"/>
      <c r="AH10" s="45" t="s">
        <v>238</v>
      </c>
      <c r="AI10" s="45" t="s">
        <v>238</v>
      </c>
      <c r="AJ10" s="45" t="s">
        <v>238</v>
      </c>
      <c r="AK10" s="45" t="s">
        <v>239</v>
      </c>
      <c r="AL10" s="45" t="s">
        <v>238</v>
      </c>
      <c r="AM10" s="45" t="s">
        <v>238</v>
      </c>
      <c r="AN10" s="45" t="s">
        <v>238</v>
      </c>
      <c r="AO10" s="45" t="s">
        <v>239</v>
      </c>
      <c r="AP10" s="45" t="s">
        <v>238</v>
      </c>
      <c r="AQ10" s="45" t="s">
        <v>238</v>
      </c>
      <c r="AR10" s="45" t="s">
        <v>238</v>
      </c>
      <c r="AS10" s="45" t="s">
        <v>239</v>
      </c>
      <c r="AT10" s="45" t="s">
        <v>238</v>
      </c>
      <c r="AU10" s="45" t="s">
        <v>238</v>
      </c>
      <c r="AV10" s="45" t="s">
        <v>238</v>
      </c>
      <c r="AW10" s="45" t="s">
        <v>239</v>
      </c>
      <c r="AX10" s="45" t="s">
        <v>238</v>
      </c>
      <c r="AY10" s="45" t="s">
        <v>239</v>
      </c>
      <c r="AZ10" s="89" t="s">
        <v>240</v>
      </c>
      <c r="BA10" s="89" t="s">
        <v>241</v>
      </c>
      <c r="BB10" s="89" t="s">
        <v>242</v>
      </c>
      <c r="BC10" s="89" t="s">
        <v>243</v>
      </c>
      <c r="BD10" s="90" t="s">
        <v>244</v>
      </c>
      <c r="BE10" s="89" t="s">
        <v>245</v>
      </c>
      <c r="BF10" s="87" t="s">
        <v>246</v>
      </c>
      <c r="BG10" s="88" t="s">
        <v>247</v>
      </c>
      <c r="BH10" s="87" t="s">
        <v>248</v>
      </c>
      <c r="BI10" s="87" t="s">
        <v>249</v>
      </c>
      <c r="BJ10" s="87" t="s">
        <v>250</v>
      </c>
      <c r="BK10" s="87" t="s">
        <v>251</v>
      </c>
    </row>
    <row r="11" spans="1:63" x14ac:dyDescent="0.3">
      <c r="A11" s="63" t="s">
        <v>252</v>
      </c>
      <c r="B11" s="63"/>
      <c r="C11" s="63"/>
      <c r="D11" s="63"/>
      <c r="E11" s="98"/>
      <c r="F11" s="63"/>
      <c r="G11" s="63"/>
      <c r="H11" s="63"/>
      <c r="I11" s="98"/>
      <c r="J11" s="63"/>
      <c r="K11" s="63"/>
      <c r="L11" s="63"/>
      <c r="M11" s="98"/>
      <c r="N11" s="63"/>
      <c r="O11" s="63"/>
      <c r="P11" s="63"/>
      <c r="Q11" s="98"/>
      <c r="R11" s="92">
        <f t="shared" ref="R11:R31" si="0">B11+C11+D11+F11+G11+H11+J11+K11+L11+N11+O11+P11</f>
        <v>0</v>
      </c>
      <c r="S11" s="70">
        <f>+E11+I11+M11+Q11</f>
        <v>0</v>
      </c>
      <c r="T11" s="91"/>
      <c r="U11" s="91"/>
      <c r="V11" s="91"/>
      <c r="W11" s="91"/>
      <c r="X11" s="91"/>
      <c r="Y11" s="65"/>
      <c r="Z11" s="65"/>
      <c r="AA11" s="65"/>
      <c r="AB11" s="65"/>
      <c r="AC11" s="65"/>
      <c r="AD11" s="65"/>
      <c r="AE11" s="66"/>
      <c r="AG11" s="63" t="s">
        <v>252</v>
      </c>
      <c r="AH11" s="63"/>
      <c r="AI11" s="63"/>
      <c r="AJ11" s="63"/>
      <c r="AK11" s="98"/>
      <c r="AL11" s="63"/>
      <c r="AM11" s="63"/>
      <c r="AN11" s="63"/>
      <c r="AO11" s="98"/>
      <c r="AP11" s="63"/>
      <c r="AQ11" s="63"/>
      <c r="AR11" s="63"/>
      <c r="AS11" s="98"/>
      <c r="AT11" s="63"/>
      <c r="AU11" s="63"/>
      <c r="AV11" s="63"/>
      <c r="AW11" s="98"/>
      <c r="AX11" s="92">
        <f t="shared" ref="AX11:AX31" si="1">AH11+AI11+AJ11+AL11+AM11+AN11+AP11+AQ11+AR11+AT11+AU11+AV11</f>
        <v>0</v>
      </c>
      <c r="AY11" s="70">
        <f>+AK11+AO11+AS11+AW11</f>
        <v>0</v>
      </c>
      <c r="AZ11" s="65"/>
      <c r="BA11" s="65"/>
      <c r="BB11" s="65"/>
      <c r="BC11" s="65"/>
      <c r="BD11" s="65"/>
      <c r="BE11" s="65"/>
      <c r="BF11" s="65"/>
      <c r="BG11" s="65"/>
      <c r="BH11" s="65"/>
      <c r="BI11" s="65"/>
      <c r="BJ11" s="65"/>
      <c r="BK11" s="66"/>
    </row>
    <row r="12" spans="1:63" x14ac:dyDescent="0.3">
      <c r="A12" s="63" t="s">
        <v>253</v>
      </c>
      <c r="B12" s="63"/>
      <c r="C12" s="63"/>
      <c r="D12" s="63"/>
      <c r="E12" s="98"/>
      <c r="F12" s="63"/>
      <c r="G12" s="63"/>
      <c r="H12" s="63"/>
      <c r="I12" s="98"/>
      <c r="J12" s="63"/>
      <c r="K12" s="63"/>
      <c r="L12" s="63"/>
      <c r="M12" s="98"/>
      <c r="N12" s="63"/>
      <c r="O12" s="63"/>
      <c r="P12" s="63"/>
      <c r="Q12" s="98"/>
      <c r="R12" s="92">
        <f t="shared" si="0"/>
        <v>0</v>
      </c>
      <c r="S12" s="70">
        <f t="shared" ref="S12:S31" si="2">+E12+I12+M12+Q12</f>
        <v>0</v>
      </c>
      <c r="T12" s="91"/>
      <c r="U12" s="91"/>
      <c r="V12" s="91"/>
      <c r="W12" s="91"/>
      <c r="X12" s="91"/>
      <c r="Y12" s="65"/>
      <c r="Z12" s="65"/>
      <c r="AA12" s="65"/>
      <c r="AB12" s="65"/>
      <c r="AC12" s="65"/>
      <c r="AD12" s="65"/>
      <c r="AE12" s="65"/>
      <c r="AG12" s="63" t="s">
        <v>253</v>
      </c>
      <c r="AH12" s="63"/>
      <c r="AI12" s="63"/>
      <c r="AJ12" s="63"/>
      <c r="AK12" s="98"/>
      <c r="AL12" s="63"/>
      <c r="AM12" s="63"/>
      <c r="AN12" s="63"/>
      <c r="AO12" s="98"/>
      <c r="AP12" s="63"/>
      <c r="AQ12" s="63"/>
      <c r="AR12" s="63"/>
      <c r="AS12" s="98"/>
      <c r="AT12" s="63"/>
      <c r="AU12" s="63"/>
      <c r="AV12" s="63"/>
      <c r="AW12" s="98"/>
      <c r="AX12" s="92">
        <f t="shared" si="1"/>
        <v>0</v>
      </c>
      <c r="AY12" s="70">
        <f t="shared" ref="AY12:AY31" si="3">+AK12+AO12+AS12+AW12</f>
        <v>0</v>
      </c>
      <c r="AZ12" s="65"/>
      <c r="BA12" s="65"/>
      <c r="BB12" s="65"/>
      <c r="BC12" s="65"/>
      <c r="BD12" s="65"/>
      <c r="BE12" s="65"/>
      <c r="BF12" s="65"/>
      <c r="BG12" s="65"/>
      <c r="BH12" s="65"/>
      <c r="BI12" s="65"/>
      <c r="BJ12" s="65"/>
      <c r="BK12" s="65"/>
    </row>
    <row r="13" spans="1:63" x14ac:dyDescent="0.3">
      <c r="A13" s="63" t="s">
        <v>254</v>
      </c>
      <c r="B13" s="63"/>
      <c r="C13" s="63"/>
      <c r="D13" s="63"/>
      <c r="E13" s="98"/>
      <c r="F13" s="63"/>
      <c r="G13" s="63"/>
      <c r="H13" s="63"/>
      <c r="I13" s="98"/>
      <c r="J13" s="63"/>
      <c r="K13" s="63"/>
      <c r="L13" s="63"/>
      <c r="M13" s="98"/>
      <c r="N13" s="63"/>
      <c r="O13" s="63"/>
      <c r="P13" s="63"/>
      <c r="Q13" s="98"/>
      <c r="R13" s="92">
        <f t="shared" si="0"/>
        <v>0</v>
      </c>
      <c r="S13" s="70">
        <f t="shared" si="2"/>
        <v>0</v>
      </c>
      <c r="T13" s="91"/>
      <c r="U13" s="91"/>
      <c r="V13" s="91"/>
      <c r="W13" s="91"/>
      <c r="X13" s="91"/>
      <c r="Y13" s="65"/>
      <c r="Z13" s="65"/>
      <c r="AA13" s="65"/>
      <c r="AB13" s="65"/>
      <c r="AC13" s="65"/>
      <c r="AD13" s="65"/>
      <c r="AE13" s="65"/>
      <c r="AG13" s="63" t="s">
        <v>254</v>
      </c>
      <c r="AH13" s="63"/>
      <c r="AI13" s="63"/>
      <c r="AJ13" s="63"/>
      <c r="AK13" s="98"/>
      <c r="AL13" s="63"/>
      <c r="AM13" s="63"/>
      <c r="AN13" s="63"/>
      <c r="AO13" s="98"/>
      <c r="AP13" s="63"/>
      <c r="AQ13" s="63"/>
      <c r="AR13" s="63"/>
      <c r="AS13" s="98"/>
      <c r="AT13" s="63"/>
      <c r="AU13" s="63"/>
      <c r="AV13" s="63"/>
      <c r="AW13" s="98"/>
      <c r="AX13" s="92">
        <f t="shared" si="1"/>
        <v>0</v>
      </c>
      <c r="AY13" s="70">
        <f t="shared" si="3"/>
        <v>0</v>
      </c>
      <c r="AZ13" s="65"/>
      <c r="BA13" s="65"/>
      <c r="BB13" s="65"/>
      <c r="BC13" s="65"/>
      <c r="BD13" s="65"/>
      <c r="BE13" s="65"/>
      <c r="BF13" s="65"/>
      <c r="BG13" s="65"/>
      <c r="BH13" s="65"/>
      <c r="BI13" s="65"/>
      <c r="BJ13" s="65"/>
      <c r="BK13" s="65"/>
    </row>
    <row r="14" spans="1:63" x14ac:dyDescent="0.3">
      <c r="A14" s="63" t="s">
        <v>255</v>
      </c>
      <c r="B14" s="63"/>
      <c r="C14" s="63"/>
      <c r="D14" s="63"/>
      <c r="E14" s="98"/>
      <c r="F14" s="63"/>
      <c r="G14" s="63"/>
      <c r="H14" s="63"/>
      <c r="I14" s="98"/>
      <c r="J14" s="63"/>
      <c r="K14" s="63"/>
      <c r="L14" s="63"/>
      <c r="M14" s="98"/>
      <c r="N14" s="63"/>
      <c r="O14" s="63"/>
      <c r="P14" s="63"/>
      <c r="Q14" s="98"/>
      <c r="R14" s="92">
        <f t="shared" si="0"/>
        <v>0</v>
      </c>
      <c r="S14" s="70">
        <f t="shared" si="2"/>
        <v>0</v>
      </c>
      <c r="T14" s="91"/>
      <c r="U14" s="91"/>
      <c r="V14" s="91"/>
      <c r="W14" s="91"/>
      <c r="X14" s="91"/>
      <c r="Y14" s="65"/>
      <c r="Z14" s="65"/>
      <c r="AA14" s="65"/>
      <c r="AB14" s="65"/>
      <c r="AC14" s="65"/>
      <c r="AD14" s="65"/>
      <c r="AE14" s="65"/>
      <c r="AG14" s="63" t="s">
        <v>255</v>
      </c>
      <c r="AH14" s="63"/>
      <c r="AI14" s="63"/>
      <c r="AJ14" s="63"/>
      <c r="AK14" s="98"/>
      <c r="AL14" s="63"/>
      <c r="AM14" s="63"/>
      <c r="AN14" s="63"/>
      <c r="AO14" s="98"/>
      <c r="AP14" s="63"/>
      <c r="AQ14" s="63"/>
      <c r="AR14" s="63"/>
      <c r="AS14" s="98"/>
      <c r="AT14" s="63"/>
      <c r="AU14" s="63"/>
      <c r="AV14" s="63"/>
      <c r="AW14" s="98"/>
      <c r="AX14" s="92">
        <f t="shared" si="1"/>
        <v>0</v>
      </c>
      <c r="AY14" s="70">
        <f t="shared" si="3"/>
        <v>0</v>
      </c>
      <c r="AZ14" s="65"/>
      <c r="BA14" s="65"/>
      <c r="BB14" s="65"/>
      <c r="BC14" s="65"/>
      <c r="BD14" s="65"/>
      <c r="BE14" s="65"/>
      <c r="BF14" s="65"/>
      <c r="BG14" s="65"/>
      <c r="BH14" s="65"/>
      <c r="BI14" s="65"/>
      <c r="BJ14" s="65"/>
      <c r="BK14" s="65"/>
    </row>
    <row r="15" spans="1:63" x14ac:dyDescent="0.3">
      <c r="A15" s="63" t="s">
        <v>256</v>
      </c>
      <c r="B15" s="63"/>
      <c r="C15" s="63"/>
      <c r="D15" s="63"/>
      <c r="E15" s="98"/>
      <c r="F15" s="63"/>
      <c r="G15" s="63"/>
      <c r="H15" s="63"/>
      <c r="I15" s="98"/>
      <c r="J15" s="63"/>
      <c r="K15" s="63"/>
      <c r="L15" s="63"/>
      <c r="M15" s="98"/>
      <c r="N15" s="63"/>
      <c r="O15" s="63"/>
      <c r="P15" s="63"/>
      <c r="Q15" s="98"/>
      <c r="R15" s="92">
        <f t="shared" si="0"/>
        <v>0</v>
      </c>
      <c r="S15" s="70">
        <f t="shared" si="2"/>
        <v>0</v>
      </c>
      <c r="T15" s="91"/>
      <c r="U15" s="91"/>
      <c r="V15" s="91"/>
      <c r="W15" s="91"/>
      <c r="X15" s="91"/>
      <c r="Y15" s="65"/>
      <c r="Z15" s="65"/>
      <c r="AA15" s="65"/>
      <c r="AB15" s="65"/>
      <c r="AC15" s="65"/>
      <c r="AD15" s="65"/>
      <c r="AE15" s="65"/>
      <c r="AG15" s="63" t="s">
        <v>256</v>
      </c>
      <c r="AH15" s="63"/>
      <c r="AI15" s="63"/>
      <c r="AJ15" s="63"/>
      <c r="AK15" s="98"/>
      <c r="AL15" s="63"/>
      <c r="AM15" s="63"/>
      <c r="AN15" s="63"/>
      <c r="AO15" s="98"/>
      <c r="AP15" s="63"/>
      <c r="AQ15" s="63"/>
      <c r="AR15" s="63"/>
      <c r="AS15" s="98"/>
      <c r="AT15" s="63"/>
      <c r="AU15" s="63"/>
      <c r="AV15" s="63"/>
      <c r="AW15" s="98"/>
      <c r="AX15" s="92">
        <f t="shared" si="1"/>
        <v>0</v>
      </c>
      <c r="AY15" s="70">
        <f t="shared" si="3"/>
        <v>0</v>
      </c>
      <c r="AZ15" s="65"/>
      <c r="BA15" s="65"/>
      <c r="BB15" s="65"/>
      <c r="BC15" s="65"/>
      <c r="BD15" s="65"/>
      <c r="BE15" s="65"/>
      <c r="BF15" s="65"/>
      <c r="BG15" s="65"/>
      <c r="BH15" s="65"/>
      <c r="BI15" s="65"/>
      <c r="BJ15" s="65"/>
      <c r="BK15" s="65"/>
    </row>
    <row r="16" spans="1:63" x14ac:dyDescent="0.3">
      <c r="A16" s="63" t="s">
        <v>257</v>
      </c>
      <c r="B16" s="63"/>
      <c r="C16" s="63"/>
      <c r="D16" s="63"/>
      <c r="E16" s="98"/>
      <c r="F16" s="63"/>
      <c r="G16" s="63"/>
      <c r="H16" s="63"/>
      <c r="I16" s="98"/>
      <c r="J16" s="63"/>
      <c r="K16" s="63"/>
      <c r="L16" s="63"/>
      <c r="M16" s="98"/>
      <c r="N16" s="63"/>
      <c r="O16" s="63"/>
      <c r="P16" s="63"/>
      <c r="Q16" s="98"/>
      <c r="R16" s="92">
        <f t="shared" si="0"/>
        <v>0</v>
      </c>
      <c r="S16" s="70">
        <f t="shared" si="2"/>
        <v>0</v>
      </c>
      <c r="T16" s="91"/>
      <c r="U16" s="91"/>
      <c r="V16" s="91"/>
      <c r="W16" s="91"/>
      <c r="X16" s="91"/>
      <c r="Y16" s="65"/>
      <c r="Z16" s="65"/>
      <c r="AA16" s="65"/>
      <c r="AB16" s="65"/>
      <c r="AC16" s="65"/>
      <c r="AD16" s="65"/>
      <c r="AE16" s="65"/>
      <c r="AG16" s="63" t="s">
        <v>257</v>
      </c>
      <c r="AH16" s="63"/>
      <c r="AI16" s="63"/>
      <c r="AJ16" s="63"/>
      <c r="AK16" s="98"/>
      <c r="AL16" s="63"/>
      <c r="AM16" s="63"/>
      <c r="AN16" s="63"/>
      <c r="AO16" s="98"/>
      <c r="AP16" s="63"/>
      <c r="AQ16" s="63"/>
      <c r="AR16" s="63"/>
      <c r="AS16" s="98"/>
      <c r="AT16" s="63"/>
      <c r="AU16" s="63"/>
      <c r="AV16" s="63"/>
      <c r="AW16" s="98"/>
      <c r="AX16" s="92">
        <f t="shared" si="1"/>
        <v>0</v>
      </c>
      <c r="AY16" s="70">
        <f t="shared" si="3"/>
        <v>0</v>
      </c>
      <c r="AZ16" s="65"/>
      <c r="BA16" s="65"/>
      <c r="BB16" s="65"/>
      <c r="BC16" s="65"/>
      <c r="BD16" s="65"/>
      <c r="BE16" s="65"/>
      <c r="BF16" s="65"/>
      <c r="BG16" s="65"/>
      <c r="BH16" s="65"/>
      <c r="BI16" s="65"/>
      <c r="BJ16" s="65"/>
      <c r="BK16" s="65"/>
    </row>
    <row r="17" spans="1:63" x14ac:dyDescent="0.3">
      <c r="A17" s="63" t="s">
        <v>258</v>
      </c>
      <c r="B17" s="63"/>
      <c r="C17" s="63"/>
      <c r="D17" s="63"/>
      <c r="E17" s="98"/>
      <c r="F17" s="63"/>
      <c r="G17" s="63"/>
      <c r="H17" s="63"/>
      <c r="I17" s="98"/>
      <c r="J17" s="63"/>
      <c r="K17" s="63"/>
      <c r="L17" s="63"/>
      <c r="M17" s="98"/>
      <c r="N17" s="63"/>
      <c r="O17" s="63"/>
      <c r="P17" s="63"/>
      <c r="Q17" s="98"/>
      <c r="R17" s="92">
        <f t="shared" si="0"/>
        <v>0</v>
      </c>
      <c r="S17" s="70">
        <f t="shared" si="2"/>
        <v>0</v>
      </c>
      <c r="T17" s="91"/>
      <c r="U17" s="91"/>
      <c r="V17" s="91"/>
      <c r="W17" s="91"/>
      <c r="X17" s="91"/>
      <c r="Y17" s="65"/>
      <c r="Z17" s="65"/>
      <c r="AA17" s="65"/>
      <c r="AB17" s="65"/>
      <c r="AC17" s="65"/>
      <c r="AD17" s="65"/>
      <c r="AE17" s="65"/>
      <c r="AG17" s="63" t="s">
        <v>258</v>
      </c>
      <c r="AH17" s="63"/>
      <c r="AI17" s="63"/>
      <c r="AJ17" s="63"/>
      <c r="AK17" s="98"/>
      <c r="AL17" s="63"/>
      <c r="AM17" s="63"/>
      <c r="AN17" s="63"/>
      <c r="AO17" s="98"/>
      <c r="AP17" s="63"/>
      <c r="AQ17" s="63"/>
      <c r="AR17" s="63"/>
      <c r="AS17" s="98"/>
      <c r="AT17" s="63"/>
      <c r="AU17" s="63"/>
      <c r="AV17" s="63"/>
      <c r="AW17" s="98"/>
      <c r="AX17" s="92">
        <f t="shared" si="1"/>
        <v>0</v>
      </c>
      <c r="AY17" s="70">
        <f t="shared" si="3"/>
        <v>0</v>
      </c>
      <c r="AZ17" s="65"/>
      <c r="BA17" s="65"/>
      <c r="BB17" s="65"/>
      <c r="BC17" s="65"/>
      <c r="BD17" s="65"/>
      <c r="BE17" s="65"/>
      <c r="BF17" s="65"/>
      <c r="BG17" s="65"/>
      <c r="BH17" s="65"/>
      <c r="BI17" s="65"/>
      <c r="BJ17" s="65"/>
      <c r="BK17" s="65"/>
    </row>
    <row r="18" spans="1:63" x14ac:dyDescent="0.3">
      <c r="A18" s="63" t="s">
        <v>259</v>
      </c>
      <c r="B18" s="63"/>
      <c r="C18" s="63"/>
      <c r="D18" s="63"/>
      <c r="E18" s="98"/>
      <c r="F18" s="63"/>
      <c r="G18" s="63"/>
      <c r="H18" s="63"/>
      <c r="I18" s="98"/>
      <c r="J18" s="63"/>
      <c r="K18" s="63"/>
      <c r="L18" s="63"/>
      <c r="M18" s="98"/>
      <c r="N18" s="63"/>
      <c r="O18" s="63"/>
      <c r="P18" s="63"/>
      <c r="Q18" s="98"/>
      <c r="R18" s="92">
        <f t="shared" si="0"/>
        <v>0</v>
      </c>
      <c r="S18" s="70">
        <f t="shared" si="2"/>
        <v>0</v>
      </c>
      <c r="T18" s="91"/>
      <c r="U18" s="91"/>
      <c r="V18" s="91"/>
      <c r="W18" s="91"/>
      <c r="X18" s="91"/>
      <c r="Y18" s="65"/>
      <c r="Z18" s="65"/>
      <c r="AA18" s="65"/>
      <c r="AB18" s="65"/>
      <c r="AC18" s="65"/>
      <c r="AD18" s="65"/>
      <c r="AE18" s="65"/>
      <c r="AG18" s="63" t="s">
        <v>259</v>
      </c>
      <c r="AH18" s="63"/>
      <c r="AI18" s="63"/>
      <c r="AJ18" s="63"/>
      <c r="AK18" s="98"/>
      <c r="AL18" s="63"/>
      <c r="AM18" s="63"/>
      <c r="AN18" s="63"/>
      <c r="AO18" s="98"/>
      <c r="AP18" s="63"/>
      <c r="AQ18" s="63"/>
      <c r="AR18" s="63"/>
      <c r="AS18" s="98"/>
      <c r="AT18" s="63"/>
      <c r="AU18" s="63"/>
      <c r="AV18" s="63"/>
      <c r="AW18" s="98"/>
      <c r="AX18" s="92">
        <f t="shared" si="1"/>
        <v>0</v>
      </c>
      <c r="AY18" s="70">
        <f t="shared" si="3"/>
        <v>0</v>
      </c>
      <c r="AZ18" s="65"/>
      <c r="BA18" s="65"/>
      <c r="BB18" s="65"/>
      <c r="BC18" s="65"/>
      <c r="BD18" s="65"/>
      <c r="BE18" s="65"/>
      <c r="BF18" s="65"/>
      <c r="BG18" s="65"/>
      <c r="BH18" s="65"/>
      <c r="BI18" s="65"/>
      <c r="BJ18" s="65"/>
      <c r="BK18" s="65"/>
    </row>
    <row r="19" spans="1:63" x14ac:dyDescent="0.3">
      <c r="A19" s="63" t="s">
        <v>260</v>
      </c>
      <c r="B19" s="63"/>
      <c r="C19" s="63"/>
      <c r="D19" s="63"/>
      <c r="E19" s="98"/>
      <c r="F19" s="63"/>
      <c r="G19" s="63"/>
      <c r="H19" s="63"/>
      <c r="I19" s="98"/>
      <c r="J19" s="63"/>
      <c r="K19" s="63"/>
      <c r="L19" s="63"/>
      <c r="M19" s="98"/>
      <c r="N19" s="63"/>
      <c r="O19" s="63"/>
      <c r="P19" s="63"/>
      <c r="Q19" s="98"/>
      <c r="R19" s="92">
        <f t="shared" si="0"/>
        <v>0</v>
      </c>
      <c r="S19" s="70">
        <f t="shared" si="2"/>
        <v>0</v>
      </c>
      <c r="T19" s="91"/>
      <c r="U19" s="91"/>
      <c r="V19" s="91"/>
      <c r="W19" s="91"/>
      <c r="X19" s="91"/>
      <c r="Y19" s="65"/>
      <c r="Z19" s="65"/>
      <c r="AA19" s="65"/>
      <c r="AB19" s="65"/>
      <c r="AC19" s="65"/>
      <c r="AD19" s="65"/>
      <c r="AE19" s="65"/>
      <c r="AG19" s="63" t="s">
        <v>260</v>
      </c>
      <c r="AH19" s="63"/>
      <c r="AI19" s="63"/>
      <c r="AJ19" s="63"/>
      <c r="AK19" s="98"/>
      <c r="AL19" s="63"/>
      <c r="AM19" s="63"/>
      <c r="AN19" s="63"/>
      <c r="AO19" s="98"/>
      <c r="AP19" s="63"/>
      <c r="AQ19" s="63"/>
      <c r="AR19" s="63"/>
      <c r="AS19" s="98"/>
      <c r="AT19" s="63"/>
      <c r="AU19" s="63"/>
      <c r="AV19" s="63"/>
      <c r="AW19" s="98"/>
      <c r="AX19" s="92">
        <f t="shared" si="1"/>
        <v>0</v>
      </c>
      <c r="AY19" s="70">
        <f t="shared" si="3"/>
        <v>0</v>
      </c>
      <c r="AZ19" s="65"/>
      <c r="BA19" s="65"/>
      <c r="BB19" s="65"/>
      <c r="BC19" s="65"/>
      <c r="BD19" s="65"/>
      <c r="BE19" s="65"/>
      <c r="BF19" s="65"/>
      <c r="BG19" s="65"/>
      <c r="BH19" s="65"/>
      <c r="BI19" s="63"/>
      <c r="BJ19" s="63"/>
      <c r="BK19" s="63"/>
    </row>
    <row r="20" spans="1:63" x14ac:dyDescent="0.3">
      <c r="A20" s="63" t="s">
        <v>261</v>
      </c>
      <c r="B20" s="63"/>
      <c r="C20" s="63"/>
      <c r="D20" s="63"/>
      <c r="E20" s="98"/>
      <c r="F20" s="63"/>
      <c r="G20" s="63"/>
      <c r="H20" s="63"/>
      <c r="I20" s="98"/>
      <c r="J20" s="63"/>
      <c r="K20" s="63"/>
      <c r="L20" s="63"/>
      <c r="M20" s="98"/>
      <c r="N20" s="63"/>
      <c r="O20" s="63"/>
      <c r="P20" s="63"/>
      <c r="Q20" s="98"/>
      <c r="R20" s="92">
        <f t="shared" si="0"/>
        <v>0</v>
      </c>
      <c r="S20" s="70">
        <f t="shared" si="2"/>
        <v>0</v>
      </c>
      <c r="T20" s="91"/>
      <c r="U20" s="91"/>
      <c r="V20" s="91"/>
      <c r="W20" s="91"/>
      <c r="X20" s="91"/>
      <c r="Y20" s="65"/>
      <c r="Z20" s="65"/>
      <c r="AA20" s="65"/>
      <c r="AB20" s="65"/>
      <c r="AC20" s="65"/>
      <c r="AD20" s="65"/>
      <c r="AE20" s="65"/>
      <c r="AG20" s="63" t="s">
        <v>261</v>
      </c>
      <c r="AH20" s="63"/>
      <c r="AI20" s="63"/>
      <c r="AJ20" s="63"/>
      <c r="AK20" s="98"/>
      <c r="AL20" s="63"/>
      <c r="AM20" s="63"/>
      <c r="AN20" s="63"/>
      <c r="AO20" s="98"/>
      <c r="AP20" s="63"/>
      <c r="AQ20" s="63"/>
      <c r="AR20" s="63"/>
      <c r="AS20" s="98"/>
      <c r="AT20" s="63"/>
      <c r="AU20" s="63"/>
      <c r="AV20" s="63"/>
      <c r="AW20" s="98"/>
      <c r="AX20" s="92">
        <f t="shared" si="1"/>
        <v>0</v>
      </c>
      <c r="AY20" s="70">
        <f t="shared" si="3"/>
        <v>0</v>
      </c>
      <c r="AZ20" s="65"/>
      <c r="BA20" s="65"/>
      <c r="BB20" s="65"/>
      <c r="BC20" s="65"/>
      <c r="BD20" s="65"/>
      <c r="BE20" s="65"/>
      <c r="BF20" s="65"/>
      <c r="BG20" s="65"/>
      <c r="BH20" s="65"/>
      <c r="BI20" s="63"/>
      <c r="BJ20" s="63"/>
      <c r="BK20" s="63"/>
    </row>
    <row r="21" spans="1:63" x14ac:dyDescent="0.3">
      <c r="A21" s="63" t="s">
        <v>262</v>
      </c>
      <c r="B21" s="63"/>
      <c r="C21" s="63"/>
      <c r="D21" s="63"/>
      <c r="E21" s="98"/>
      <c r="F21" s="63"/>
      <c r="G21" s="63"/>
      <c r="H21" s="63"/>
      <c r="I21" s="98"/>
      <c r="J21" s="63"/>
      <c r="K21" s="63"/>
      <c r="L21" s="63"/>
      <c r="M21" s="98"/>
      <c r="N21" s="63"/>
      <c r="O21" s="63"/>
      <c r="P21" s="63"/>
      <c r="Q21" s="98"/>
      <c r="R21" s="92">
        <f t="shared" si="0"/>
        <v>0</v>
      </c>
      <c r="S21" s="70">
        <f t="shared" si="2"/>
        <v>0</v>
      </c>
      <c r="T21" s="91"/>
      <c r="U21" s="91"/>
      <c r="V21" s="91"/>
      <c r="W21" s="91"/>
      <c r="X21" s="91"/>
      <c r="Y21" s="65"/>
      <c r="Z21" s="65"/>
      <c r="AA21" s="65"/>
      <c r="AB21" s="65"/>
      <c r="AC21" s="65"/>
      <c r="AD21" s="65"/>
      <c r="AE21" s="65"/>
      <c r="AG21" s="63" t="s">
        <v>262</v>
      </c>
      <c r="AH21" s="63"/>
      <c r="AI21" s="63"/>
      <c r="AJ21" s="63"/>
      <c r="AK21" s="98"/>
      <c r="AL21" s="63"/>
      <c r="AM21" s="63"/>
      <c r="AN21" s="63"/>
      <c r="AO21" s="98"/>
      <c r="AP21" s="63"/>
      <c r="AQ21" s="63"/>
      <c r="AR21" s="63"/>
      <c r="AS21" s="98"/>
      <c r="AT21" s="63"/>
      <c r="AU21" s="63"/>
      <c r="AV21" s="63"/>
      <c r="AW21" s="98"/>
      <c r="AX21" s="92">
        <f t="shared" si="1"/>
        <v>0</v>
      </c>
      <c r="AY21" s="70">
        <f t="shared" si="3"/>
        <v>0</v>
      </c>
      <c r="AZ21" s="65"/>
      <c r="BA21" s="65"/>
      <c r="BB21" s="65"/>
      <c r="BC21" s="65"/>
      <c r="BD21" s="65"/>
      <c r="BE21" s="65"/>
      <c r="BF21" s="65"/>
      <c r="BG21" s="65"/>
      <c r="BH21" s="65"/>
      <c r="BI21" s="63"/>
      <c r="BJ21" s="63"/>
      <c r="BK21" s="63"/>
    </row>
    <row r="22" spans="1:63" x14ac:dyDescent="0.3">
      <c r="A22" s="63" t="s">
        <v>263</v>
      </c>
      <c r="B22" s="63"/>
      <c r="C22" s="63"/>
      <c r="D22" s="63"/>
      <c r="E22" s="98"/>
      <c r="F22" s="63"/>
      <c r="G22" s="63"/>
      <c r="H22" s="63"/>
      <c r="I22" s="98"/>
      <c r="J22" s="63"/>
      <c r="K22" s="63"/>
      <c r="L22" s="63"/>
      <c r="M22" s="98"/>
      <c r="N22" s="63"/>
      <c r="O22" s="63"/>
      <c r="P22" s="63"/>
      <c r="Q22" s="98"/>
      <c r="R22" s="92">
        <f t="shared" si="0"/>
        <v>0</v>
      </c>
      <c r="S22" s="70">
        <f t="shared" si="2"/>
        <v>0</v>
      </c>
      <c r="T22" s="91"/>
      <c r="U22" s="91"/>
      <c r="V22" s="91"/>
      <c r="W22" s="91"/>
      <c r="X22" s="91"/>
      <c r="Y22" s="65"/>
      <c r="Z22" s="65"/>
      <c r="AA22" s="65"/>
      <c r="AB22" s="65"/>
      <c r="AC22" s="65"/>
      <c r="AD22" s="65"/>
      <c r="AE22" s="65"/>
      <c r="AG22" s="63" t="s">
        <v>263</v>
      </c>
      <c r="AH22" s="63"/>
      <c r="AI22" s="63"/>
      <c r="AJ22" s="63"/>
      <c r="AK22" s="98"/>
      <c r="AL22" s="63"/>
      <c r="AM22" s="63"/>
      <c r="AN22" s="63"/>
      <c r="AO22" s="98"/>
      <c r="AP22" s="63"/>
      <c r="AQ22" s="63"/>
      <c r="AR22" s="63"/>
      <c r="AS22" s="98"/>
      <c r="AT22" s="63"/>
      <c r="AU22" s="63"/>
      <c r="AV22" s="63"/>
      <c r="AW22" s="98"/>
      <c r="AX22" s="92">
        <f t="shared" si="1"/>
        <v>0</v>
      </c>
      <c r="AY22" s="70">
        <f t="shared" si="3"/>
        <v>0</v>
      </c>
      <c r="AZ22" s="65"/>
      <c r="BA22" s="65"/>
      <c r="BB22" s="65"/>
      <c r="BC22" s="65"/>
      <c r="BD22" s="65"/>
      <c r="BE22" s="65"/>
      <c r="BF22" s="65"/>
      <c r="BG22" s="65"/>
      <c r="BH22" s="65"/>
      <c r="BI22" s="65"/>
      <c r="BJ22" s="65"/>
      <c r="BK22" s="65"/>
    </row>
    <row r="23" spans="1:63" x14ac:dyDescent="0.3">
      <c r="A23" s="63" t="s">
        <v>264</v>
      </c>
      <c r="B23" s="63"/>
      <c r="C23" s="63"/>
      <c r="D23" s="63"/>
      <c r="E23" s="98"/>
      <c r="F23" s="63"/>
      <c r="G23" s="63"/>
      <c r="H23" s="63"/>
      <c r="I23" s="98"/>
      <c r="J23" s="63"/>
      <c r="K23" s="63"/>
      <c r="L23" s="63"/>
      <c r="M23" s="98"/>
      <c r="N23" s="63"/>
      <c r="O23" s="63"/>
      <c r="P23" s="63"/>
      <c r="Q23" s="98"/>
      <c r="R23" s="92">
        <f t="shared" si="0"/>
        <v>0</v>
      </c>
      <c r="S23" s="70">
        <f t="shared" si="2"/>
        <v>0</v>
      </c>
      <c r="T23" s="91"/>
      <c r="U23" s="91"/>
      <c r="V23" s="91"/>
      <c r="W23" s="91"/>
      <c r="X23" s="91"/>
      <c r="Y23" s="65"/>
      <c r="Z23" s="65"/>
      <c r="AA23" s="65"/>
      <c r="AB23" s="65"/>
      <c r="AC23" s="65"/>
      <c r="AD23" s="65"/>
      <c r="AE23" s="65"/>
      <c r="AG23" s="63" t="s">
        <v>264</v>
      </c>
      <c r="AH23" s="63"/>
      <c r="AI23" s="63"/>
      <c r="AJ23" s="63"/>
      <c r="AK23" s="98"/>
      <c r="AL23" s="63"/>
      <c r="AM23" s="63"/>
      <c r="AN23" s="63"/>
      <c r="AO23" s="98"/>
      <c r="AP23" s="63"/>
      <c r="AQ23" s="63"/>
      <c r="AR23" s="63"/>
      <c r="AS23" s="98"/>
      <c r="AT23" s="63"/>
      <c r="AU23" s="63"/>
      <c r="AV23" s="63"/>
      <c r="AW23" s="98"/>
      <c r="AX23" s="92">
        <f t="shared" si="1"/>
        <v>0</v>
      </c>
      <c r="AY23" s="70">
        <f t="shared" si="3"/>
        <v>0</v>
      </c>
      <c r="AZ23" s="65"/>
      <c r="BA23" s="65"/>
      <c r="BB23" s="65"/>
      <c r="BC23" s="65"/>
      <c r="BD23" s="65"/>
      <c r="BE23" s="65"/>
      <c r="BF23" s="65"/>
      <c r="BG23" s="65"/>
      <c r="BH23" s="65"/>
      <c r="BI23" s="65"/>
      <c r="BJ23" s="65"/>
      <c r="BK23" s="65"/>
    </row>
    <row r="24" spans="1:63" x14ac:dyDescent="0.3">
      <c r="A24" s="63" t="s">
        <v>265</v>
      </c>
      <c r="B24" s="63"/>
      <c r="C24" s="63"/>
      <c r="D24" s="63"/>
      <c r="E24" s="98"/>
      <c r="F24" s="63"/>
      <c r="G24" s="63"/>
      <c r="H24" s="63"/>
      <c r="I24" s="98"/>
      <c r="J24" s="63"/>
      <c r="K24" s="63"/>
      <c r="L24" s="63"/>
      <c r="M24" s="98"/>
      <c r="N24" s="63"/>
      <c r="O24" s="63"/>
      <c r="P24" s="63"/>
      <c r="Q24" s="98"/>
      <c r="R24" s="92">
        <f t="shared" si="0"/>
        <v>0</v>
      </c>
      <c r="S24" s="70">
        <f t="shared" si="2"/>
        <v>0</v>
      </c>
      <c r="T24" s="91"/>
      <c r="U24" s="91"/>
      <c r="V24" s="91"/>
      <c r="W24" s="91"/>
      <c r="X24" s="91"/>
      <c r="Y24" s="65"/>
      <c r="Z24" s="65"/>
      <c r="AA24" s="65"/>
      <c r="AB24" s="65"/>
      <c r="AC24" s="65"/>
      <c r="AD24" s="65"/>
      <c r="AE24" s="65"/>
      <c r="AG24" s="63" t="s">
        <v>265</v>
      </c>
      <c r="AH24" s="63"/>
      <c r="AI24" s="63"/>
      <c r="AJ24" s="63"/>
      <c r="AK24" s="98"/>
      <c r="AL24" s="63"/>
      <c r="AM24" s="63"/>
      <c r="AN24" s="63"/>
      <c r="AO24" s="98"/>
      <c r="AP24" s="63"/>
      <c r="AQ24" s="63"/>
      <c r="AR24" s="63"/>
      <c r="AS24" s="98"/>
      <c r="AT24" s="63"/>
      <c r="AU24" s="63"/>
      <c r="AV24" s="63"/>
      <c r="AW24" s="98"/>
      <c r="AX24" s="92">
        <f t="shared" si="1"/>
        <v>0</v>
      </c>
      <c r="AY24" s="70">
        <f t="shared" si="3"/>
        <v>0</v>
      </c>
      <c r="AZ24" s="65"/>
      <c r="BA24" s="65"/>
      <c r="BB24" s="65"/>
      <c r="BC24" s="65"/>
      <c r="BD24" s="65"/>
      <c r="BE24" s="65"/>
      <c r="BF24" s="65"/>
      <c r="BG24" s="65"/>
      <c r="BH24" s="65"/>
      <c r="BI24" s="65"/>
      <c r="BJ24" s="65"/>
      <c r="BK24" s="65"/>
    </row>
    <row r="25" spans="1:63" x14ac:dyDescent="0.3">
      <c r="A25" s="63" t="s">
        <v>266</v>
      </c>
      <c r="B25" s="63"/>
      <c r="C25" s="63"/>
      <c r="D25" s="63"/>
      <c r="E25" s="98"/>
      <c r="F25" s="63"/>
      <c r="G25" s="63"/>
      <c r="H25" s="63"/>
      <c r="I25" s="98"/>
      <c r="J25" s="63"/>
      <c r="K25" s="63"/>
      <c r="L25" s="63"/>
      <c r="M25" s="98"/>
      <c r="N25" s="63"/>
      <c r="O25" s="63"/>
      <c r="P25" s="63"/>
      <c r="Q25" s="98"/>
      <c r="R25" s="92">
        <f t="shared" si="0"/>
        <v>0</v>
      </c>
      <c r="S25" s="70">
        <f t="shared" si="2"/>
        <v>0</v>
      </c>
      <c r="T25" s="91"/>
      <c r="U25" s="91"/>
      <c r="V25" s="91"/>
      <c r="W25" s="91"/>
      <c r="X25" s="91"/>
      <c r="Y25" s="65"/>
      <c r="Z25" s="65"/>
      <c r="AA25" s="65"/>
      <c r="AB25" s="65"/>
      <c r="AC25" s="65"/>
      <c r="AD25" s="65"/>
      <c r="AE25" s="65"/>
      <c r="AG25" s="63" t="s">
        <v>266</v>
      </c>
      <c r="AH25" s="63"/>
      <c r="AI25" s="63"/>
      <c r="AJ25" s="63"/>
      <c r="AK25" s="98"/>
      <c r="AL25" s="63"/>
      <c r="AM25" s="63"/>
      <c r="AN25" s="63"/>
      <c r="AO25" s="98"/>
      <c r="AP25" s="63"/>
      <c r="AQ25" s="63"/>
      <c r="AR25" s="63"/>
      <c r="AS25" s="98"/>
      <c r="AT25" s="63"/>
      <c r="AU25" s="63"/>
      <c r="AV25" s="63"/>
      <c r="AW25" s="98"/>
      <c r="AX25" s="92">
        <f t="shared" si="1"/>
        <v>0</v>
      </c>
      <c r="AY25" s="70">
        <f t="shared" si="3"/>
        <v>0</v>
      </c>
      <c r="AZ25" s="65"/>
      <c r="BA25" s="65"/>
      <c r="BB25" s="65"/>
      <c r="BC25" s="65"/>
      <c r="BD25" s="65"/>
      <c r="BE25" s="65"/>
      <c r="BF25" s="65"/>
      <c r="BG25" s="65"/>
      <c r="BH25" s="65"/>
      <c r="BI25" s="65"/>
      <c r="BJ25" s="65"/>
      <c r="BK25" s="65"/>
    </row>
    <row r="26" spans="1:63" x14ac:dyDescent="0.3">
      <c r="A26" s="63" t="s">
        <v>267</v>
      </c>
      <c r="B26" s="63"/>
      <c r="C26" s="63"/>
      <c r="D26" s="63"/>
      <c r="E26" s="98"/>
      <c r="F26" s="63"/>
      <c r="G26" s="63"/>
      <c r="H26" s="63"/>
      <c r="I26" s="98"/>
      <c r="J26" s="63"/>
      <c r="K26" s="63"/>
      <c r="L26" s="63"/>
      <c r="M26" s="98"/>
      <c r="N26" s="63"/>
      <c r="O26" s="63"/>
      <c r="P26" s="63"/>
      <c r="Q26" s="98"/>
      <c r="R26" s="92">
        <f t="shared" si="0"/>
        <v>0</v>
      </c>
      <c r="S26" s="70">
        <f t="shared" si="2"/>
        <v>0</v>
      </c>
      <c r="T26" s="91"/>
      <c r="U26" s="91"/>
      <c r="V26" s="91"/>
      <c r="W26" s="91"/>
      <c r="X26" s="91"/>
      <c r="Y26" s="65"/>
      <c r="Z26" s="65"/>
      <c r="AA26" s="65"/>
      <c r="AB26" s="65"/>
      <c r="AC26" s="65"/>
      <c r="AD26" s="65"/>
      <c r="AE26" s="65"/>
      <c r="AG26" s="63" t="s">
        <v>267</v>
      </c>
      <c r="AH26" s="63"/>
      <c r="AI26" s="63"/>
      <c r="AJ26" s="63"/>
      <c r="AK26" s="98"/>
      <c r="AL26" s="63"/>
      <c r="AM26" s="63"/>
      <c r="AN26" s="63"/>
      <c r="AO26" s="98"/>
      <c r="AP26" s="63"/>
      <c r="AQ26" s="63"/>
      <c r="AR26" s="63"/>
      <c r="AS26" s="98"/>
      <c r="AT26" s="63"/>
      <c r="AU26" s="63"/>
      <c r="AV26" s="63"/>
      <c r="AW26" s="98"/>
      <c r="AX26" s="92">
        <f t="shared" si="1"/>
        <v>0</v>
      </c>
      <c r="AY26" s="70">
        <f t="shared" si="3"/>
        <v>0</v>
      </c>
      <c r="AZ26" s="65"/>
      <c r="BA26" s="65"/>
      <c r="BB26" s="65"/>
      <c r="BC26" s="65"/>
      <c r="BD26" s="65"/>
      <c r="BE26" s="65"/>
      <c r="BF26" s="65"/>
      <c r="BG26" s="65"/>
      <c r="BH26" s="65"/>
      <c r="BI26" s="65"/>
      <c r="BJ26" s="65"/>
      <c r="BK26" s="65"/>
    </row>
    <row r="27" spans="1:63" x14ac:dyDescent="0.3">
      <c r="A27" s="63" t="s">
        <v>268</v>
      </c>
      <c r="B27" s="63"/>
      <c r="C27" s="63"/>
      <c r="D27" s="63"/>
      <c r="E27" s="98"/>
      <c r="F27" s="63"/>
      <c r="G27" s="63"/>
      <c r="H27" s="63"/>
      <c r="I27" s="98"/>
      <c r="J27" s="63"/>
      <c r="K27" s="63"/>
      <c r="L27" s="63"/>
      <c r="M27" s="98"/>
      <c r="N27" s="63"/>
      <c r="O27" s="63"/>
      <c r="P27" s="63"/>
      <c r="Q27" s="98"/>
      <c r="R27" s="92">
        <f t="shared" si="0"/>
        <v>0</v>
      </c>
      <c r="S27" s="70">
        <f t="shared" si="2"/>
        <v>0</v>
      </c>
      <c r="T27" s="91"/>
      <c r="U27" s="91"/>
      <c r="V27" s="91"/>
      <c r="W27" s="91"/>
      <c r="X27" s="91"/>
      <c r="Y27" s="65"/>
      <c r="Z27" s="65"/>
      <c r="AA27" s="65"/>
      <c r="AB27" s="65"/>
      <c r="AC27" s="65"/>
      <c r="AD27" s="65"/>
      <c r="AE27" s="65"/>
      <c r="AG27" s="63" t="s">
        <v>268</v>
      </c>
      <c r="AH27" s="63"/>
      <c r="AI27" s="63"/>
      <c r="AJ27" s="63"/>
      <c r="AK27" s="98"/>
      <c r="AL27" s="63"/>
      <c r="AM27" s="63"/>
      <c r="AN27" s="63"/>
      <c r="AO27" s="98"/>
      <c r="AP27" s="63"/>
      <c r="AQ27" s="63"/>
      <c r="AR27" s="63"/>
      <c r="AS27" s="98"/>
      <c r="AT27" s="63"/>
      <c r="AU27" s="63"/>
      <c r="AV27" s="63"/>
      <c r="AW27" s="98"/>
      <c r="AX27" s="92">
        <f t="shared" si="1"/>
        <v>0</v>
      </c>
      <c r="AY27" s="70">
        <f t="shared" si="3"/>
        <v>0</v>
      </c>
      <c r="AZ27" s="65"/>
      <c r="BA27" s="65"/>
      <c r="BB27" s="65"/>
      <c r="BC27" s="65"/>
      <c r="BD27" s="65"/>
      <c r="BE27" s="65"/>
      <c r="BF27" s="65"/>
      <c r="BG27" s="65"/>
      <c r="BH27" s="65"/>
      <c r="BI27" s="65"/>
      <c r="BJ27" s="65"/>
      <c r="BK27" s="65"/>
    </row>
    <row r="28" spans="1:63" x14ac:dyDescent="0.3">
      <c r="A28" s="63" t="s">
        <v>269</v>
      </c>
      <c r="B28" s="63"/>
      <c r="C28" s="63"/>
      <c r="D28" s="63"/>
      <c r="E28" s="98"/>
      <c r="F28" s="63"/>
      <c r="G28" s="63"/>
      <c r="H28" s="63"/>
      <c r="I28" s="98"/>
      <c r="J28" s="63"/>
      <c r="K28" s="63"/>
      <c r="L28" s="63"/>
      <c r="M28" s="98"/>
      <c r="N28" s="63"/>
      <c r="O28" s="63"/>
      <c r="P28" s="63"/>
      <c r="Q28" s="98"/>
      <c r="R28" s="92">
        <f t="shared" si="0"/>
        <v>0</v>
      </c>
      <c r="S28" s="70">
        <f t="shared" si="2"/>
        <v>0</v>
      </c>
      <c r="T28" s="91"/>
      <c r="U28" s="91"/>
      <c r="V28" s="91"/>
      <c r="W28" s="91"/>
      <c r="X28" s="91"/>
      <c r="Y28" s="65"/>
      <c r="Z28" s="65"/>
      <c r="AA28" s="65"/>
      <c r="AB28" s="65"/>
      <c r="AC28" s="65"/>
      <c r="AD28" s="65"/>
      <c r="AE28" s="65"/>
      <c r="AG28" s="63" t="s">
        <v>269</v>
      </c>
      <c r="AH28" s="63"/>
      <c r="AI28" s="63"/>
      <c r="AJ28" s="63"/>
      <c r="AK28" s="98"/>
      <c r="AL28" s="63"/>
      <c r="AM28" s="63"/>
      <c r="AN28" s="63"/>
      <c r="AO28" s="98"/>
      <c r="AP28" s="63"/>
      <c r="AQ28" s="63"/>
      <c r="AR28" s="63"/>
      <c r="AS28" s="98"/>
      <c r="AT28" s="63"/>
      <c r="AU28" s="63"/>
      <c r="AV28" s="63"/>
      <c r="AW28" s="98"/>
      <c r="AX28" s="92">
        <f t="shared" si="1"/>
        <v>0</v>
      </c>
      <c r="AY28" s="70">
        <f t="shared" si="3"/>
        <v>0</v>
      </c>
      <c r="AZ28" s="65"/>
      <c r="BA28" s="65"/>
      <c r="BB28" s="65"/>
      <c r="BC28" s="65"/>
      <c r="BD28" s="65"/>
      <c r="BE28" s="65"/>
      <c r="BF28" s="65"/>
      <c r="BG28" s="65"/>
      <c r="BH28" s="65"/>
      <c r="BI28" s="65"/>
      <c r="BJ28" s="65"/>
      <c r="BK28" s="65"/>
    </row>
    <row r="29" spans="1:63" x14ac:dyDescent="0.3">
      <c r="A29" s="63" t="s">
        <v>270</v>
      </c>
      <c r="B29" s="63"/>
      <c r="C29" s="63"/>
      <c r="D29" s="63"/>
      <c r="E29" s="98"/>
      <c r="F29" s="63"/>
      <c r="G29" s="63"/>
      <c r="H29" s="63"/>
      <c r="I29" s="98"/>
      <c r="J29" s="63"/>
      <c r="K29" s="63"/>
      <c r="L29" s="63"/>
      <c r="M29" s="98"/>
      <c r="N29" s="63"/>
      <c r="O29" s="63"/>
      <c r="P29" s="63"/>
      <c r="Q29" s="98"/>
      <c r="R29" s="92">
        <f t="shared" si="0"/>
        <v>0</v>
      </c>
      <c r="S29" s="70">
        <f t="shared" si="2"/>
        <v>0</v>
      </c>
      <c r="T29" s="91"/>
      <c r="U29" s="91"/>
      <c r="V29" s="91"/>
      <c r="W29" s="91"/>
      <c r="X29" s="91"/>
      <c r="Y29" s="65"/>
      <c r="Z29" s="65"/>
      <c r="AA29" s="65"/>
      <c r="AB29" s="65"/>
      <c r="AC29" s="65"/>
      <c r="AD29" s="65"/>
      <c r="AE29" s="65"/>
      <c r="AG29" s="63" t="s">
        <v>270</v>
      </c>
      <c r="AH29" s="63"/>
      <c r="AI29" s="63"/>
      <c r="AJ29" s="63"/>
      <c r="AK29" s="98"/>
      <c r="AL29" s="63"/>
      <c r="AM29" s="63"/>
      <c r="AN29" s="63"/>
      <c r="AO29" s="98"/>
      <c r="AP29" s="63"/>
      <c r="AQ29" s="63"/>
      <c r="AR29" s="63"/>
      <c r="AS29" s="98"/>
      <c r="AT29" s="63"/>
      <c r="AU29" s="63"/>
      <c r="AV29" s="63"/>
      <c r="AW29" s="98"/>
      <c r="AX29" s="92">
        <f t="shared" si="1"/>
        <v>0</v>
      </c>
      <c r="AY29" s="70">
        <f t="shared" si="3"/>
        <v>0</v>
      </c>
      <c r="AZ29" s="65"/>
      <c r="BA29" s="65"/>
      <c r="BB29" s="65"/>
      <c r="BC29" s="65"/>
      <c r="BD29" s="65"/>
      <c r="BE29" s="65"/>
      <c r="BF29" s="65"/>
      <c r="BG29" s="65"/>
      <c r="BH29" s="65"/>
      <c r="BI29" s="65"/>
      <c r="BJ29" s="65"/>
      <c r="BK29" s="65"/>
    </row>
    <row r="30" spans="1:63" x14ac:dyDescent="0.3">
      <c r="A30" s="63" t="s">
        <v>271</v>
      </c>
      <c r="B30" s="63"/>
      <c r="C30" s="63"/>
      <c r="D30" s="63"/>
      <c r="E30" s="98"/>
      <c r="F30" s="63"/>
      <c r="G30" s="63"/>
      <c r="H30" s="63"/>
      <c r="I30" s="98"/>
      <c r="J30" s="63"/>
      <c r="K30" s="63"/>
      <c r="L30" s="63"/>
      <c r="M30" s="98"/>
      <c r="N30" s="63"/>
      <c r="O30" s="63"/>
      <c r="P30" s="63"/>
      <c r="Q30" s="98"/>
      <c r="R30" s="92">
        <f t="shared" si="0"/>
        <v>0</v>
      </c>
      <c r="S30" s="70">
        <f t="shared" si="2"/>
        <v>0</v>
      </c>
      <c r="T30" s="91"/>
      <c r="U30" s="91"/>
      <c r="V30" s="91"/>
      <c r="W30" s="91"/>
      <c r="X30" s="91"/>
      <c r="Y30" s="65"/>
      <c r="Z30" s="65"/>
      <c r="AA30" s="65"/>
      <c r="AB30" s="65"/>
      <c r="AC30" s="65"/>
      <c r="AD30" s="65"/>
      <c r="AE30" s="65"/>
      <c r="AG30" s="63" t="s">
        <v>271</v>
      </c>
      <c r="AH30" s="63"/>
      <c r="AI30" s="63"/>
      <c r="AJ30" s="63"/>
      <c r="AK30" s="98"/>
      <c r="AL30" s="63"/>
      <c r="AM30" s="63"/>
      <c r="AN30" s="63"/>
      <c r="AO30" s="98"/>
      <c r="AP30" s="63"/>
      <c r="AQ30" s="63"/>
      <c r="AR30" s="63"/>
      <c r="AS30" s="98"/>
      <c r="AT30" s="63"/>
      <c r="AU30" s="63"/>
      <c r="AV30" s="63"/>
      <c r="AW30" s="98"/>
      <c r="AX30" s="92">
        <f t="shared" si="1"/>
        <v>0</v>
      </c>
      <c r="AY30" s="70">
        <f t="shared" si="3"/>
        <v>0</v>
      </c>
      <c r="AZ30" s="65"/>
      <c r="BA30" s="65"/>
      <c r="BB30" s="65"/>
      <c r="BC30" s="65"/>
      <c r="BD30" s="65"/>
      <c r="BE30" s="65"/>
      <c r="BF30" s="65"/>
      <c r="BG30" s="65"/>
      <c r="BH30" s="65"/>
      <c r="BI30" s="65"/>
      <c r="BJ30" s="65"/>
      <c r="BK30" s="65"/>
    </row>
    <row r="31" spans="1:63" x14ac:dyDescent="0.3">
      <c r="A31" s="63" t="s">
        <v>272</v>
      </c>
      <c r="B31" s="63"/>
      <c r="C31" s="63"/>
      <c r="D31" s="63"/>
      <c r="E31" s="98"/>
      <c r="F31" s="63"/>
      <c r="G31" s="63"/>
      <c r="H31" s="63"/>
      <c r="I31" s="98"/>
      <c r="J31" s="63"/>
      <c r="K31" s="63"/>
      <c r="L31" s="63"/>
      <c r="M31" s="98"/>
      <c r="N31" s="63"/>
      <c r="O31" s="63"/>
      <c r="P31" s="63"/>
      <c r="Q31" s="98"/>
      <c r="R31" s="92">
        <f t="shared" si="0"/>
        <v>0</v>
      </c>
      <c r="S31" s="70">
        <f t="shared" si="2"/>
        <v>0</v>
      </c>
      <c r="T31" s="91"/>
      <c r="U31" s="91"/>
      <c r="V31" s="91"/>
      <c r="W31" s="91"/>
      <c r="X31" s="91"/>
      <c r="Y31" s="65"/>
      <c r="Z31" s="65"/>
      <c r="AA31" s="65"/>
      <c r="AB31" s="65"/>
      <c r="AC31" s="65"/>
      <c r="AD31" s="65"/>
      <c r="AE31" s="65"/>
      <c r="AG31" s="63" t="s">
        <v>272</v>
      </c>
      <c r="AH31" s="63"/>
      <c r="AI31" s="63"/>
      <c r="AJ31" s="63"/>
      <c r="AK31" s="98"/>
      <c r="AL31" s="63"/>
      <c r="AM31" s="63"/>
      <c r="AN31" s="63"/>
      <c r="AO31" s="98"/>
      <c r="AP31" s="63"/>
      <c r="AQ31" s="63"/>
      <c r="AR31" s="63"/>
      <c r="AS31" s="98"/>
      <c r="AT31" s="63"/>
      <c r="AU31" s="63"/>
      <c r="AV31" s="63"/>
      <c r="AW31" s="98"/>
      <c r="AX31" s="92">
        <f t="shared" si="1"/>
        <v>0</v>
      </c>
      <c r="AY31" s="70">
        <f t="shared" si="3"/>
        <v>0</v>
      </c>
      <c r="AZ31" s="65"/>
      <c r="BA31" s="65"/>
      <c r="BB31" s="65"/>
      <c r="BC31" s="65"/>
      <c r="BD31" s="65"/>
      <c r="BE31" s="65"/>
      <c r="BF31" s="65"/>
      <c r="BG31" s="65"/>
      <c r="BH31" s="65"/>
      <c r="BI31" s="65"/>
      <c r="BJ31" s="65"/>
      <c r="BK31" s="65"/>
    </row>
    <row r="32" spans="1:63" x14ac:dyDescent="0.3">
      <c r="A32" s="67" t="s">
        <v>273</v>
      </c>
      <c r="B32" s="64">
        <f>SUM(B11:B31)</f>
        <v>0</v>
      </c>
      <c r="C32" s="64">
        <f t="shared" ref="C32:AE32" si="4">SUM(C11:C31)</f>
        <v>0</v>
      </c>
      <c r="D32" s="64">
        <f t="shared" si="4"/>
        <v>0</v>
      </c>
      <c r="E32" s="99">
        <f>SUM(E11:E31)</f>
        <v>0</v>
      </c>
      <c r="F32" s="64">
        <f t="shared" si="4"/>
        <v>0</v>
      </c>
      <c r="G32" s="64">
        <f t="shared" si="4"/>
        <v>0</v>
      </c>
      <c r="H32" s="64">
        <f t="shared" si="4"/>
        <v>0</v>
      </c>
      <c r="I32" s="99">
        <f>SUM(I11:I31)</f>
        <v>0</v>
      </c>
      <c r="J32" s="64">
        <f t="shared" si="4"/>
        <v>0</v>
      </c>
      <c r="K32" s="64">
        <f t="shared" si="4"/>
        <v>0</v>
      </c>
      <c r="L32" s="64">
        <f t="shared" si="4"/>
        <v>0</v>
      </c>
      <c r="M32" s="99">
        <f>SUM(M11:M31)</f>
        <v>0</v>
      </c>
      <c r="N32" s="64">
        <f t="shared" si="4"/>
        <v>0</v>
      </c>
      <c r="O32" s="64">
        <f t="shared" si="4"/>
        <v>0</v>
      </c>
      <c r="P32" s="64">
        <f t="shared" si="4"/>
        <v>0</v>
      </c>
      <c r="Q32" s="99">
        <f>SUM(Q11:Q31)</f>
        <v>0</v>
      </c>
      <c r="R32" s="64">
        <f t="shared" si="4"/>
        <v>0</v>
      </c>
      <c r="S32" s="70">
        <f t="shared" si="4"/>
        <v>0</v>
      </c>
      <c r="T32" s="64">
        <f t="shared" si="4"/>
        <v>0</v>
      </c>
      <c r="U32" s="64">
        <f t="shared" si="4"/>
        <v>0</v>
      </c>
      <c r="V32" s="64">
        <f t="shared" si="4"/>
        <v>0</v>
      </c>
      <c r="W32" s="64">
        <f t="shared" si="4"/>
        <v>0</v>
      </c>
      <c r="X32" s="64">
        <f t="shared" si="4"/>
        <v>0</v>
      </c>
      <c r="Y32" s="64">
        <f t="shared" si="4"/>
        <v>0</v>
      </c>
      <c r="Z32" s="64">
        <f t="shared" si="4"/>
        <v>0</v>
      </c>
      <c r="AA32" s="64">
        <f t="shared" si="4"/>
        <v>0</v>
      </c>
      <c r="AB32" s="64">
        <f t="shared" si="4"/>
        <v>0</v>
      </c>
      <c r="AC32" s="64">
        <f t="shared" si="4"/>
        <v>0</v>
      </c>
      <c r="AD32" s="64">
        <f t="shared" si="4"/>
        <v>0</v>
      </c>
      <c r="AE32" s="64">
        <f t="shared" si="4"/>
        <v>0</v>
      </c>
      <c r="AG32" s="67" t="s">
        <v>273</v>
      </c>
      <c r="AH32" s="64">
        <f t="shared" ref="AH32:AW32" si="5">SUM(AH11:AH31)</f>
        <v>0</v>
      </c>
      <c r="AI32" s="64">
        <f t="shared" si="5"/>
        <v>0</v>
      </c>
      <c r="AJ32" s="64">
        <f t="shared" si="5"/>
        <v>0</v>
      </c>
      <c r="AK32" s="99">
        <f t="shared" si="5"/>
        <v>0</v>
      </c>
      <c r="AL32" s="64">
        <f t="shared" si="5"/>
        <v>0</v>
      </c>
      <c r="AM32" s="64">
        <f t="shared" si="5"/>
        <v>0</v>
      </c>
      <c r="AN32" s="64">
        <f t="shared" si="5"/>
        <v>0</v>
      </c>
      <c r="AO32" s="99">
        <f t="shared" si="5"/>
        <v>0</v>
      </c>
      <c r="AP32" s="64">
        <f t="shared" si="5"/>
        <v>0</v>
      </c>
      <c r="AQ32" s="64">
        <f t="shared" si="5"/>
        <v>0</v>
      </c>
      <c r="AR32" s="64">
        <f t="shared" si="5"/>
        <v>0</v>
      </c>
      <c r="AS32" s="99">
        <f t="shared" si="5"/>
        <v>0</v>
      </c>
      <c r="AT32" s="64">
        <f t="shared" si="5"/>
        <v>0</v>
      </c>
      <c r="AU32" s="64">
        <f t="shared" si="5"/>
        <v>0</v>
      </c>
      <c r="AV32" s="64">
        <f t="shared" si="5"/>
        <v>0</v>
      </c>
      <c r="AW32" s="99">
        <f t="shared" si="5"/>
        <v>0</v>
      </c>
      <c r="AX32" s="93">
        <f t="shared" ref="AX32:BK32" si="6">SUM(AX11:AX31)</f>
        <v>0</v>
      </c>
      <c r="AY32" s="71">
        <f t="shared" si="6"/>
        <v>0</v>
      </c>
      <c r="AZ32" s="64">
        <f t="shared" si="6"/>
        <v>0</v>
      </c>
      <c r="BA32" s="64">
        <f t="shared" si="6"/>
        <v>0</v>
      </c>
      <c r="BB32" s="64">
        <f t="shared" si="6"/>
        <v>0</v>
      </c>
      <c r="BC32" s="64">
        <f t="shared" si="6"/>
        <v>0</v>
      </c>
      <c r="BD32" s="64">
        <f t="shared" si="6"/>
        <v>0</v>
      </c>
      <c r="BE32" s="64">
        <f t="shared" si="6"/>
        <v>0</v>
      </c>
      <c r="BF32" s="64">
        <f t="shared" si="6"/>
        <v>0</v>
      </c>
      <c r="BG32" s="64">
        <f t="shared" si="6"/>
        <v>0</v>
      </c>
      <c r="BH32" s="64">
        <f t="shared" si="6"/>
        <v>0</v>
      </c>
      <c r="BI32" s="64">
        <f t="shared" si="6"/>
        <v>0</v>
      </c>
      <c r="BJ32" s="64">
        <f t="shared" si="6"/>
        <v>0</v>
      </c>
      <c r="BK32" s="64">
        <f t="shared" si="6"/>
        <v>0</v>
      </c>
    </row>
    <row r="35" spans="1:63" ht="30" customHeight="1" x14ac:dyDescent="0.3">
      <c r="A35" s="582" t="s">
        <v>234</v>
      </c>
      <c r="B35" s="95" t="s">
        <v>28</v>
      </c>
      <c r="C35" s="95" t="s">
        <v>29</v>
      </c>
      <c r="D35" s="584" t="s">
        <v>30</v>
      </c>
      <c r="E35" s="585"/>
      <c r="F35" s="95" t="s">
        <v>31</v>
      </c>
      <c r="G35" s="95" t="s">
        <v>32</v>
      </c>
      <c r="H35" s="584" t="s">
        <v>33</v>
      </c>
      <c r="I35" s="585"/>
      <c r="J35" s="95" t="s">
        <v>34</v>
      </c>
      <c r="K35" s="95" t="s">
        <v>35</v>
      </c>
      <c r="L35" s="584" t="s">
        <v>36</v>
      </c>
      <c r="M35" s="585"/>
      <c r="N35" s="95" t="s">
        <v>37</v>
      </c>
      <c r="O35" s="95" t="s">
        <v>38</v>
      </c>
      <c r="P35" s="584" t="s">
        <v>39</v>
      </c>
      <c r="Q35" s="585"/>
      <c r="R35" s="584" t="s">
        <v>235</v>
      </c>
      <c r="S35" s="585"/>
      <c r="T35" s="584" t="s">
        <v>236</v>
      </c>
      <c r="U35" s="587"/>
      <c r="V35" s="587"/>
      <c r="W35" s="587"/>
      <c r="X35" s="587"/>
      <c r="Y35" s="585"/>
      <c r="Z35" s="584" t="s">
        <v>237</v>
      </c>
      <c r="AA35" s="587"/>
      <c r="AB35" s="587"/>
      <c r="AC35" s="587"/>
      <c r="AD35" s="587"/>
      <c r="AE35" s="585"/>
      <c r="AG35" s="582" t="s">
        <v>234</v>
      </c>
      <c r="AH35" s="95" t="s">
        <v>28</v>
      </c>
      <c r="AI35" s="95" t="s">
        <v>29</v>
      </c>
      <c r="AJ35" s="584" t="s">
        <v>30</v>
      </c>
      <c r="AK35" s="585"/>
      <c r="AL35" s="95" t="s">
        <v>31</v>
      </c>
      <c r="AM35" s="95" t="s">
        <v>32</v>
      </c>
      <c r="AN35" s="584" t="s">
        <v>33</v>
      </c>
      <c r="AO35" s="585"/>
      <c r="AP35" s="95" t="s">
        <v>34</v>
      </c>
      <c r="AQ35" s="95" t="s">
        <v>35</v>
      </c>
      <c r="AR35" s="584" t="s">
        <v>36</v>
      </c>
      <c r="AS35" s="585"/>
      <c r="AT35" s="95" t="s">
        <v>37</v>
      </c>
      <c r="AU35" s="95" t="s">
        <v>38</v>
      </c>
      <c r="AV35" s="584" t="s">
        <v>39</v>
      </c>
      <c r="AW35" s="585"/>
      <c r="AX35" s="584" t="s">
        <v>235</v>
      </c>
      <c r="AY35" s="585"/>
      <c r="AZ35" s="584" t="s">
        <v>236</v>
      </c>
      <c r="BA35" s="587"/>
      <c r="BB35" s="587"/>
      <c r="BC35" s="587"/>
      <c r="BD35" s="587"/>
      <c r="BE35" s="585"/>
      <c r="BF35" s="584" t="s">
        <v>237</v>
      </c>
      <c r="BG35" s="587"/>
      <c r="BH35" s="587"/>
      <c r="BI35" s="587"/>
      <c r="BJ35" s="587"/>
      <c r="BK35" s="585"/>
    </row>
    <row r="36" spans="1:63" ht="36" customHeight="1" x14ac:dyDescent="0.3">
      <c r="A36" s="583"/>
      <c r="B36" s="45" t="s">
        <v>238</v>
      </c>
      <c r="C36" s="45" t="s">
        <v>238</v>
      </c>
      <c r="D36" s="45" t="s">
        <v>238</v>
      </c>
      <c r="E36" s="45" t="s">
        <v>239</v>
      </c>
      <c r="F36" s="45" t="s">
        <v>238</v>
      </c>
      <c r="G36" s="45" t="s">
        <v>238</v>
      </c>
      <c r="H36" s="45" t="s">
        <v>238</v>
      </c>
      <c r="I36" s="45" t="s">
        <v>239</v>
      </c>
      <c r="J36" s="45" t="s">
        <v>238</v>
      </c>
      <c r="K36" s="45" t="s">
        <v>238</v>
      </c>
      <c r="L36" s="45" t="s">
        <v>238</v>
      </c>
      <c r="M36" s="45" t="s">
        <v>239</v>
      </c>
      <c r="N36" s="45" t="s">
        <v>238</v>
      </c>
      <c r="O36" s="45" t="s">
        <v>238</v>
      </c>
      <c r="P36" s="45" t="s">
        <v>238</v>
      </c>
      <c r="Q36" s="45" t="s">
        <v>239</v>
      </c>
      <c r="R36" s="45" t="s">
        <v>238</v>
      </c>
      <c r="S36" s="45" t="s">
        <v>239</v>
      </c>
      <c r="T36" s="89" t="s">
        <v>240</v>
      </c>
      <c r="U36" s="89" t="s">
        <v>241</v>
      </c>
      <c r="V36" s="89" t="s">
        <v>242</v>
      </c>
      <c r="W36" s="89" t="s">
        <v>243</v>
      </c>
      <c r="X36" s="90" t="s">
        <v>244</v>
      </c>
      <c r="Y36" s="89" t="s">
        <v>245</v>
      </c>
      <c r="Z36" s="45" t="s">
        <v>246</v>
      </c>
      <c r="AA36" s="62" t="s">
        <v>247</v>
      </c>
      <c r="AB36" s="45" t="s">
        <v>248</v>
      </c>
      <c r="AC36" s="45" t="s">
        <v>249</v>
      </c>
      <c r="AD36" s="45" t="s">
        <v>250</v>
      </c>
      <c r="AE36" s="45" t="s">
        <v>251</v>
      </c>
      <c r="AG36" s="583"/>
      <c r="AH36" s="45" t="s">
        <v>238</v>
      </c>
      <c r="AI36" s="45" t="s">
        <v>238</v>
      </c>
      <c r="AJ36" s="45" t="s">
        <v>238</v>
      </c>
      <c r="AK36" s="45" t="s">
        <v>239</v>
      </c>
      <c r="AL36" s="45" t="s">
        <v>238</v>
      </c>
      <c r="AM36" s="45" t="s">
        <v>238</v>
      </c>
      <c r="AN36" s="45" t="s">
        <v>238</v>
      </c>
      <c r="AO36" s="45" t="s">
        <v>239</v>
      </c>
      <c r="AP36" s="45" t="s">
        <v>238</v>
      </c>
      <c r="AQ36" s="45" t="s">
        <v>238</v>
      </c>
      <c r="AR36" s="45" t="s">
        <v>238</v>
      </c>
      <c r="AS36" s="45" t="s">
        <v>239</v>
      </c>
      <c r="AT36" s="45" t="s">
        <v>238</v>
      </c>
      <c r="AU36" s="45" t="s">
        <v>238</v>
      </c>
      <c r="AV36" s="45" t="s">
        <v>238</v>
      </c>
      <c r="AW36" s="45" t="s">
        <v>239</v>
      </c>
      <c r="AX36" s="45" t="s">
        <v>238</v>
      </c>
      <c r="AY36" s="45" t="s">
        <v>239</v>
      </c>
      <c r="AZ36" s="89" t="s">
        <v>240</v>
      </c>
      <c r="BA36" s="89" t="s">
        <v>241</v>
      </c>
      <c r="BB36" s="89" t="s">
        <v>242</v>
      </c>
      <c r="BC36" s="89" t="s">
        <v>243</v>
      </c>
      <c r="BD36" s="90" t="s">
        <v>244</v>
      </c>
      <c r="BE36" s="89" t="s">
        <v>245</v>
      </c>
      <c r="BF36" s="87" t="s">
        <v>246</v>
      </c>
      <c r="BG36" s="88" t="s">
        <v>247</v>
      </c>
      <c r="BH36" s="87" t="s">
        <v>248</v>
      </c>
      <c r="BI36" s="87" t="s">
        <v>249</v>
      </c>
      <c r="BJ36" s="87" t="s">
        <v>250</v>
      </c>
      <c r="BK36" s="87" t="s">
        <v>251</v>
      </c>
    </row>
    <row r="37" spans="1:63" x14ac:dyDescent="0.3">
      <c r="A37" s="63" t="s">
        <v>252</v>
      </c>
      <c r="B37" s="63"/>
      <c r="C37" s="63"/>
      <c r="D37" s="63"/>
      <c r="E37" s="98"/>
      <c r="F37" s="63"/>
      <c r="G37" s="63"/>
      <c r="H37" s="63"/>
      <c r="I37" s="98"/>
      <c r="J37" s="63"/>
      <c r="K37" s="63"/>
      <c r="L37" s="63"/>
      <c r="M37" s="98"/>
      <c r="N37" s="63"/>
      <c r="O37" s="63"/>
      <c r="P37" s="63"/>
      <c r="Q37" s="98"/>
      <c r="R37" s="92">
        <f t="shared" ref="R37:R57" si="7">B37+C37+D37+F37+G37+H37+J37+K37+L37+N37+O37+P37</f>
        <v>0</v>
      </c>
      <c r="S37" s="70">
        <f>+E37+I37+M37+Q37</f>
        <v>0</v>
      </c>
      <c r="T37" s="91"/>
      <c r="U37" s="91"/>
      <c r="V37" s="91"/>
      <c r="W37" s="91"/>
      <c r="X37" s="91"/>
      <c r="Y37" s="65"/>
      <c r="Z37" s="65"/>
      <c r="AA37" s="65"/>
      <c r="AB37" s="65"/>
      <c r="AC37" s="65"/>
      <c r="AD37" s="65"/>
      <c r="AE37" s="66"/>
      <c r="AG37" s="63" t="s">
        <v>252</v>
      </c>
      <c r="AH37" s="63"/>
      <c r="AI37" s="63"/>
      <c r="AJ37" s="63"/>
      <c r="AK37" s="98"/>
      <c r="AL37" s="63"/>
      <c r="AM37" s="63"/>
      <c r="AN37" s="63"/>
      <c r="AO37" s="98"/>
      <c r="AP37" s="63"/>
      <c r="AQ37" s="63"/>
      <c r="AR37" s="63"/>
      <c r="AS37" s="98"/>
      <c r="AT37" s="63"/>
      <c r="AU37" s="63"/>
      <c r="AV37" s="63"/>
      <c r="AW37" s="98"/>
      <c r="AX37" s="92">
        <f t="shared" ref="AX37:AX57" si="8">AH37+AI37+AJ37+AL37+AM37+AN37+AP37+AQ37+AR37+AT37+AU37+AV37</f>
        <v>0</v>
      </c>
      <c r="AY37" s="70">
        <f>+AK37+AO37+AS37+AW37</f>
        <v>0</v>
      </c>
      <c r="AZ37" s="65"/>
      <c r="BA37" s="65"/>
      <c r="BB37" s="65"/>
      <c r="BC37" s="65"/>
      <c r="BD37" s="65"/>
      <c r="BE37" s="65"/>
      <c r="BF37" s="65"/>
      <c r="BG37" s="65"/>
      <c r="BH37" s="65"/>
      <c r="BI37" s="65"/>
      <c r="BJ37" s="65"/>
      <c r="BK37" s="66"/>
    </row>
    <row r="38" spans="1:63" x14ac:dyDescent="0.3">
      <c r="A38" s="63" t="s">
        <v>253</v>
      </c>
      <c r="B38" s="63"/>
      <c r="C38" s="63"/>
      <c r="D38" s="63"/>
      <c r="E38" s="98"/>
      <c r="F38" s="63"/>
      <c r="G38" s="63"/>
      <c r="H38" s="63"/>
      <c r="I38" s="98"/>
      <c r="J38" s="63"/>
      <c r="K38" s="63"/>
      <c r="L38" s="63"/>
      <c r="M38" s="98"/>
      <c r="N38" s="63"/>
      <c r="O38" s="63"/>
      <c r="P38" s="63"/>
      <c r="Q38" s="98"/>
      <c r="R38" s="92">
        <f t="shared" si="7"/>
        <v>0</v>
      </c>
      <c r="S38" s="70">
        <f t="shared" ref="S38:S57" si="9">+E38+I38+M38+Q38</f>
        <v>0</v>
      </c>
      <c r="T38" s="91"/>
      <c r="U38" s="91"/>
      <c r="V38" s="91"/>
      <c r="W38" s="91"/>
      <c r="X38" s="91"/>
      <c r="Y38" s="65"/>
      <c r="Z38" s="65"/>
      <c r="AA38" s="65"/>
      <c r="AB38" s="65"/>
      <c r="AC38" s="65"/>
      <c r="AD38" s="65"/>
      <c r="AE38" s="65"/>
      <c r="AG38" s="63" t="s">
        <v>253</v>
      </c>
      <c r="AH38" s="63"/>
      <c r="AI38" s="63"/>
      <c r="AJ38" s="63"/>
      <c r="AK38" s="98"/>
      <c r="AL38" s="63"/>
      <c r="AM38" s="63"/>
      <c r="AN38" s="63"/>
      <c r="AO38" s="98"/>
      <c r="AP38" s="63"/>
      <c r="AQ38" s="63"/>
      <c r="AR38" s="63"/>
      <c r="AS38" s="98"/>
      <c r="AT38" s="63"/>
      <c r="AU38" s="63"/>
      <c r="AV38" s="63"/>
      <c r="AW38" s="98"/>
      <c r="AX38" s="92">
        <f t="shared" si="8"/>
        <v>0</v>
      </c>
      <c r="AY38" s="70">
        <f t="shared" ref="AY38:AY57" si="10">+AK38+AO38+AS38+AW38</f>
        <v>0</v>
      </c>
      <c r="AZ38" s="65"/>
      <c r="BA38" s="65"/>
      <c r="BB38" s="65"/>
      <c r="BC38" s="65"/>
      <c r="BD38" s="65"/>
      <c r="BE38" s="65"/>
      <c r="BF38" s="65"/>
      <c r="BG38" s="65"/>
      <c r="BH38" s="65"/>
      <c r="BI38" s="65"/>
      <c r="BJ38" s="65"/>
      <c r="BK38" s="65"/>
    </row>
    <row r="39" spans="1:63" x14ac:dyDescent="0.3">
      <c r="A39" s="63" t="s">
        <v>254</v>
      </c>
      <c r="B39" s="63"/>
      <c r="C39" s="63"/>
      <c r="D39" s="63"/>
      <c r="E39" s="98"/>
      <c r="F39" s="63"/>
      <c r="G39" s="63"/>
      <c r="H39" s="63"/>
      <c r="I39" s="98"/>
      <c r="J39" s="63"/>
      <c r="K39" s="63"/>
      <c r="L39" s="63"/>
      <c r="M39" s="98"/>
      <c r="N39" s="63"/>
      <c r="O39" s="63"/>
      <c r="P39" s="63"/>
      <c r="Q39" s="98"/>
      <c r="R39" s="92">
        <f t="shared" si="7"/>
        <v>0</v>
      </c>
      <c r="S39" s="70">
        <f t="shared" si="9"/>
        <v>0</v>
      </c>
      <c r="T39" s="91"/>
      <c r="U39" s="91"/>
      <c r="V39" s="91"/>
      <c r="W39" s="91"/>
      <c r="X39" s="91"/>
      <c r="Y39" s="65"/>
      <c r="Z39" s="65"/>
      <c r="AA39" s="65"/>
      <c r="AB39" s="65"/>
      <c r="AC39" s="65"/>
      <c r="AD39" s="65"/>
      <c r="AE39" s="65"/>
      <c r="AG39" s="63" t="s">
        <v>254</v>
      </c>
      <c r="AH39" s="63"/>
      <c r="AI39" s="63"/>
      <c r="AJ39" s="63"/>
      <c r="AK39" s="98"/>
      <c r="AL39" s="63"/>
      <c r="AM39" s="63"/>
      <c r="AN39" s="63"/>
      <c r="AO39" s="98"/>
      <c r="AP39" s="63"/>
      <c r="AQ39" s="63"/>
      <c r="AR39" s="63"/>
      <c r="AS39" s="98"/>
      <c r="AT39" s="63"/>
      <c r="AU39" s="63"/>
      <c r="AV39" s="63"/>
      <c r="AW39" s="98"/>
      <c r="AX39" s="92">
        <f t="shared" si="8"/>
        <v>0</v>
      </c>
      <c r="AY39" s="70">
        <f t="shared" si="10"/>
        <v>0</v>
      </c>
      <c r="AZ39" s="65"/>
      <c r="BA39" s="65"/>
      <c r="BB39" s="65"/>
      <c r="BC39" s="65"/>
      <c r="BD39" s="65"/>
      <c r="BE39" s="65"/>
      <c r="BF39" s="65"/>
      <c r="BG39" s="65"/>
      <c r="BH39" s="65"/>
      <c r="BI39" s="65"/>
      <c r="BJ39" s="65"/>
      <c r="BK39" s="65"/>
    </row>
    <row r="40" spans="1:63" x14ac:dyDescent="0.3">
      <c r="A40" s="63" t="s">
        <v>255</v>
      </c>
      <c r="B40" s="63"/>
      <c r="C40" s="63"/>
      <c r="D40" s="63"/>
      <c r="E40" s="98"/>
      <c r="F40" s="63"/>
      <c r="G40" s="63"/>
      <c r="H40" s="63"/>
      <c r="I40" s="98"/>
      <c r="J40" s="63"/>
      <c r="K40" s="63"/>
      <c r="L40" s="63"/>
      <c r="M40" s="98"/>
      <c r="N40" s="63"/>
      <c r="O40" s="63"/>
      <c r="P40" s="63"/>
      <c r="Q40" s="98"/>
      <c r="R40" s="92">
        <f t="shared" si="7"/>
        <v>0</v>
      </c>
      <c r="S40" s="70">
        <f t="shared" si="9"/>
        <v>0</v>
      </c>
      <c r="T40" s="91"/>
      <c r="U40" s="91"/>
      <c r="V40" s="91"/>
      <c r="W40" s="91"/>
      <c r="X40" s="91"/>
      <c r="Y40" s="65"/>
      <c r="Z40" s="65"/>
      <c r="AA40" s="65"/>
      <c r="AB40" s="65"/>
      <c r="AC40" s="65"/>
      <c r="AD40" s="65"/>
      <c r="AE40" s="65"/>
      <c r="AG40" s="63" t="s">
        <v>255</v>
      </c>
      <c r="AH40" s="63"/>
      <c r="AI40" s="63"/>
      <c r="AJ40" s="63"/>
      <c r="AK40" s="98"/>
      <c r="AL40" s="63"/>
      <c r="AM40" s="63"/>
      <c r="AN40" s="63"/>
      <c r="AO40" s="98"/>
      <c r="AP40" s="63"/>
      <c r="AQ40" s="63"/>
      <c r="AR40" s="63"/>
      <c r="AS40" s="98"/>
      <c r="AT40" s="63"/>
      <c r="AU40" s="63"/>
      <c r="AV40" s="63"/>
      <c r="AW40" s="98"/>
      <c r="AX40" s="92">
        <f t="shared" si="8"/>
        <v>0</v>
      </c>
      <c r="AY40" s="70">
        <f t="shared" si="10"/>
        <v>0</v>
      </c>
      <c r="AZ40" s="65"/>
      <c r="BA40" s="65"/>
      <c r="BB40" s="65"/>
      <c r="BC40" s="65"/>
      <c r="BD40" s="65"/>
      <c r="BE40" s="65"/>
      <c r="BF40" s="65"/>
      <c r="BG40" s="65"/>
      <c r="BH40" s="65"/>
      <c r="BI40" s="65"/>
      <c r="BJ40" s="65"/>
      <c r="BK40" s="65"/>
    </row>
    <row r="41" spans="1:63" x14ac:dyDescent="0.3">
      <c r="A41" s="63" t="s">
        <v>256</v>
      </c>
      <c r="B41" s="63"/>
      <c r="C41" s="63"/>
      <c r="D41" s="63"/>
      <c r="E41" s="98"/>
      <c r="F41" s="63"/>
      <c r="G41" s="63"/>
      <c r="H41" s="63"/>
      <c r="I41" s="98"/>
      <c r="J41" s="63"/>
      <c r="K41" s="63"/>
      <c r="L41" s="63"/>
      <c r="M41" s="98"/>
      <c r="N41" s="63"/>
      <c r="O41" s="63"/>
      <c r="P41" s="63"/>
      <c r="Q41" s="98"/>
      <c r="R41" s="92">
        <f t="shared" si="7"/>
        <v>0</v>
      </c>
      <c r="S41" s="70">
        <f t="shared" si="9"/>
        <v>0</v>
      </c>
      <c r="T41" s="91"/>
      <c r="U41" s="91"/>
      <c r="V41" s="91"/>
      <c r="W41" s="91"/>
      <c r="X41" s="91"/>
      <c r="Y41" s="65"/>
      <c r="Z41" s="65"/>
      <c r="AA41" s="65"/>
      <c r="AB41" s="65"/>
      <c r="AC41" s="65"/>
      <c r="AD41" s="65"/>
      <c r="AE41" s="65"/>
      <c r="AG41" s="63" t="s">
        <v>256</v>
      </c>
      <c r="AH41" s="63"/>
      <c r="AI41" s="63"/>
      <c r="AJ41" s="63"/>
      <c r="AK41" s="98"/>
      <c r="AL41" s="63"/>
      <c r="AM41" s="63"/>
      <c r="AN41" s="63"/>
      <c r="AO41" s="98"/>
      <c r="AP41" s="63"/>
      <c r="AQ41" s="63"/>
      <c r="AR41" s="63"/>
      <c r="AS41" s="98"/>
      <c r="AT41" s="63"/>
      <c r="AU41" s="63"/>
      <c r="AV41" s="63"/>
      <c r="AW41" s="98"/>
      <c r="AX41" s="92">
        <f t="shared" si="8"/>
        <v>0</v>
      </c>
      <c r="AY41" s="70">
        <f t="shared" si="10"/>
        <v>0</v>
      </c>
      <c r="AZ41" s="65"/>
      <c r="BA41" s="65"/>
      <c r="BB41" s="65"/>
      <c r="BC41" s="65"/>
      <c r="BD41" s="65"/>
      <c r="BE41" s="65"/>
      <c r="BF41" s="65"/>
      <c r="BG41" s="65"/>
      <c r="BH41" s="65"/>
      <c r="BI41" s="65"/>
      <c r="BJ41" s="65"/>
      <c r="BK41" s="65"/>
    </row>
    <row r="42" spans="1:63" x14ac:dyDescent="0.3">
      <c r="A42" s="63" t="s">
        <v>257</v>
      </c>
      <c r="B42" s="63"/>
      <c r="C42" s="63"/>
      <c r="D42" s="63"/>
      <c r="E42" s="98"/>
      <c r="F42" s="63"/>
      <c r="G42" s="63"/>
      <c r="H42" s="63"/>
      <c r="I42" s="98"/>
      <c r="J42" s="63"/>
      <c r="K42" s="63"/>
      <c r="L42" s="63"/>
      <c r="M42" s="98"/>
      <c r="N42" s="63"/>
      <c r="O42" s="63"/>
      <c r="P42" s="63"/>
      <c r="Q42" s="98"/>
      <c r="R42" s="92">
        <f t="shared" si="7"/>
        <v>0</v>
      </c>
      <c r="S42" s="70">
        <f t="shared" si="9"/>
        <v>0</v>
      </c>
      <c r="T42" s="91"/>
      <c r="U42" s="91"/>
      <c r="V42" s="91"/>
      <c r="W42" s="91"/>
      <c r="X42" s="91"/>
      <c r="Y42" s="65"/>
      <c r="Z42" s="65"/>
      <c r="AA42" s="65"/>
      <c r="AB42" s="65"/>
      <c r="AC42" s="65"/>
      <c r="AD42" s="65"/>
      <c r="AE42" s="65"/>
      <c r="AG42" s="63" t="s">
        <v>257</v>
      </c>
      <c r="AH42" s="63"/>
      <c r="AI42" s="63"/>
      <c r="AJ42" s="63"/>
      <c r="AK42" s="98"/>
      <c r="AL42" s="63"/>
      <c r="AM42" s="63"/>
      <c r="AN42" s="63"/>
      <c r="AO42" s="98"/>
      <c r="AP42" s="63"/>
      <c r="AQ42" s="63"/>
      <c r="AR42" s="63"/>
      <c r="AS42" s="98"/>
      <c r="AT42" s="63"/>
      <c r="AU42" s="63"/>
      <c r="AV42" s="63"/>
      <c r="AW42" s="98"/>
      <c r="AX42" s="92">
        <f t="shared" si="8"/>
        <v>0</v>
      </c>
      <c r="AY42" s="70">
        <f t="shared" si="10"/>
        <v>0</v>
      </c>
      <c r="AZ42" s="65"/>
      <c r="BA42" s="65"/>
      <c r="BB42" s="65"/>
      <c r="BC42" s="65"/>
      <c r="BD42" s="65"/>
      <c r="BE42" s="65"/>
      <c r="BF42" s="65"/>
      <c r="BG42" s="65"/>
      <c r="BH42" s="65"/>
      <c r="BI42" s="65"/>
      <c r="BJ42" s="65"/>
      <c r="BK42" s="65"/>
    </row>
    <row r="43" spans="1:63" x14ac:dyDescent="0.3">
      <c r="A43" s="63" t="s">
        <v>258</v>
      </c>
      <c r="B43" s="63"/>
      <c r="C43" s="63"/>
      <c r="D43" s="63"/>
      <c r="E43" s="98"/>
      <c r="F43" s="63"/>
      <c r="G43" s="63"/>
      <c r="H43" s="63"/>
      <c r="I43" s="98"/>
      <c r="J43" s="63"/>
      <c r="K43" s="63"/>
      <c r="L43" s="63"/>
      <c r="M43" s="98"/>
      <c r="N43" s="63"/>
      <c r="O43" s="63"/>
      <c r="P43" s="63"/>
      <c r="Q43" s="98"/>
      <c r="R43" s="92">
        <f t="shared" si="7"/>
        <v>0</v>
      </c>
      <c r="S43" s="70">
        <f t="shared" si="9"/>
        <v>0</v>
      </c>
      <c r="T43" s="91"/>
      <c r="U43" s="91"/>
      <c r="V43" s="91"/>
      <c r="W43" s="91"/>
      <c r="X43" s="91"/>
      <c r="Y43" s="65"/>
      <c r="Z43" s="65"/>
      <c r="AA43" s="65"/>
      <c r="AB43" s="65"/>
      <c r="AC43" s="65"/>
      <c r="AD43" s="65"/>
      <c r="AE43" s="65"/>
      <c r="AG43" s="63" t="s">
        <v>258</v>
      </c>
      <c r="AH43" s="63"/>
      <c r="AI43" s="63"/>
      <c r="AJ43" s="63"/>
      <c r="AK43" s="98"/>
      <c r="AL43" s="63"/>
      <c r="AM43" s="63"/>
      <c r="AN43" s="63"/>
      <c r="AO43" s="98"/>
      <c r="AP43" s="63"/>
      <c r="AQ43" s="63"/>
      <c r="AR43" s="63"/>
      <c r="AS43" s="98"/>
      <c r="AT43" s="63"/>
      <c r="AU43" s="63"/>
      <c r="AV43" s="63"/>
      <c r="AW43" s="98"/>
      <c r="AX43" s="92">
        <f t="shared" si="8"/>
        <v>0</v>
      </c>
      <c r="AY43" s="70">
        <f t="shared" si="10"/>
        <v>0</v>
      </c>
      <c r="AZ43" s="65"/>
      <c r="BA43" s="65"/>
      <c r="BB43" s="65"/>
      <c r="BC43" s="65"/>
      <c r="BD43" s="65"/>
      <c r="BE43" s="65"/>
      <c r="BF43" s="65"/>
      <c r="BG43" s="65"/>
      <c r="BH43" s="65"/>
      <c r="BI43" s="65"/>
      <c r="BJ43" s="65"/>
      <c r="BK43" s="65"/>
    </row>
    <row r="44" spans="1:63" x14ac:dyDescent="0.3">
      <c r="A44" s="63" t="s">
        <v>259</v>
      </c>
      <c r="B44" s="63"/>
      <c r="C44" s="63"/>
      <c r="D44" s="63"/>
      <c r="E44" s="98"/>
      <c r="F44" s="63"/>
      <c r="G44" s="63"/>
      <c r="H44" s="63"/>
      <c r="I44" s="98"/>
      <c r="J44" s="63"/>
      <c r="K44" s="63"/>
      <c r="L44" s="63"/>
      <c r="M44" s="98"/>
      <c r="N44" s="63"/>
      <c r="O44" s="63"/>
      <c r="P44" s="63"/>
      <c r="Q44" s="98"/>
      <c r="R44" s="92">
        <f t="shared" si="7"/>
        <v>0</v>
      </c>
      <c r="S44" s="70">
        <f t="shared" si="9"/>
        <v>0</v>
      </c>
      <c r="T44" s="91"/>
      <c r="U44" s="91"/>
      <c r="V44" s="91"/>
      <c r="W44" s="91"/>
      <c r="X44" s="91"/>
      <c r="Y44" s="65"/>
      <c r="Z44" s="65"/>
      <c r="AA44" s="65"/>
      <c r="AB44" s="65"/>
      <c r="AC44" s="65"/>
      <c r="AD44" s="65"/>
      <c r="AE44" s="65"/>
      <c r="AG44" s="63" t="s">
        <v>259</v>
      </c>
      <c r="AH44" s="63"/>
      <c r="AI44" s="63"/>
      <c r="AJ44" s="63"/>
      <c r="AK44" s="98"/>
      <c r="AL44" s="63"/>
      <c r="AM44" s="63"/>
      <c r="AN44" s="63"/>
      <c r="AO44" s="98"/>
      <c r="AP44" s="63"/>
      <c r="AQ44" s="63"/>
      <c r="AR44" s="63"/>
      <c r="AS44" s="98"/>
      <c r="AT44" s="63"/>
      <c r="AU44" s="63"/>
      <c r="AV44" s="63"/>
      <c r="AW44" s="98"/>
      <c r="AX44" s="92">
        <f t="shared" si="8"/>
        <v>0</v>
      </c>
      <c r="AY44" s="70">
        <f t="shared" si="10"/>
        <v>0</v>
      </c>
      <c r="AZ44" s="65"/>
      <c r="BA44" s="65"/>
      <c r="BB44" s="65"/>
      <c r="BC44" s="65"/>
      <c r="BD44" s="65"/>
      <c r="BE44" s="65"/>
      <c r="BF44" s="65"/>
      <c r="BG44" s="65"/>
      <c r="BH44" s="65"/>
      <c r="BI44" s="65"/>
      <c r="BJ44" s="65"/>
      <c r="BK44" s="65"/>
    </row>
    <row r="45" spans="1:63" x14ac:dyDescent="0.3">
      <c r="A45" s="63" t="s">
        <v>260</v>
      </c>
      <c r="B45" s="63"/>
      <c r="C45" s="63"/>
      <c r="D45" s="63"/>
      <c r="E45" s="98"/>
      <c r="F45" s="63"/>
      <c r="G45" s="63"/>
      <c r="H45" s="63"/>
      <c r="I45" s="98"/>
      <c r="J45" s="63"/>
      <c r="K45" s="63"/>
      <c r="L45" s="63"/>
      <c r="M45" s="98"/>
      <c r="N45" s="63"/>
      <c r="O45" s="63"/>
      <c r="P45" s="63"/>
      <c r="Q45" s="98"/>
      <c r="R45" s="92">
        <f t="shared" si="7"/>
        <v>0</v>
      </c>
      <c r="S45" s="70">
        <f t="shared" si="9"/>
        <v>0</v>
      </c>
      <c r="T45" s="91"/>
      <c r="U45" s="91"/>
      <c r="V45" s="91"/>
      <c r="W45" s="91"/>
      <c r="X45" s="91"/>
      <c r="Y45" s="65"/>
      <c r="Z45" s="65"/>
      <c r="AA45" s="65"/>
      <c r="AB45" s="65"/>
      <c r="AC45" s="65"/>
      <c r="AD45" s="65"/>
      <c r="AE45" s="65"/>
      <c r="AG45" s="63" t="s">
        <v>260</v>
      </c>
      <c r="AH45" s="63"/>
      <c r="AI45" s="63"/>
      <c r="AJ45" s="63"/>
      <c r="AK45" s="98"/>
      <c r="AL45" s="63"/>
      <c r="AM45" s="63"/>
      <c r="AN45" s="63"/>
      <c r="AO45" s="98"/>
      <c r="AP45" s="63"/>
      <c r="AQ45" s="63"/>
      <c r="AR45" s="63"/>
      <c r="AS45" s="98"/>
      <c r="AT45" s="63"/>
      <c r="AU45" s="63"/>
      <c r="AV45" s="63"/>
      <c r="AW45" s="98"/>
      <c r="AX45" s="92">
        <f t="shared" si="8"/>
        <v>0</v>
      </c>
      <c r="AY45" s="70">
        <f t="shared" si="10"/>
        <v>0</v>
      </c>
      <c r="AZ45" s="65"/>
      <c r="BA45" s="65"/>
      <c r="BB45" s="65"/>
      <c r="BC45" s="65"/>
      <c r="BD45" s="65"/>
      <c r="BE45" s="65"/>
      <c r="BF45" s="65"/>
      <c r="BG45" s="65"/>
      <c r="BH45" s="65"/>
      <c r="BI45" s="63"/>
      <c r="BJ45" s="63"/>
      <c r="BK45" s="63"/>
    </row>
    <row r="46" spans="1:63" x14ac:dyDescent="0.3">
      <c r="A46" s="63" t="s">
        <v>261</v>
      </c>
      <c r="B46" s="63"/>
      <c r="C46" s="63"/>
      <c r="D46" s="63"/>
      <c r="E46" s="98"/>
      <c r="F46" s="63"/>
      <c r="G46" s="63"/>
      <c r="H46" s="63"/>
      <c r="I46" s="98"/>
      <c r="J46" s="63"/>
      <c r="K46" s="63"/>
      <c r="L46" s="63"/>
      <c r="M46" s="98"/>
      <c r="N46" s="63"/>
      <c r="O46" s="63"/>
      <c r="P46" s="63"/>
      <c r="Q46" s="98"/>
      <c r="R46" s="92">
        <f t="shared" si="7"/>
        <v>0</v>
      </c>
      <c r="S46" s="70">
        <f t="shared" si="9"/>
        <v>0</v>
      </c>
      <c r="T46" s="91"/>
      <c r="U46" s="91"/>
      <c r="V46" s="91"/>
      <c r="W46" s="91"/>
      <c r="X46" s="91"/>
      <c r="Y46" s="65"/>
      <c r="Z46" s="65"/>
      <c r="AA46" s="65"/>
      <c r="AB46" s="65"/>
      <c r="AC46" s="65"/>
      <c r="AD46" s="65"/>
      <c r="AE46" s="65"/>
      <c r="AG46" s="63" t="s">
        <v>261</v>
      </c>
      <c r="AH46" s="63"/>
      <c r="AI46" s="63"/>
      <c r="AJ46" s="63"/>
      <c r="AK46" s="98"/>
      <c r="AL46" s="63"/>
      <c r="AM46" s="63"/>
      <c r="AN46" s="63"/>
      <c r="AO46" s="98"/>
      <c r="AP46" s="63"/>
      <c r="AQ46" s="63"/>
      <c r="AR46" s="63"/>
      <c r="AS46" s="98"/>
      <c r="AT46" s="63"/>
      <c r="AU46" s="63"/>
      <c r="AV46" s="63"/>
      <c r="AW46" s="98"/>
      <c r="AX46" s="92">
        <f t="shared" si="8"/>
        <v>0</v>
      </c>
      <c r="AY46" s="70">
        <f t="shared" si="10"/>
        <v>0</v>
      </c>
      <c r="AZ46" s="65"/>
      <c r="BA46" s="65"/>
      <c r="BB46" s="65"/>
      <c r="BC46" s="65"/>
      <c r="BD46" s="65"/>
      <c r="BE46" s="65"/>
      <c r="BF46" s="65"/>
      <c r="BG46" s="65"/>
      <c r="BH46" s="65"/>
      <c r="BI46" s="63"/>
      <c r="BJ46" s="63"/>
      <c r="BK46" s="63"/>
    </row>
    <row r="47" spans="1:63" x14ac:dyDescent="0.3">
      <c r="A47" s="63" t="s">
        <v>262</v>
      </c>
      <c r="B47" s="63"/>
      <c r="C47" s="63"/>
      <c r="D47" s="63"/>
      <c r="E47" s="98"/>
      <c r="F47" s="63"/>
      <c r="G47" s="63"/>
      <c r="H47" s="63"/>
      <c r="I47" s="98"/>
      <c r="J47" s="63"/>
      <c r="K47" s="63"/>
      <c r="L47" s="63"/>
      <c r="M47" s="98"/>
      <c r="N47" s="63"/>
      <c r="O47" s="63"/>
      <c r="P47" s="63"/>
      <c r="Q47" s="98"/>
      <c r="R47" s="92">
        <f t="shared" si="7"/>
        <v>0</v>
      </c>
      <c r="S47" s="70">
        <f t="shared" si="9"/>
        <v>0</v>
      </c>
      <c r="T47" s="91"/>
      <c r="U47" s="91"/>
      <c r="V47" s="91"/>
      <c r="W47" s="91"/>
      <c r="X47" s="91"/>
      <c r="Y47" s="65"/>
      <c r="Z47" s="65"/>
      <c r="AA47" s="65"/>
      <c r="AB47" s="65"/>
      <c r="AC47" s="65"/>
      <c r="AD47" s="65"/>
      <c r="AE47" s="65"/>
      <c r="AG47" s="63" t="s">
        <v>262</v>
      </c>
      <c r="AH47" s="63"/>
      <c r="AI47" s="63"/>
      <c r="AJ47" s="63"/>
      <c r="AK47" s="98"/>
      <c r="AL47" s="63"/>
      <c r="AM47" s="63"/>
      <c r="AN47" s="63"/>
      <c r="AO47" s="98"/>
      <c r="AP47" s="63"/>
      <c r="AQ47" s="63"/>
      <c r="AR47" s="63"/>
      <c r="AS47" s="98"/>
      <c r="AT47" s="63"/>
      <c r="AU47" s="63"/>
      <c r="AV47" s="63"/>
      <c r="AW47" s="98"/>
      <c r="AX47" s="92">
        <f t="shared" si="8"/>
        <v>0</v>
      </c>
      <c r="AY47" s="70">
        <f t="shared" si="10"/>
        <v>0</v>
      </c>
      <c r="AZ47" s="65"/>
      <c r="BA47" s="65"/>
      <c r="BB47" s="65"/>
      <c r="BC47" s="65"/>
      <c r="BD47" s="65"/>
      <c r="BE47" s="65"/>
      <c r="BF47" s="65"/>
      <c r="BG47" s="65"/>
      <c r="BH47" s="65"/>
      <c r="BI47" s="63"/>
      <c r="BJ47" s="63"/>
      <c r="BK47" s="63"/>
    </row>
    <row r="48" spans="1:63" x14ac:dyDescent="0.3">
      <c r="A48" s="63" t="s">
        <v>263</v>
      </c>
      <c r="B48" s="63"/>
      <c r="C48" s="63"/>
      <c r="D48" s="63"/>
      <c r="E48" s="98"/>
      <c r="F48" s="63"/>
      <c r="G48" s="63"/>
      <c r="H48" s="63"/>
      <c r="I48" s="98"/>
      <c r="J48" s="63"/>
      <c r="K48" s="63"/>
      <c r="L48" s="63"/>
      <c r="M48" s="98"/>
      <c r="N48" s="63"/>
      <c r="O48" s="63"/>
      <c r="P48" s="63"/>
      <c r="Q48" s="98"/>
      <c r="R48" s="92">
        <f t="shared" si="7"/>
        <v>0</v>
      </c>
      <c r="S48" s="70">
        <f t="shared" si="9"/>
        <v>0</v>
      </c>
      <c r="T48" s="91"/>
      <c r="U48" s="91"/>
      <c r="V48" s="91"/>
      <c r="W48" s="91"/>
      <c r="X48" s="91"/>
      <c r="Y48" s="65"/>
      <c r="Z48" s="65"/>
      <c r="AA48" s="65"/>
      <c r="AB48" s="65"/>
      <c r="AC48" s="65"/>
      <c r="AD48" s="65"/>
      <c r="AE48" s="65"/>
      <c r="AG48" s="63" t="s">
        <v>263</v>
      </c>
      <c r="AH48" s="63"/>
      <c r="AI48" s="63"/>
      <c r="AJ48" s="63"/>
      <c r="AK48" s="98"/>
      <c r="AL48" s="63"/>
      <c r="AM48" s="63"/>
      <c r="AN48" s="63"/>
      <c r="AO48" s="98"/>
      <c r="AP48" s="63"/>
      <c r="AQ48" s="63"/>
      <c r="AR48" s="63"/>
      <c r="AS48" s="98"/>
      <c r="AT48" s="63"/>
      <c r="AU48" s="63"/>
      <c r="AV48" s="63"/>
      <c r="AW48" s="98"/>
      <c r="AX48" s="92">
        <f t="shared" si="8"/>
        <v>0</v>
      </c>
      <c r="AY48" s="70">
        <f t="shared" si="10"/>
        <v>0</v>
      </c>
      <c r="AZ48" s="65"/>
      <c r="BA48" s="65"/>
      <c r="BB48" s="65"/>
      <c r="BC48" s="65"/>
      <c r="BD48" s="65"/>
      <c r="BE48" s="65"/>
      <c r="BF48" s="65"/>
      <c r="BG48" s="65"/>
      <c r="BH48" s="65"/>
      <c r="BI48" s="65"/>
      <c r="BJ48" s="65"/>
      <c r="BK48" s="65"/>
    </row>
    <row r="49" spans="1:63" x14ac:dyDescent="0.3">
      <c r="A49" s="63" t="s">
        <v>264</v>
      </c>
      <c r="B49" s="63"/>
      <c r="C49" s="63"/>
      <c r="D49" s="63"/>
      <c r="E49" s="98"/>
      <c r="F49" s="63"/>
      <c r="G49" s="63"/>
      <c r="H49" s="63"/>
      <c r="I49" s="98"/>
      <c r="J49" s="63"/>
      <c r="K49" s="63"/>
      <c r="L49" s="63"/>
      <c r="M49" s="98"/>
      <c r="N49" s="63"/>
      <c r="O49" s="63"/>
      <c r="P49" s="63"/>
      <c r="Q49" s="98"/>
      <c r="R49" s="92">
        <f t="shared" si="7"/>
        <v>0</v>
      </c>
      <c r="S49" s="70">
        <f t="shared" si="9"/>
        <v>0</v>
      </c>
      <c r="T49" s="91"/>
      <c r="U49" s="91"/>
      <c r="V49" s="91"/>
      <c r="W49" s="91"/>
      <c r="X49" s="91"/>
      <c r="Y49" s="65"/>
      <c r="Z49" s="65"/>
      <c r="AA49" s="65"/>
      <c r="AB49" s="65"/>
      <c r="AC49" s="65"/>
      <c r="AD49" s="65"/>
      <c r="AE49" s="65"/>
      <c r="AG49" s="63" t="s">
        <v>264</v>
      </c>
      <c r="AH49" s="63"/>
      <c r="AI49" s="63"/>
      <c r="AJ49" s="63"/>
      <c r="AK49" s="98"/>
      <c r="AL49" s="63"/>
      <c r="AM49" s="63"/>
      <c r="AN49" s="63"/>
      <c r="AO49" s="98"/>
      <c r="AP49" s="63"/>
      <c r="AQ49" s="63"/>
      <c r="AR49" s="63"/>
      <c r="AS49" s="98"/>
      <c r="AT49" s="63"/>
      <c r="AU49" s="63"/>
      <c r="AV49" s="63"/>
      <c r="AW49" s="98"/>
      <c r="AX49" s="92">
        <f t="shared" si="8"/>
        <v>0</v>
      </c>
      <c r="AY49" s="70">
        <f t="shared" si="10"/>
        <v>0</v>
      </c>
      <c r="AZ49" s="65"/>
      <c r="BA49" s="65"/>
      <c r="BB49" s="65"/>
      <c r="BC49" s="65"/>
      <c r="BD49" s="65"/>
      <c r="BE49" s="65"/>
      <c r="BF49" s="65"/>
      <c r="BG49" s="65"/>
      <c r="BH49" s="65"/>
      <c r="BI49" s="65"/>
      <c r="BJ49" s="65"/>
      <c r="BK49" s="65"/>
    </row>
    <row r="50" spans="1:63" x14ac:dyDescent="0.3">
      <c r="A50" s="63" t="s">
        <v>265</v>
      </c>
      <c r="B50" s="63"/>
      <c r="C50" s="63"/>
      <c r="D50" s="63"/>
      <c r="E50" s="98"/>
      <c r="F50" s="63"/>
      <c r="G50" s="63"/>
      <c r="H50" s="63"/>
      <c r="I50" s="98"/>
      <c r="J50" s="63"/>
      <c r="K50" s="63"/>
      <c r="L50" s="63"/>
      <c r="M50" s="98"/>
      <c r="N50" s="63"/>
      <c r="O50" s="63"/>
      <c r="P50" s="63"/>
      <c r="Q50" s="98"/>
      <c r="R50" s="92">
        <f t="shared" si="7"/>
        <v>0</v>
      </c>
      <c r="S50" s="70">
        <f t="shared" si="9"/>
        <v>0</v>
      </c>
      <c r="T50" s="91"/>
      <c r="U50" s="91"/>
      <c r="V50" s="91"/>
      <c r="W50" s="91"/>
      <c r="X50" s="91"/>
      <c r="Y50" s="65"/>
      <c r="Z50" s="65"/>
      <c r="AA50" s="65"/>
      <c r="AB50" s="65"/>
      <c r="AC50" s="65"/>
      <c r="AD50" s="65"/>
      <c r="AE50" s="65"/>
      <c r="AG50" s="63" t="s">
        <v>265</v>
      </c>
      <c r="AH50" s="63"/>
      <c r="AI50" s="63"/>
      <c r="AJ50" s="63"/>
      <c r="AK50" s="98"/>
      <c r="AL50" s="63"/>
      <c r="AM50" s="63"/>
      <c r="AN50" s="63"/>
      <c r="AO50" s="98"/>
      <c r="AP50" s="63"/>
      <c r="AQ50" s="63"/>
      <c r="AR50" s="63"/>
      <c r="AS50" s="98"/>
      <c r="AT50" s="63"/>
      <c r="AU50" s="63"/>
      <c r="AV50" s="63"/>
      <c r="AW50" s="98"/>
      <c r="AX50" s="92">
        <f t="shared" si="8"/>
        <v>0</v>
      </c>
      <c r="AY50" s="70">
        <f t="shared" si="10"/>
        <v>0</v>
      </c>
      <c r="AZ50" s="65"/>
      <c r="BA50" s="65"/>
      <c r="BB50" s="65"/>
      <c r="BC50" s="65"/>
      <c r="BD50" s="65"/>
      <c r="BE50" s="65"/>
      <c r="BF50" s="65"/>
      <c r="BG50" s="65"/>
      <c r="BH50" s="65"/>
      <c r="BI50" s="65"/>
      <c r="BJ50" s="65"/>
      <c r="BK50" s="65"/>
    </row>
    <row r="51" spans="1:63" x14ac:dyDescent="0.3">
      <c r="A51" s="63" t="s">
        <v>266</v>
      </c>
      <c r="B51" s="63"/>
      <c r="C51" s="63"/>
      <c r="D51" s="63"/>
      <c r="E51" s="98"/>
      <c r="F51" s="63"/>
      <c r="G51" s="63"/>
      <c r="H51" s="63"/>
      <c r="I51" s="98"/>
      <c r="J51" s="63"/>
      <c r="K51" s="63"/>
      <c r="L51" s="63"/>
      <c r="M51" s="98"/>
      <c r="N51" s="63"/>
      <c r="O51" s="63"/>
      <c r="P51" s="63"/>
      <c r="Q51" s="98"/>
      <c r="R51" s="92">
        <f t="shared" si="7"/>
        <v>0</v>
      </c>
      <c r="S51" s="70">
        <f t="shared" si="9"/>
        <v>0</v>
      </c>
      <c r="T51" s="91"/>
      <c r="U51" s="91"/>
      <c r="V51" s="91"/>
      <c r="W51" s="91"/>
      <c r="X51" s="91"/>
      <c r="Y51" s="65"/>
      <c r="Z51" s="65"/>
      <c r="AA51" s="65"/>
      <c r="AB51" s="65"/>
      <c r="AC51" s="65"/>
      <c r="AD51" s="65"/>
      <c r="AE51" s="65"/>
      <c r="AG51" s="63" t="s">
        <v>266</v>
      </c>
      <c r="AH51" s="63"/>
      <c r="AI51" s="63"/>
      <c r="AJ51" s="63"/>
      <c r="AK51" s="98"/>
      <c r="AL51" s="63"/>
      <c r="AM51" s="63"/>
      <c r="AN51" s="63"/>
      <c r="AO51" s="98"/>
      <c r="AP51" s="63"/>
      <c r="AQ51" s="63"/>
      <c r="AR51" s="63"/>
      <c r="AS51" s="98"/>
      <c r="AT51" s="63"/>
      <c r="AU51" s="63"/>
      <c r="AV51" s="63"/>
      <c r="AW51" s="98"/>
      <c r="AX51" s="92">
        <f t="shared" si="8"/>
        <v>0</v>
      </c>
      <c r="AY51" s="70">
        <f t="shared" si="10"/>
        <v>0</v>
      </c>
      <c r="AZ51" s="65"/>
      <c r="BA51" s="65"/>
      <c r="BB51" s="65"/>
      <c r="BC51" s="65"/>
      <c r="BD51" s="65"/>
      <c r="BE51" s="65"/>
      <c r="BF51" s="65"/>
      <c r="BG51" s="65"/>
      <c r="BH51" s="65"/>
      <c r="BI51" s="65"/>
      <c r="BJ51" s="65"/>
      <c r="BK51" s="65"/>
    </row>
    <row r="52" spans="1:63" x14ac:dyDescent="0.3">
      <c r="A52" s="63" t="s">
        <v>267</v>
      </c>
      <c r="B52" s="63"/>
      <c r="C52" s="63"/>
      <c r="D52" s="63"/>
      <c r="E52" s="98"/>
      <c r="F52" s="63"/>
      <c r="G52" s="63"/>
      <c r="H52" s="63"/>
      <c r="I52" s="98"/>
      <c r="J52" s="63"/>
      <c r="K52" s="63"/>
      <c r="L52" s="63"/>
      <c r="M52" s="98"/>
      <c r="N52" s="63"/>
      <c r="O52" s="63"/>
      <c r="P52" s="63"/>
      <c r="Q52" s="98"/>
      <c r="R52" s="92">
        <f t="shared" si="7"/>
        <v>0</v>
      </c>
      <c r="S52" s="70">
        <f t="shared" si="9"/>
        <v>0</v>
      </c>
      <c r="T52" s="91"/>
      <c r="U52" s="91"/>
      <c r="V52" s="91"/>
      <c r="W52" s="91"/>
      <c r="X52" s="91"/>
      <c r="Y52" s="65"/>
      <c r="Z52" s="65"/>
      <c r="AA52" s="65"/>
      <c r="AB52" s="65"/>
      <c r="AC52" s="65"/>
      <c r="AD52" s="65"/>
      <c r="AE52" s="65"/>
      <c r="AG52" s="63" t="s">
        <v>267</v>
      </c>
      <c r="AH52" s="63"/>
      <c r="AI52" s="63"/>
      <c r="AJ52" s="63"/>
      <c r="AK52" s="98"/>
      <c r="AL52" s="63"/>
      <c r="AM52" s="63"/>
      <c r="AN52" s="63"/>
      <c r="AO52" s="98"/>
      <c r="AP52" s="63"/>
      <c r="AQ52" s="63"/>
      <c r="AR52" s="63"/>
      <c r="AS52" s="98"/>
      <c r="AT52" s="63"/>
      <c r="AU52" s="63"/>
      <c r="AV52" s="63"/>
      <c r="AW52" s="98"/>
      <c r="AX52" s="92">
        <f t="shared" si="8"/>
        <v>0</v>
      </c>
      <c r="AY52" s="70">
        <f t="shared" si="10"/>
        <v>0</v>
      </c>
      <c r="AZ52" s="65"/>
      <c r="BA52" s="65"/>
      <c r="BB52" s="65"/>
      <c r="BC52" s="65"/>
      <c r="BD52" s="65"/>
      <c r="BE52" s="65"/>
      <c r="BF52" s="65"/>
      <c r="BG52" s="65"/>
      <c r="BH52" s="65"/>
      <c r="BI52" s="65"/>
      <c r="BJ52" s="65"/>
      <c r="BK52" s="65"/>
    </row>
    <row r="53" spans="1:63" x14ac:dyDescent="0.3">
      <c r="A53" s="63" t="s">
        <v>268</v>
      </c>
      <c r="B53" s="63"/>
      <c r="C53" s="63"/>
      <c r="D53" s="63"/>
      <c r="E53" s="98"/>
      <c r="F53" s="63"/>
      <c r="G53" s="63"/>
      <c r="H53" s="63"/>
      <c r="I53" s="98"/>
      <c r="J53" s="63"/>
      <c r="K53" s="63"/>
      <c r="L53" s="63"/>
      <c r="M53" s="98"/>
      <c r="N53" s="63"/>
      <c r="O53" s="63"/>
      <c r="P53" s="63"/>
      <c r="Q53" s="98"/>
      <c r="R53" s="92">
        <f t="shared" si="7"/>
        <v>0</v>
      </c>
      <c r="S53" s="70">
        <f t="shared" si="9"/>
        <v>0</v>
      </c>
      <c r="T53" s="91"/>
      <c r="U53" s="91"/>
      <c r="V53" s="91"/>
      <c r="W53" s="91"/>
      <c r="X53" s="91"/>
      <c r="Y53" s="65"/>
      <c r="Z53" s="65"/>
      <c r="AA53" s="65"/>
      <c r="AB53" s="65"/>
      <c r="AC53" s="65"/>
      <c r="AD53" s="65"/>
      <c r="AE53" s="65"/>
      <c r="AG53" s="63" t="s">
        <v>268</v>
      </c>
      <c r="AH53" s="63"/>
      <c r="AI53" s="63"/>
      <c r="AJ53" s="63"/>
      <c r="AK53" s="98"/>
      <c r="AL53" s="63"/>
      <c r="AM53" s="63"/>
      <c r="AN53" s="63"/>
      <c r="AO53" s="98"/>
      <c r="AP53" s="63"/>
      <c r="AQ53" s="63"/>
      <c r="AR53" s="63"/>
      <c r="AS53" s="98"/>
      <c r="AT53" s="63"/>
      <c r="AU53" s="63"/>
      <c r="AV53" s="63"/>
      <c r="AW53" s="98"/>
      <c r="AX53" s="92">
        <f t="shared" si="8"/>
        <v>0</v>
      </c>
      <c r="AY53" s="70">
        <f t="shared" si="10"/>
        <v>0</v>
      </c>
      <c r="AZ53" s="65"/>
      <c r="BA53" s="65"/>
      <c r="BB53" s="65"/>
      <c r="BC53" s="65"/>
      <c r="BD53" s="65"/>
      <c r="BE53" s="65"/>
      <c r="BF53" s="65"/>
      <c r="BG53" s="65"/>
      <c r="BH53" s="65"/>
      <c r="BI53" s="65"/>
      <c r="BJ53" s="65"/>
      <c r="BK53" s="65"/>
    </row>
    <row r="54" spans="1:63" x14ac:dyDescent="0.3">
      <c r="A54" s="63" t="s">
        <v>269</v>
      </c>
      <c r="B54" s="63"/>
      <c r="C54" s="63"/>
      <c r="D54" s="63"/>
      <c r="E54" s="98"/>
      <c r="F54" s="63"/>
      <c r="G54" s="63"/>
      <c r="H54" s="63"/>
      <c r="I54" s="98"/>
      <c r="J54" s="63"/>
      <c r="K54" s="63"/>
      <c r="L54" s="63"/>
      <c r="M54" s="98"/>
      <c r="N54" s="63"/>
      <c r="O54" s="63"/>
      <c r="P54" s="63"/>
      <c r="Q54" s="98"/>
      <c r="R54" s="92">
        <f t="shared" si="7"/>
        <v>0</v>
      </c>
      <c r="S54" s="70">
        <f t="shared" si="9"/>
        <v>0</v>
      </c>
      <c r="T54" s="91"/>
      <c r="U54" s="91"/>
      <c r="V54" s="91"/>
      <c r="W54" s="91"/>
      <c r="X54" s="91"/>
      <c r="Y54" s="65"/>
      <c r="Z54" s="65"/>
      <c r="AA54" s="65"/>
      <c r="AB54" s="65"/>
      <c r="AC54" s="65"/>
      <c r="AD54" s="65"/>
      <c r="AE54" s="65"/>
      <c r="AG54" s="63" t="s">
        <v>269</v>
      </c>
      <c r="AH54" s="63"/>
      <c r="AI54" s="63"/>
      <c r="AJ54" s="63"/>
      <c r="AK54" s="98"/>
      <c r="AL54" s="63"/>
      <c r="AM54" s="63"/>
      <c r="AN54" s="63"/>
      <c r="AO54" s="98"/>
      <c r="AP54" s="63"/>
      <c r="AQ54" s="63"/>
      <c r="AR54" s="63"/>
      <c r="AS54" s="98"/>
      <c r="AT54" s="63"/>
      <c r="AU54" s="63"/>
      <c r="AV54" s="63"/>
      <c r="AW54" s="98"/>
      <c r="AX54" s="92">
        <f t="shared" si="8"/>
        <v>0</v>
      </c>
      <c r="AY54" s="70">
        <f t="shared" si="10"/>
        <v>0</v>
      </c>
      <c r="AZ54" s="65"/>
      <c r="BA54" s="65"/>
      <c r="BB54" s="65"/>
      <c r="BC54" s="65"/>
      <c r="BD54" s="65"/>
      <c r="BE54" s="65"/>
      <c r="BF54" s="65"/>
      <c r="BG54" s="65"/>
      <c r="BH54" s="65"/>
      <c r="BI54" s="65"/>
      <c r="BJ54" s="65"/>
      <c r="BK54" s="65"/>
    </row>
    <row r="55" spans="1:63" x14ac:dyDescent="0.3">
      <c r="A55" s="63" t="s">
        <v>270</v>
      </c>
      <c r="B55" s="63"/>
      <c r="C55" s="63"/>
      <c r="D55" s="63"/>
      <c r="E55" s="98"/>
      <c r="F55" s="63"/>
      <c r="G55" s="63"/>
      <c r="H55" s="63"/>
      <c r="I55" s="98"/>
      <c r="J55" s="63"/>
      <c r="K55" s="63"/>
      <c r="L55" s="63"/>
      <c r="M55" s="98"/>
      <c r="N55" s="63"/>
      <c r="O55" s="63"/>
      <c r="P55" s="63"/>
      <c r="Q55" s="98"/>
      <c r="R55" s="92">
        <f t="shared" si="7"/>
        <v>0</v>
      </c>
      <c r="S55" s="70">
        <f t="shared" si="9"/>
        <v>0</v>
      </c>
      <c r="T55" s="91"/>
      <c r="U55" s="91"/>
      <c r="V55" s="91"/>
      <c r="W55" s="91"/>
      <c r="X55" s="91"/>
      <c r="Y55" s="65"/>
      <c r="Z55" s="65"/>
      <c r="AA55" s="65"/>
      <c r="AB55" s="65"/>
      <c r="AC55" s="65"/>
      <c r="AD55" s="65"/>
      <c r="AE55" s="65"/>
      <c r="AG55" s="63" t="s">
        <v>270</v>
      </c>
      <c r="AH55" s="63"/>
      <c r="AI55" s="63"/>
      <c r="AJ55" s="63"/>
      <c r="AK55" s="98"/>
      <c r="AL55" s="63"/>
      <c r="AM55" s="63"/>
      <c r="AN55" s="63"/>
      <c r="AO55" s="98"/>
      <c r="AP55" s="63"/>
      <c r="AQ55" s="63"/>
      <c r="AR55" s="63"/>
      <c r="AS55" s="98"/>
      <c r="AT55" s="63"/>
      <c r="AU55" s="63"/>
      <c r="AV55" s="63"/>
      <c r="AW55" s="98"/>
      <c r="AX55" s="92">
        <f t="shared" si="8"/>
        <v>0</v>
      </c>
      <c r="AY55" s="70">
        <f t="shared" si="10"/>
        <v>0</v>
      </c>
      <c r="AZ55" s="65"/>
      <c r="BA55" s="65"/>
      <c r="BB55" s="65"/>
      <c r="BC55" s="65"/>
      <c r="BD55" s="65"/>
      <c r="BE55" s="65"/>
      <c r="BF55" s="65"/>
      <c r="BG55" s="65"/>
      <c r="BH55" s="65"/>
      <c r="BI55" s="65"/>
      <c r="BJ55" s="65"/>
      <c r="BK55" s="65"/>
    </row>
    <row r="56" spans="1:63" x14ac:dyDescent="0.3">
      <c r="A56" s="63" t="s">
        <v>271</v>
      </c>
      <c r="B56" s="63"/>
      <c r="C56" s="63"/>
      <c r="D56" s="63"/>
      <c r="E56" s="98"/>
      <c r="F56" s="63"/>
      <c r="G56" s="63"/>
      <c r="H56" s="63"/>
      <c r="I56" s="98"/>
      <c r="J56" s="63"/>
      <c r="K56" s="63"/>
      <c r="L56" s="63"/>
      <c r="M56" s="98"/>
      <c r="N56" s="63"/>
      <c r="O56" s="63"/>
      <c r="P56" s="63"/>
      <c r="Q56" s="98"/>
      <c r="R56" s="92">
        <f t="shared" si="7"/>
        <v>0</v>
      </c>
      <c r="S56" s="70">
        <f t="shared" si="9"/>
        <v>0</v>
      </c>
      <c r="T56" s="91"/>
      <c r="U56" s="91"/>
      <c r="V56" s="91"/>
      <c r="W56" s="91"/>
      <c r="X56" s="91"/>
      <c r="Y56" s="65"/>
      <c r="Z56" s="65"/>
      <c r="AA56" s="65"/>
      <c r="AB56" s="65"/>
      <c r="AC56" s="65"/>
      <c r="AD56" s="65"/>
      <c r="AE56" s="65"/>
      <c r="AG56" s="63" t="s">
        <v>271</v>
      </c>
      <c r="AH56" s="63"/>
      <c r="AI56" s="63"/>
      <c r="AJ56" s="63"/>
      <c r="AK56" s="98"/>
      <c r="AL56" s="63"/>
      <c r="AM56" s="63"/>
      <c r="AN56" s="63"/>
      <c r="AO56" s="98"/>
      <c r="AP56" s="63"/>
      <c r="AQ56" s="63"/>
      <c r="AR56" s="63"/>
      <c r="AS56" s="98"/>
      <c r="AT56" s="63"/>
      <c r="AU56" s="63"/>
      <c r="AV56" s="63"/>
      <c r="AW56" s="98"/>
      <c r="AX56" s="92">
        <f t="shared" si="8"/>
        <v>0</v>
      </c>
      <c r="AY56" s="70">
        <f t="shared" si="10"/>
        <v>0</v>
      </c>
      <c r="AZ56" s="65"/>
      <c r="BA56" s="65"/>
      <c r="BB56" s="65"/>
      <c r="BC56" s="65"/>
      <c r="BD56" s="65"/>
      <c r="BE56" s="65"/>
      <c r="BF56" s="65"/>
      <c r="BG56" s="65"/>
      <c r="BH56" s="65"/>
      <c r="BI56" s="65"/>
      <c r="BJ56" s="65"/>
      <c r="BK56" s="65"/>
    </row>
    <row r="57" spans="1:63" x14ac:dyDescent="0.3">
      <c r="A57" s="63" t="s">
        <v>272</v>
      </c>
      <c r="B57" s="63"/>
      <c r="C57" s="63"/>
      <c r="D57" s="63"/>
      <c r="E57" s="98"/>
      <c r="F57" s="63"/>
      <c r="G57" s="63"/>
      <c r="H57" s="63"/>
      <c r="I57" s="98"/>
      <c r="J57" s="63"/>
      <c r="K57" s="63"/>
      <c r="L57" s="63"/>
      <c r="M57" s="98"/>
      <c r="N57" s="63"/>
      <c r="O57" s="63"/>
      <c r="P57" s="63"/>
      <c r="Q57" s="98"/>
      <c r="R57" s="92">
        <f t="shared" si="7"/>
        <v>0</v>
      </c>
      <c r="S57" s="70">
        <f t="shared" si="9"/>
        <v>0</v>
      </c>
      <c r="T57" s="91"/>
      <c r="U57" s="91"/>
      <c r="V57" s="91"/>
      <c r="W57" s="91"/>
      <c r="X57" s="91"/>
      <c r="Y57" s="65"/>
      <c r="Z57" s="65"/>
      <c r="AA57" s="65"/>
      <c r="AB57" s="65"/>
      <c r="AC57" s="65"/>
      <c r="AD57" s="65"/>
      <c r="AE57" s="65"/>
      <c r="AG57" s="63" t="s">
        <v>272</v>
      </c>
      <c r="AH57" s="63"/>
      <c r="AI57" s="63"/>
      <c r="AJ57" s="63"/>
      <c r="AK57" s="98"/>
      <c r="AL57" s="63"/>
      <c r="AM57" s="63"/>
      <c r="AN57" s="63"/>
      <c r="AO57" s="98"/>
      <c r="AP57" s="63"/>
      <c r="AQ57" s="63"/>
      <c r="AR57" s="63"/>
      <c r="AS57" s="98"/>
      <c r="AT57" s="63"/>
      <c r="AU57" s="63"/>
      <c r="AV57" s="63"/>
      <c r="AW57" s="98"/>
      <c r="AX57" s="92">
        <f t="shared" si="8"/>
        <v>0</v>
      </c>
      <c r="AY57" s="70">
        <f t="shared" si="10"/>
        <v>0</v>
      </c>
      <c r="AZ57" s="65"/>
      <c r="BA57" s="65"/>
      <c r="BB57" s="65"/>
      <c r="BC57" s="65"/>
      <c r="BD57" s="65"/>
      <c r="BE57" s="65"/>
      <c r="BF57" s="65"/>
      <c r="BG57" s="65"/>
      <c r="BH57" s="65"/>
      <c r="BI57" s="65"/>
      <c r="BJ57" s="65"/>
      <c r="BK57" s="65"/>
    </row>
    <row r="58" spans="1:63" x14ac:dyDescent="0.3">
      <c r="A58" s="67" t="s">
        <v>273</v>
      </c>
      <c r="B58" s="64">
        <f t="shared" ref="B58:Q58" si="11">SUM(B37:B57)</f>
        <v>0</v>
      </c>
      <c r="C58" s="64">
        <f t="shared" si="11"/>
        <v>0</v>
      </c>
      <c r="D58" s="64">
        <f t="shared" si="11"/>
        <v>0</v>
      </c>
      <c r="E58" s="99">
        <f t="shared" si="11"/>
        <v>0</v>
      </c>
      <c r="F58" s="64">
        <f t="shared" si="11"/>
        <v>0</v>
      </c>
      <c r="G58" s="64">
        <f t="shared" si="11"/>
        <v>0</v>
      </c>
      <c r="H58" s="64">
        <f t="shared" si="11"/>
        <v>0</v>
      </c>
      <c r="I58" s="99">
        <f t="shared" si="11"/>
        <v>0</v>
      </c>
      <c r="J58" s="64">
        <f t="shared" si="11"/>
        <v>0</v>
      </c>
      <c r="K58" s="64">
        <f t="shared" si="11"/>
        <v>0</v>
      </c>
      <c r="L58" s="64">
        <f t="shared" si="11"/>
        <v>0</v>
      </c>
      <c r="M58" s="99">
        <f t="shared" si="11"/>
        <v>0</v>
      </c>
      <c r="N58" s="64">
        <f t="shared" si="11"/>
        <v>0</v>
      </c>
      <c r="O58" s="64">
        <f t="shared" si="11"/>
        <v>0</v>
      </c>
      <c r="P58" s="64">
        <f t="shared" si="11"/>
        <v>0</v>
      </c>
      <c r="Q58" s="99">
        <f t="shared" si="11"/>
        <v>0</v>
      </c>
      <c r="R58" s="64">
        <f t="shared" ref="R58:AE58" si="12">SUM(R37:R57)</f>
        <v>0</v>
      </c>
      <c r="S58" s="70">
        <f t="shared" si="12"/>
        <v>0</v>
      </c>
      <c r="T58" s="64">
        <f t="shared" si="12"/>
        <v>0</v>
      </c>
      <c r="U58" s="64">
        <f t="shared" si="12"/>
        <v>0</v>
      </c>
      <c r="V58" s="64">
        <f t="shared" si="12"/>
        <v>0</v>
      </c>
      <c r="W58" s="64">
        <f t="shared" si="12"/>
        <v>0</v>
      </c>
      <c r="X58" s="64">
        <f t="shared" si="12"/>
        <v>0</v>
      </c>
      <c r="Y58" s="64">
        <f t="shared" si="12"/>
        <v>0</v>
      </c>
      <c r="Z58" s="64">
        <f t="shared" si="12"/>
        <v>0</v>
      </c>
      <c r="AA58" s="64">
        <f t="shared" si="12"/>
        <v>0</v>
      </c>
      <c r="AB58" s="64">
        <f t="shared" si="12"/>
        <v>0</v>
      </c>
      <c r="AC58" s="64">
        <f t="shared" si="12"/>
        <v>0</v>
      </c>
      <c r="AD58" s="64">
        <f t="shared" si="12"/>
        <v>0</v>
      </c>
      <c r="AE58" s="64">
        <f t="shared" si="12"/>
        <v>0</v>
      </c>
      <c r="AG58" s="67" t="s">
        <v>273</v>
      </c>
      <c r="AH58" s="64">
        <f t="shared" ref="AH58:AW58" si="13">SUM(AH37:AH57)</f>
        <v>0</v>
      </c>
      <c r="AI58" s="64">
        <f t="shared" si="13"/>
        <v>0</v>
      </c>
      <c r="AJ58" s="64">
        <f t="shared" si="13"/>
        <v>0</v>
      </c>
      <c r="AK58" s="99">
        <f t="shared" si="13"/>
        <v>0</v>
      </c>
      <c r="AL58" s="64">
        <f t="shared" si="13"/>
        <v>0</v>
      </c>
      <c r="AM58" s="64">
        <f t="shared" si="13"/>
        <v>0</v>
      </c>
      <c r="AN58" s="64">
        <f t="shared" si="13"/>
        <v>0</v>
      </c>
      <c r="AO58" s="99">
        <f t="shared" si="13"/>
        <v>0</v>
      </c>
      <c r="AP58" s="64">
        <f t="shared" si="13"/>
        <v>0</v>
      </c>
      <c r="AQ58" s="64">
        <f t="shared" si="13"/>
        <v>0</v>
      </c>
      <c r="AR58" s="64">
        <f t="shared" si="13"/>
        <v>0</v>
      </c>
      <c r="AS58" s="99">
        <f t="shared" si="13"/>
        <v>0</v>
      </c>
      <c r="AT58" s="64">
        <f t="shared" si="13"/>
        <v>0</v>
      </c>
      <c r="AU58" s="64">
        <f t="shared" si="13"/>
        <v>0</v>
      </c>
      <c r="AV58" s="64">
        <f t="shared" si="13"/>
        <v>0</v>
      </c>
      <c r="AW58" s="99">
        <f t="shared" si="13"/>
        <v>0</v>
      </c>
      <c r="AX58" s="93">
        <f t="shared" ref="AX58:BK58" si="14">SUM(AX37:AX57)</f>
        <v>0</v>
      </c>
      <c r="AY58" s="71">
        <f t="shared" si="14"/>
        <v>0</v>
      </c>
      <c r="AZ58" s="64">
        <f t="shared" si="14"/>
        <v>0</v>
      </c>
      <c r="BA58" s="64">
        <f t="shared" si="14"/>
        <v>0</v>
      </c>
      <c r="BB58" s="64">
        <f t="shared" si="14"/>
        <v>0</v>
      </c>
      <c r="BC58" s="64">
        <f t="shared" si="14"/>
        <v>0</v>
      </c>
      <c r="BD58" s="64">
        <f t="shared" si="14"/>
        <v>0</v>
      </c>
      <c r="BE58" s="64">
        <f t="shared" si="14"/>
        <v>0</v>
      </c>
      <c r="BF58" s="64">
        <f t="shared" si="14"/>
        <v>0</v>
      </c>
      <c r="BG58" s="64">
        <f t="shared" si="14"/>
        <v>0</v>
      </c>
      <c r="BH58" s="64">
        <f t="shared" si="14"/>
        <v>0</v>
      </c>
      <c r="BI58" s="64">
        <f t="shared" si="14"/>
        <v>0</v>
      </c>
      <c r="BJ58" s="64">
        <f t="shared" si="14"/>
        <v>0</v>
      </c>
      <c r="BK58" s="64">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E35"/>
  <sheetViews>
    <sheetView topLeftCell="A4" zoomScale="75" zoomScaleNormal="75" workbookViewId="0">
      <selection activeCell="C16" sqref="C16:E16"/>
    </sheetView>
  </sheetViews>
  <sheetFormatPr baseColWidth="10" defaultColWidth="11.44140625" defaultRowHeight="14.4" x14ac:dyDescent="0.3"/>
  <cols>
    <col min="1" max="1" width="21" customWidth="1"/>
    <col min="2" max="4" width="20.5546875" customWidth="1"/>
    <col min="5" max="5" width="24.33203125" customWidth="1"/>
  </cols>
  <sheetData>
    <row r="1" spans="1:5" s="2" customFormat="1" ht="16.5" customHeight="1" x14ac:dyDescent="0.3">
      <c r="A1" s="604"/>
      <c r="B1" s="607" t="s">
        <v>0</v>
      </c>
      <c r="C1" s="607"/>
      <c r="D1" s="607"/>
      <c r="E1" s="129" t="s">
        <v>1</v>
      </c>
    </row>
    <row r="2" spans="1:5" s="2" customFormat="1" ht="20.25" customHeight="1" x14ac:dyDescent="0.3">
      <c r="A2" s="605"/>
      <c r="B2" s="608" t="s">
        <v>2</v>
      </c>
      <c r="C2" s="608"/>
      <c r="D2" s="608"/>
      <c r="E2" s="130" t="s">
        <v>3</v>
      </c>
    </row>
    <row r="3" spans="1:5" s="2" customFormat="1" ht="30" customHeight="1" x14ac:dyDescent="0.3">
      <c r="A3" s="605"/>
      <c r="B3" s="609" t="s">
        <v>4</v>
      </c>
      <c r="C3" s="609"/>
      <c r="D3" s="609"/>
      <c r="E3" s="130" t="s">
        <v>5</v>
      </c>
    </row>
    <row r="4" spans="1:5" s="2" customFormat="1" ht="16.5" customHeight="1" thickBot="1" x14ac:dyDescent="0.35">
      <c r="A4" s="606"/>
      <c r="B4" s="389"/>
      <c r="C4" s="389"/>
      <c r="D4" s="389"/>
      <c r="E4" s="131" t="s">
        <v>274</v>
      </c>
    </row>
    <row r="5" spans="1:5" s="2" customFormat="1" ht="9" customHeight="1" thickBot="1" x14ac:dyDescent="0.35">
      <c r="A5"/>
      <c r="B5"/>
      <c r="C5"/>
      <c r="D5"/>
      <c r="E5"/>
    </row>
    <row r="6" spans="1:5" ht="14.25" customHeight="1" x14ac:dyDescent="0.3">
      <c r="A6" s="591" t="s">
        <v>275</v>
      </c>
      <c r="B6" s="315"/>
      <c r="C6" s="315"/>
      <c r="D6" s="315"/>
      <c r="E6" s="592"/>
    </row>
    <row r="7" spans="1:5" ht="15.75" customHeight="1" thickBot="1" x14ac:dyDescent="0.35">
      <c r="A7" s="137" t="s">
        <v>276</v>
      </c>
      <c r="B7" s="138" t="s">
        <v>277</v>
      </c>
      <c r="C7" s="610" t="s">
        <v>278</v>
      </c>
      <c r="D7" s="610"/>
      <c r="E7" s="611"/>
    </row>
    <row r="8" spans="1:5" ht="98.4" customHeight="1" x14ac:dyDescent="0.3">
      <c r="A8" s="136"/>
      <c r="B8" s="204" t="s">
        <v>442</v>
      </c>
      <c r="C8" s="596" t="s">
        <v>443</v>
      </c>
      <c r="D8" s="597"/>
      <c r="E8" s="598"/>
    </row>
    <row r="9" spans="1:5" ht="75" customHeight="1" x14ac:dyDescent="0.3">
      <c r="A9" s="133"/>
      <c r="B9" s="211" t="s">
        <v>279</v>
      </c>
      <c r="C9" s="599" t="s">
        <v>440</v>
      </c>
      <c r="D9" s="599"/>
      <c r="E9" s="600"/>
    </row>
    <row r="10" spans="1:5" ht="61.2" customHeight="1" x14ac:dyDescent="0.3">
      <c r="A10" s="133"/>
      <c r="B10" s="212" t="s">
        <v>444</v>
      </c>
      <c r="C10" s="601" t="s">
        <v>445</v>
      </c>
      <c r="D10" s="602"/>
      <c r="E10" s="603"/>
    </row>
    <row r="11" spans="1:5" ht="115.2" x14ac:dyDescent="0.3">
      <c r="A11" s="133"/>
      <c r="B11" s="209" t="s">
        <v>446</v>
      </c>
      <c r="C11" s="599" t="s">
        <v>441</v>
      </c>
      <c r="D11" s="599"/>
      <c r="E11" s="600"/>
    </row>
    <row r="12" spans="1:5" ht="89.4" customHeight="1" x14ac:dyDescent="0.3">
      <c r="A12" s="133"/>
      <c r="B12" s="205" t="s">
        <v>280</v>
      </c>
      <c r="C12" s="596" t="s">
        <v>447</v>
      </c>
      <c r="D12" s="597"/>
      <c r="E12" s="598"/>
    </row>
    <row r="13" spans="1:5" ht="58.2" customHeight="1" x14ac:dyDescent="0.3">
      <c r="A13" s="133"/>
      <c r="B13" s="214" t="s">
        <v>451</v>
      </c>
      <c r="C13" s="601" t="s">
        <v>452</v>
      </c>
      <c r="D13" s="602"/>
      <c r="E13" s="603"/>
    </row>
    <row r="14" spans="1:5" x14ac:dyDescent="0.3">
      <c r="A14" s="133"/>
      <c r="B14" s="132"/>
      <c r="C14" s="593"/>
      <c r="D14" s="594"/>
      <c r="E14" s="595"/>
    </row>
    <row r="15" spans="1:5" x14ac:dyDescent="0.3">
      <c r="A15" s="133"/>
      <c r="B15" s="132"/>
      <c r="C15" s="593"/>
      <c r="D15" s="594"/>
      <c r="E15" s="595"/>
    </row>
    <row r="16" spans="1:5" x14ac:dyDescent="0.3">
      <c r="A16" s="133"/>
      <c r="B16" s="132"/>
      <c r="C16" s="593"/>
      <c r="D16" s="594"/>
      <c r="E16" s="595"/>
    </row>
    <row r="17" spans="1:5" x14ac:dyDescent="0.3">
      <c r="A17" s="133"/>
      <c r="B17" s="132"/>
      <c r="C17" s="593"/>
      <c r="D17" s="594"/>
      <c r="E17" s="595"/>
    </row>
    <row r="18" spans="1:5" x14ac:dyDescent="0.3">
      <c r="A18" s="133"/>
      <c r="B18" s="132"/>
      <c r="C18" s="593"/>
      <c r="D18" s="594"/>
      <c r="E18" s="595"/>
    </row>
    <row r="19" spans="1:5" x14ac:dyDescent="0.3">
      <c r="A19" s="133"/>
      <c r="B19" s="132"/>
      <c r="C19" s="593"/>
      <c r="D19" s="594"/>
      <c r="E19" s="595"/>
    </row>
    <row r="20" spans="1:5" x14ac:dyDescent="0.3">
      <c r="A20" s="133"/>
      <c r="B20" s="132"/>
      <c r="C20" s="593"/>
      <c r="D20" s="594"/>
      <c r="E20" s="595"/>
    </row>
    <row r="21" spans="1:5" x14ac:dyDescent="0.3">
      <c r="A21" s="133"/>
      <c r="B21" s="132"/>
      <c r="C21" s="593"/>
      <c r="D21" s="594"/>
      <c r="E21" s="595"/>
    </row>
    <row r="22" spans="1:5" x14ac:dyDescent="0.3">
      <c r="A22" s="133"/>
      <c r="B22" s="132"/>
      <c r="C22" s="593"/>
      <c r="D22" s="594"/>
      <c r="E22" s="595"/>
    </row>
    <row r="23" spans="1:5" x14ac:dyDescent="0.3">
      <c r="A23" s="133"/>
      <c r="B23" s="132"/>
      <c r="C23" s="593"/>
      <c r="D23" s="594"/>
      <c r="E23" s="595"/>
    </row>
    <row r="24" spans="1:5" x14ac:dyDescent="0.3">
      <c r="A24" s="133"/>
      <c r="B24" s="132"/>
      <c r="C24" s="593"/>
      <c r="D24" s="594"/>
      <c r="E24" s="595"/>
    </row>
    <row r="25" spans="1:5" x14ac:dyDescent="0.3">
      <c r="A25" s="133"/>
      <c r="B25" s="132"/>
      <c r="C25" s="593"/>
      <c r="D25" s="594"/>
      <c r="E25" s="595"/>
    </row>
    <row r="26" spans="1:5" x14ac:dyDescent="0.3">
      <c r="A26" s="133"/>
      <c r="B26" s="132"/>
      <c r="C26" s="593"/>
      <c r="D26" s="594"/>
      <c r="E26" s="595"/>
    </row>
    <row r="27" spans="1:5" x14ac:dyDescent="0.3">
      <c r="A27" s="133"/>
      <c r="B27" s="132"/>
      <c r="C27" s="593"/>
      <c r="D27" s="594"/>
      <c r="E27" s="595"/>
    </row>
    <row r="28" spans="1:5" x14ac:dyDescent="0.3">
      <c r="A28" s="133"/>
      <c r="B28" s="132"/>
      <c r="C28" s="593"/>
      <c r="D28" s="594"/>
      <c r="E28" s="595"/>
    </row>
    <row r="29" spans="1:5" x14ac:dyDescent="0.3">
      <c r="A29" s="133"/>
      <c r="B29" s="132"/>
      <c r="C29" s="593"/>
      <c r="D29" s="594"/>
      <c r="E29" s="595"/>
    </row>
    <row r="30" spans="1:5" x14ac:dyDescent="0.3">
      <c r="A30" s="133"/>
      <c r="B30" s="132"/>
      <c r="C30" s="593"/>
      <c r="D30" s="594"/>
      <c r="E30" s="595"/>
    </row>
    <row r="31" spans="1:5" x14ac:dyDescent="0.3">
      <c r="A31" s="133"/>
      <c r="B31" s="132"/>
      <c r="C31" s="593"/>
      <c r="D31" s="594"/>
      <c r="E31" s="595"/>
    </row>
    <row r="32" spans="1:5" x14ac:dyDescent="0.3">
      <c r="A32" s="133"/>
      <c r="B32" s="132"/>
      <c r="C32" s="593"/>
      <c r="D32" s="594"/>
      <c r="E32" s="595"/>
    </row>
    <row r="33" spans="1:5" x14ac:dyDescent="0.3">
      <c r="A33" s="133"/>
      <c r="B33" s="132"/>
      <c r="C33" s="593"/>
      <c r="D33" s="594"/>
      <c r="E33" s="595"/>
    </row>
    <row r="34" spans="1:5" x14ac:dyDescent="0.3">
      <c r="A34" s="133"/>
      <c r="B34" s="132"/>
      <c r="C34" s="593"/>
      <c r="D34" s="594"/>
      <c r="E34" s="595"/>
    </row>
    <row r="35" spans="1:5" ht="15" thickBot="1" x14ac:dyDescent="0.35">
      <c r="A35" s="134"/>
      <c r="B35" s="135"/>
      <c r="C35" s="588"/>
      <c r="D35" s="589"/>
      <c r="E35" s="590"/>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2:E12"/>
    <mergeCell ref="C13:E13"/>
    <mergeCell ref="C14:E14"/>
    <mergeCell ref="C11:E11"/>
    <mergeCell ref="C10:E10"/>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3" customWidth="1"/>
    <col min="2" max="2" width="61.88671875" style="33" customWidth="1"/>
    <col min="3" max="3" width="61.109375" style="33" customWidth="1"/>
    <col min="4" max="4" width="81" style="33" customWidth="1"/>
    <col min="5" max="5" width="32.88671875" style="59" customWidth="1"/>
    <col min="6" max="6" width="19" style="33" customWidth="1"/>
    <col min="7" max="7" width="29.44140625" style="33" customWidth="1"/>
    <col min="8" max="8" width="36.33203125" style="33" customWidth="1"/>
    <col min="9" max="9" width="40" style="33" customWidth="1"/>
    <col min="10" max="16384" width="11.44140625" style="33"/>
  </cols>
  <sheetData>
    <row r="1" spans="1:9" s="47" customFormat="1" x14ac:dyDescent="0.3">
      <c r="A1" s="46" t="s">
        <v>281</v>
      </c>
      <c r="B1" s="46" t="s">
        <v>282</v>
      </c>
      <c r="C1" s="46" t="s">
        <v>283</v>
      </c>
      <c r="D1" s="46" t="s">
        <v>284</v>
      </c>
      <c r="E1" s="46" t="s">
        <v>144</v>
      </c>
      <c r="F1" s="46" t="s">
        <v>285</v>
      </c>
      <c r="G1" s="46" t="s">
        <v>286</v>
      </c>
      <c r="H1" s="46" t="s">
        <v>236</v>
      </c>
      <c r="I1" s="46" t="s">
        <v>287</v>
      </c>
    </row>
    <row r="2" spans="1:9" s="47" customFormat="1" x14ac:dyDescent="0.3">
      <c r="A2" s="48" t="s">
        <v>288</v>
      </c>
      <c r="B2" s="42" t="s">
        <v>289</v>
      </c>
      <c r="C2" s="48" t="s">
        <v>290</v>
      </c>
      <c r="D2" s="49" t="s">
        <v>291</v>
      </c>
      <c r="E2" s="43" t="s">
        <v>292</v>
      </c>
      <c r="F2" s="50" t="s">
        <v>293</v>
      </c>
      <c r="G2" s="51" t="s">
        <v>294</v>
      </c>
      <c r="H2" s="51" t="s">
        <v>295</v>
      </c>
      <c r="I2" s="50" t="s">
        <v>296</v>
      </c>
    </row>
    <row r="3" spans="1:9" x14ac:dyDescent="0.3">
      <c r="A3" s="48" t="s">
        <v>297</v>
      </c>
      <c r="B3" s="42" t="s">
        <v>298</v>
      </c>
      <c r="C3" s="48" t="s">
        <v>299</v>
      </c>
      <c r="D3" s="52" t="s">
        <v>300</v>
      </c>
      <c r="E3" s="43" t="s">
        <v>301</v>
      </c>
      <c r="F3" s="50" t="s">
        <v>302</v>
      </c>
      <c r="G3" s="51" t="s">
        <v>303</v>
      </c>
      <c r="H3" s="51" t="s">
        <v>245</v>
      </c>
      <c r="I3" s="50" t="s">
        <v>304</v>
      </c>
    </row>
    <row r="4" spans="1:9" x14ac:dyDescent="0.3">
      <c r="A4" s="48" t="s">
        <v>305</v>
      </c>
      <c r="B4" s="42" t="s">
        <v>306</v>
      </c>
      <c r="C4" s="48" t="s">
        <v>307</v>
      </c>
      <c r="D4" s="52" t="s">
        <v>308</v>
      </c>
      <c r="E4" s="43" t="s">
        <v>309</v>
      </c>
      <c r="F4" s="50" t="s">
        <v>310</v>
      </c>
      <c r="G4" s="51" t="s">
        <v>311</v>
      </c>
      <c r="H4" s="51" t="s">
        <v>240</v>
      </c>
      <c r="I4" s="50" t="s">
        <v>312</v>
      </c>
    </row>
    <row r="5" spans="1:9" x14ac:dyDescent="0.3">
      <c r="A5" s="48" t="s">
        <v>313</v>
      </c>
      <c r="B5" s="42" t="s">
        <v>314</v>
      </c>
      <c r="C5" s="48" t="s">
        <v>315</v>
      </c>
      <c r="D5" s="52" t="s">
        <v>316</v>
      </c>
      <c r="E5" s="43" t="s">
        <v>317</v>
      </c>
      <c r="F5" s="50" t="s">
        <v>318</v>
      </c>
      <c r="G5" s="51" t="s">
        <v>319</v>
      </c>
      <c r="H5" s="51" t="s">
        <v>241</v>
      </c>
      <c r="I5" s="50" t="s">
        <v>320</v>
      </c>
    </row>
    <row r="6" spans="1:9" ht="27.6" x14ac:dyDescent="0.3">
      <c r="A6" s="48" t="s">
        <v>321</v>
      </c>
      <c r="B6" s="42" t="s">
        <v>322</v>
      </c>
      <c r="C6" s="48" t="s">
        <v>323</v>
      </c>
      <c r="D6" s="52" t="s">
        <v>324</v>
      </c>
      <c r="E6" s="43" t="s">
        <v>325</v>
      </c>
      <c r="G6" s="51" t="s">
        <v>326</v>
      </c>
      <c r="H6" s="51" t="s">
        <v>242</v>
      </c>
      <c r="I6" s="50" t="s">
        <v>327</v>
      </c>
    </row>
    <row r="7" spans="1:9" x14ac:dyDescent="0.3">
      <c r="B7" s="42" t="s">
        <v>328</v>
      </c>
      <c r="C7" s="48" t="s">
        <v>329</v>
      </c>
      <c r="D7" s="52" t="s">
        <v>330</v>
      </c>
      <c r="E7" s="50" t="s">
        <v>331</v>
      </c>
      <c r="G7" s="43" t="s">
        <v>251</v>
      </c>
      <c r="H7" s="51" t="s">
        <v>243</v>
      </c>
      <c r="I7" s="50" t="s">
        <v>332</v>
      </c>
    </row>
    <row r="8" spans="1:9" ht="27.6" x14ac:dyDescent="0.3">
      <c r="A8" s="53"/>
      <c r="B8" s="42" t="s">
        <v>333</v>
      </c>
      <c r="C8" s="48" t="s">
        <v>334</v>
      </c>
      <c r="D8" s="52" t="s">
        <v>335</v>
      </c>
      <c r="E8" s="50" t="s">
        <v>336</v>
      </c>
      <c r="I8" s="50" t="s">
        <v>337</v>
      </c>
    </row>
    <row r="9" spans="1:9" ht="32.1" customHeight="1" x14ac:dyDescent="0.3">
      <c r="A9" s="53"/>
      <c r="B9" s="42" t="s">
        <v>338</v>
      </c>
      <c r="C9" s="48" t="s">
        <v>339</v>
      </c>
      <c r="D9" s="52" t="s">
        <v>340</v>
      </c>
      <c r="E9" s="50" t="s">
        <v>341</v>
      </c>
      <c r="I9" s="50" t="s">
        <v>342</v>
      </c>
    </row>
    <row r="10" spans="1:9" x14ac:dyDescent="0.3">
      <c r="A10" s="53"/>
      <c r="B10" s="42" t="s">
        <v>343</v>
      </c>
      <c r="C10" s="48" t="s">
        <v>344</v>
      </c>
      <c r="D10" s="52" t="s">
        <v>345</v>
      </c>
      <c r="E10" s="50" t="s">
        <v>346</v>
      </c>
      <c r="I10" s="50" t="s">
        <v>347</v>
      </c>
    </row>
    <row r="11" spans="1:9" x14ac:dyDescent="0.3">
      <c r="A11" s="53"/>
      <c r="B11" s="42" t="s">
        <v>348</v>
      </c>
      <c r="C11" s="48" t="s">
        <v>349</v>
      </c>
      <c r="D11" s="52" t="s">
        <v>350</v>
      </c>
      <c r="E11" s="50" t="s">
        <v>351</v>
      </c>
      <c r="I11" s="50" t="s">
        <v>352</v>
      </c>
    </row>
    <row r="12" spans="1:9" ht="27.6" x14ac:dyDescent="0.3">
      <c r="A12" s="53"/>
      <c r="B12" s="42" t="s">
        <v>353</v>
      </c>
      <c r="C12" s="48" t="s">
        <v>354</v>
      </c>
      <c r="D12" s="52" t="s">
        <v>355</v>
      </c>
      <c r="E12" s="50" t="s">
        <v>356</v>
      </c>
      <c r="I12" s="50" t="s">
        <v>357</v>
      </c>
    </row>
    <row r="13" spans="1:9" x14ac:dyDescent="0.3">
      <c r="A13" s="53"/>
      <c r="B13" s="144" t="s">
        <v>358</v>
      </c>
      <c r="D13" s="52" t="s">
        <v>359</v>
      </c>
      <c r="E13" s="50" t="s">
        <v>360</v>
      </c>
      <c r="I13" s="50" t="s">
        <v>361</v>
      </c>
    </row>
    <row r="14" spans="1:9" x14ac:dyDescent="0.3">
      <c r="A14" s="53"/>
      <c r="B14" s="42" t="s">
        <v>362</v>
      </c>
      <c r="C14" s="53"/>
      <c r="D14" s="52" t="s">
        <v>363</v>
      </c>
      <c r="E14" s="50" t="s">
        <v>364</v>
      </c>
    </row>
    <row r="15" spans="1:9" x14ac:dyDescent="0.3">
      <c r="A15" s="53"/>
      <c r="B15" s="42" t="s">
        <v>365</v>
      </c>
      <c r="C15" s="53"/>
      <c r="D15" s="52" t="s">
        <v>366</v>
      </c>
      <c r="E15" s="50" t="s">
        <v>367</v>
      </c>
    </row>
    <row r="16" spans="1:9" x14ac:dyDescent="0.3">
      <c r="A16" s="53"/>
      <c r="B16" s="42" t="s">
        <v>368</v>
      </c>
      <c r="C16" s="53"/>
      <c r="D16" s="52" t="s">
        <v>369</v>
      </c>
      <c r="E16" s="54"/>
    </row>
    <row r="17" spans="1:5" x14ac:dyDescent="0.3">
      <c r="A17" s="53"/>
      <c r="B17" s="42" t="s">
        <v>370</v>
      </c>
      <c r="C17" s="53"/>
      <c r="D17" s="52" t="s">
        <v>371</v>
      </c>
      <c r="E17" s="54"/>
    </row>
    <row r="18" spans="1:5" x14ac:dyDescent="0.3">
      <c r="A18" s="53"/>
      <c r="B18" s="42" t="s">
        <v>372</v>
      </c>
      <c r="C18" s="53"/>
      <c r="D18" s="52" t="s">
        <v>373</v>
      </c>
      <c r="E18" s="54"/>
    </row>
    <row r="19" spans="1:5" x14ac:dyDescent="0.3">
      <c r="A19" s="53"/>
      <c r="B19" s="42" t="s">
        <v>374</v>
      </c>
      <c r="C19" s="53"/>
      <c r="D19" s="52" t="s">
        <v>375</v>
      </c>
      <c r="E19" s="54"/>
    </row>
    <row r="20" spans="1:5" x14ac:dyDescent="0.3">
      <c r="A20" s="53"/>
      <c r="B20" s="42" t="s">
        <v>376</v>
      </c>
      <c r="C20" s="53"/>
      <c r="D20" s="52" t="s">
        <v>377</v>
      </c>
      <c r="E20" s="54"/>
    </row>
    <row r="21" spans="1:5" x14ac:dyDescent="0.3">
      <c r="B21" s="42" t="s">
        <v>378</v>
      </c>
      <c r="D21" s="52" t="s">
        <v>379</v>
      </c>
      <c r="E21" s="54"/>
    </row>
    <row r="22" spans="1:5" x14ac:dyDescent="0.3">
      <c r="B22" s="42" t="s">
        <v>380</v>
      </c>
      <c r="D22" s="52" t="s">
        <v>381</v>
      </c>
      <c r="E22" s="54"/>
    </row>
    <row r="23" spans="1:5" x14ac:dyDescent="0.3">
      <c r="B23" s="42" t="s">
        <v>382</v>
      </c>
      <c r="D23" s="52" t="s">
        <v>383</v>
      </c>
      <c r="E23" s="54"/>
    </row>
    <row r="24" spans="1:5" x14ac:dyDescent="0.3">
      <c r="D24" s="55" t="s">
        <v>384</v>
      </c>
      <c r="E24" s="55" t="s">
        <v>385</v>
      </c>
    </row>
    <row r="25" spans="1:5" x14ac:dyDescent="0.3">
      <c r="D25" s="56" t="s">
        <v>386</v>
      </c>
      <c r="E25" s="50" t="s">
        <v>387</v>
      </c>
    </row>
    <row r="26" spans="1:5" x14ac:dyDescent="0.3">
      <c r="D26" s="56" t="s">
        <v>388</v>
      </c>
      <c r="E26" s="50" t="s">
        <v>389</v>
      </c>
    </row>
    <row r="27" spans="1:5" x14ac:dyDescent="0.3">
      <c r="D27" s="612" t="s">
        <v>390</v>
      </c>
      <c r="E27" s="50" t="s">
        <v>391</v>
      </c>
    </row>
    <row r="28" spans="1:5" x14ac:dyDescent="0.3">
      <c r="D28" s="613"/>
      <c r="E28" s="50" t="s">
        <v>392</v>
      </c>
    </row>
    <row r="29" spans="1:5" x14ac:dyDescent="0.3">
      <c r="D29" s="613"/>
      <c r="E29" s="50" t="s">
        <v>393</v>
      </c>
    </row>
    <row r="30" spans="1:5" x14ac:dyDescent="0.3">
      <c r="D30" s="614"/>
      <c r="E30" s="50" t="s">
        <v>394</v>
      </c>
    </row>
    <row r="31" spans="1:5" x14ac:dyDescent="0.3">
      <c r="D31" s="56" t="s">
        <v>395</v>
      </c>
      <c r="E31" s="50" t="s">
        <v>396</v>
      </c>
    </row>
    <row r="32" spans="1:5" x14ac:dyDescent="0.3">
      <c r="D32" s="56" t="s">
        <v>397</v>
      </c>
      <c r="E32" s="50" t="s">
        <v>398</v>
      </c>
    </row>
    <row r="33" spans="4:5" x14ac:dyDescent="0.3">
      <c r="D33" s="56" t="s">
        <v>399</v>
      </c>
      <c r="E33" s="50" t="s">
        <v>400</v>
      </c>
    </row>
    <row r="34" spans="4:5" x14ac:dyDescent="0.3">
      <c r="D34" s="56" t="s">
        <v>401</v>
      </c>
      <c r="E34" s="50" t="s">
        <v>402</v>
      </c>
    </row>
    <row r="35" spans="4:5" x14ac:dyDescent="0.3">
      <c r="D35" s="56" t="s">
        <v>403</v>
      </c>
      <c r="E35" s="50" t="s">
        <v>404</v>
      </c>
    </row>
    <row r="36" spans="4:5" x14ac:dyDescent="0.3">
      <c r="D36" s="56" t="s">
        <v>405</v>
      </c>
      <c r="E36" s="50" t="s">
        <v>406</v>
      </c>
    </row>
    <row r="37" spans="4:5" x14ac:dyDescent="0.3">
      <c r="D37" s="56" t="s">
        <v>407</v>
      </c>
      <c r="E37" s="50" t="s">
        <v>408</v>
      </c>
    </row>
    <row r="38" spans="4:5" x14ac:dyDescent="0.3">
      <c r="D38" s="56" t="s">
        <v>409</v>
      </c>
      <c r="E38" s="50" t="s">
        <v>410</v>
      </c>
    </row>
    <row r="39" spans="4:5" x14ac:dyDescent="0.3">
      <c r="D39" s="57" t="s">
        <v>411</v>
      </c>
      <c r="E39" s="50" t="s">
        <v>412</v>
      </c>
    </row>
    <row r="40" spans="4:5" x14ac:dyDescent="0.3">
      <c r="D40" s="57" t="s">
        <v>413</v>
      </c>
      <c r="E40" s="50" t="s">
        <v>414</v>
      </c>
    </row>
    <row r="41" spans="4:5" x14ac:dyDescent="0.3">
      <c r="D41" s="56" t="s">
        <v>415</v>
      </c>
      <c r="E41" s="50" t="s">
        <v>416</v>
      </c>
    </row>
    <row r="42" spans="4:5" x14ac:dyDescent="0.3">
      <c r="D42" s="56" t="s">
        <v>417</v>
      </c>
      <c r="E42" s="50" t="s">
        <v>418</v>
      </c>
    </row>
    <row r="43" spans="4:5" x14ac:dyDescent="0.3">
      <c r="D43" s="57" t="s">
        <v>419</v>
      </c>
      <c r="E43" s="50" t="s">
        <v>420</v>
      </c>
    </row>
    <row r="44" spans="4:5" x14ac:dyDescent="0.3">
      <c r="D44" s="58" t="s">
        <v>421</v>
      </c>
      <c r="E44" s="50" t="s">
        <v>422</v>
      </c>
    </row>
    <row r="45" spans="4:5" x14ac:dyDescent="0.3">
      <c r="D45" s="52" t="s">
        <v>423</v>
      </c>
      <c r="E45" s="50" t="s">
        <v>424</v>
      </c>
    </row>
    <row r="46" spans="4:5" x14ac:dyDescent="0.3">
      <c r="D46" s="52" t="s">
        <v>425</v>
      </c>
      <c r="E46" s="50" t="s">
        <v>426</v>
      </c>
    </row>
    <row r="47" spans="4:5" x14ac:dyDescent="0.3">
      <c r="D47" s="52" t="s">
        <v>427</v>
      </c>
      <c r="E47" s="50" t="s">
        <v>428</v>
      </c>
    </row>
    <row r="48" spans="4:5" x14ac:dyDescent="0.3">
      <c r="D48" s="52" t="s">
        <v>429</v>
      </c>
      <c r="E48" s="50" t="s">
        <v>430</v>
      </c>
    </row>
    <row r="49" spans="4:4" x14ac:dyDescent="0.3">
      <c r="D49" s="55" t="s">
        <v>431</v>
      </c>
    </row>
    <row r="50" spans="4:4" x14ac:dyDescent="0.3">
      <c r="D50" s="52" t="s">
        <v>432</v>
      </c>
    </row>
    <row r="51" spans="4:4" x14ac:dyDescent="0.3">
      <c r="D51" s="52" t="s">
        <v>433</v>
      </c>
    </row>
    <row r="52" spans="4:4" x14ac:dyDescent="0.3">
      <c r="D52" s="55" t="s">
        <v>434</v>
      </c>
    </row>
    <row r="53" spans="4:4" x14ac:dyDescent="0.3">
      <c r="D53" s="58" t="s">
        <v>435</v>
      </c>
    </row>
    <row r="54" spans="4:4" x14ac:dyDescent="0.3">
      <c r="D54" s="58" t="s">
        <v>436</v>
      </c>
    </row>
    <row r="55" spans="4:4" x14ac:dyDescent="0.3">
      <c r="D55" s="58" t="s">
        <v>437</v>
      </c>
    </row>
    <row r="56" spans="4:4" x14ac:dyDescent="0.3">
      <c r="D56" s="58" t="s">
        <v>438</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100"/>
  <sheetViews>
    <sheetView showGridLines="0" view="pageBreakPreview" topLeftCell="K47" zoomScale="62" zoomScaleNormal="60" zoomScaleSheetLayoutView="62" workbookViewId="0">
      <selection activeCell="Q59" sqref="Q59:X60"/>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379"/>
      <c r="B1" s="382"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4"/>
      <c r="AB1" s="391" t="s">
        <v>1</v>
      </c>
      <c r="AC1" s="392"/>
      <c r="AD1" s="392"/>
      <c r="AE1" s="393"/>
    </row>
    <row r="2" spans="1:31" ht="30.75" customHeight="1" thickBot="1" x14ac:dyDescent="0.35">
      <c r="A2" s="380"/>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391" t="s">
        <v>3</v>
      </c>
      <c r="AC2" s="392"/>
      <c r="AD2" s="392"/>
      <c r="AE2" s="393"/>
    </row>
    <row r="3" spans="1:31" ht="24" customHeight="1" thickBot="1" x14ac:dyDescent="0.35">
      <c r="A3" s="380"/>
      <c r="B3" s="385" t="s">
        <v>4</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91" t="s">
        <v>5</v>
      </c>
      <c r="AC3" s="392"/>
      <c r="AD3" s="392"/>
      <c r="AE3" s="393"/>
    </row>
    <row r="4" spans="1:31" ht="21.75" customHeight="1" thickBot="1" x14ac:dyDescent="0.35">
      <c r="A4" s="381"/>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6</v>
      </c>
      <c r="AC4" s="392"/>
      <c r="AD4" s="392"/>
      <c r="AE4" s="393"/>
    </row>
    <row r="5" spans="1:31" ht="9" customHeight="1" thickBot="1" x14ac:dyDescent="0.35">
      <c r="A5" s="3"/>
      <c r="B5" s="101"/>
      <c r="C5" s="102"/>
      <c r="D5" s="4"/>
      <c r="E5" s="4"/>
      <c r="F5" s="4"/>
      <c r="G5" s="4"/>
      <c r="H5" s="4"/>
      <c r="I5" s="4"/>
      <c r="J5" s="4"/>
      <c r="K5" s="4"/>
      <c r="L5" s="4"/>
      <c r="M5" s="4"/>
      <c r="N5" s="4"/>
      <c r="O5" s="4"/>
      <c r="P5" s="4"/>
      <c r="Q5" s="4"/>
      <c r="R5" s="4"/>
      <c r="S5" s="4"/>
      <c r="T5" s="4"/>
      <c r="U5" s="4"/>
      <c r="V5" s="4"/>
      <c r="W5" s="4"/>
      <c r="X5" s="4"/>
      <c r="Y5" s="4"/>
      <c r="Z5" s="4"/>
      <c r="AA5" s="4"/>
      <c r="AB5" s="4"/>
      <c r="AC5" s="171"/>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4"/>
      <c r="AA6" s="4"/>
      <c r="AB6" s="4"/>
      <c r="AC6" s="171"/>
      <c r="AD6" s="7"/>
      <c r="AE6" s="8"/>
    </row>
    <row r="7" spans="1:31" x14ac:dyDescent="0.3">
      <c r="A7" s="336" t="s">
        <v>7</v>
      </c>
      <c r="B7" s="337"/>
      <c r="C7" s="374" t="s">
        <v>29</v>
      </c>
      <c r="D7" s="336" t="s">
        <v>8</v>
      </c>
      <c r="E7" s="342"/>
      <c r="F7" s="342"/>
      <c r="G7" s="342"/>
      <c r="H7" s="337"/>
      <c r="I7" s="366">
        <v>45357</v>
      </c>
      <c r="J7" s="367"/>
      <c r="K7" s="336" t="s">
        <v>9</v>
      </c>
      <c r="L7" s="337"/>
      <c r="M7" s="358" t="s">
        <v>10</v>
      </c>
      <c r="N7" s="359"/>
      <c r="O7" s="347"/>
      <c r="P7" s="348"/>
      <c r="Q7" s="4"/>
      <c r="R7" s="4"/>
      <c r="S7" s="4"/>
      <c r="T7" s="4"/>
      <c r="U7" s="4"/>
      <c r="V7" s="4"/>
      <c r="W7" s="4"/>
      <c r="X7" s="4"/>
      <c r="Y7" s="4"/>
      <c r="Z7" s="4"/>
      <c r="AA7" s="4"/>
      <c r="AB7" s="4"/>
      <c r="AC7" s="171"/>
      <c r="AD7" s="7"/>
      <c r="AE7" s="8"/>
    </row>
    <row r="8" spans="1:31" x14ac:dyDescent="0.3">
      <c r="A8" s="338"/>
      <c r="B8" s="339"/>
      <c r="C8" s="375"/>
      <c r="D8" s="338"/>
      <c r="E8" s="343"/>
      <c r="F8" s="343"/>
      <c r="G8" s="343"/>
      <c r="H8" s="339"/>
      <c r="I8" s="368"/>
      <c r="J8" s="369"/>
      <c r="K8" s="338"/>
      <c r="L8" s="339"/>
      <c r="M8" s="377" t="s">
        <v>11</v>
      </c>
      <c r="N8" s="378"/>
      <c r="O8" s="360"/>
      <c r="P8" s="361"/>
      <c r="Q8" s="4"/>
      <c r="R8" s="4"/>
      <c r="S8" s="4"/>
      <c r="T8" s="4"/>
      <c r="U8" s="4"/>
      <c r="V8" s="4"/>
      <c r="W8" s="4"/>
      <c r="X8" s="4"/>
      <c r="Y8" s="4"/>
      <c r="Z8" s="4"/>
      <c r="AA8" s="4"/>
      <c r="AB8" s="4"/>
      <c r="AC8" s="171"/>
      <c r="AD8" s="7"/>
      <c r="AE8" s="8"/>
    </row>
    <row r="9" spans="1:31" ht="15" thickBot="1" x14ac:dyDescent="0.35">
      <c r="A9" s="340"/>
      <c r="B9" s="341"/>
      <c r="C9" s="376"/>
      <c r="D9" s="340"/>
      <c r="E9" s="344"/>
      <c r="F9" s="344"/>
      <c r="G9" s="344"/>
      <c r="H9" s="341"/>
      <c r="I9" s="370"/>
      <c r="J9" s="371"/>
      <c r="K9" s="340"/>
      <c r="L9" s="341"/>
      <c r="M9" s="362" t="s">
        <v>13</v>
      </c>
      <c r="N9" s="363"/>
      <c r="O9" s="364" t="s">
        <v>12</v>
      </c>
      <c r="P9" s="365"/>
      <c r="Q9" s="4"/>
      <c r="R9" s="4"/>
      <c r="S9" s="4"/>
      <c r="T9" s="4"/>
      <c r="U9" s="4"/>
      <c r="V9" s="4"/>
      <c r="W9" s="4"/>
      <c r="X9" s="4"/>
      <c r="Y9" s="4"/>
      <c r="Z9" s="4"/>
      <c r="AA9" s="4"/>
      <c r="AB9" s="4"/>
      <c r="AC9" s="171"/>
      <c r="AD9" s="7"/>
      <c r="AE9" s="8"/>
    </row>
    <row r="10" spans="1:31" ht="15" customHeight="1" thickBot="1" x14ac:dyDescent="0.35">
      <c r="A10" s="75"/>
      <c r="B10" s="76"/>
      <c r="C10" s="76"/>
      <c r="D10" s="9"/>
      <c r="E10" s="9"/>
      <c r="F10" s="9"/>
      <c r="G10" s="9"/>
      <c r="H10" s="9"/>
      <c r="I10" s="172"/>
      <c r="J10" s="172"/>
      <c r="K10" s="9"/>
      <c r="L10" s="9"/>
      <c r="M10" s="173"/>
      <c r="N10" s="173"/>
      <c r="O10" s="174"/>
      <c r="P10" s="174"/>
      <c r="Q10" s="76"/>
      <c r="R10" s="76"/>
      <c r="S10" s="76"/>
      <c r="T10" s="76"/>
      <c r="U10" s="76"/>
      <c r="V10" s="76"/>
      <c r="W10" s="76"/>
      <c r="X10" s="76"/>
      <c r="Y10" s="76"/>
      <c r="Z10" s="76"/>
      <c r="AA10" s="76"/>
      <c r="AB10" s="76"/>
      <c r="AC10" s="171"/>
      <c r="AD10" s="78"/>
      <c r="AE10" s="79"/>
    </row>
    <row r="11" spans="1:31" ht="15" customHeight="1" x14ac:dyDescent="0.3">
      <c r="A11" s="336" t="s">
        <v>14</v>
      </c>
      <c r="B11" s="337"/>
      <c r="C11" s="308" t="s">
        <v>15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ht="15" customHeight="1" x14ac:dyDescent="0.3">
      <c r="A12" s="338"/>
      <c r="B12" s="339"/>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15" customHeight="1" thickBot="1" x14ac:dyDescent="0.35">
      <c r="A13" s="340"/>
      <c r="B13" s="341"/>
      <c r="C13" s="352"/>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C14" s="171"/>
      <c r="AD14" s="9"/>
      <c r="AE14" s="10"/>
    </row>
    <row r="15" spans="1:31" ht="42.75" customHeight="1" thickBot="1" x14ac:dyDescent="0.35">
      <c r="A15" s="345" t="s">
        <v>16</v>
      </c>
      <c r="B15" s="346"/>
      <c r="C15" s="355" t="s">
        <v>17</v>
      </c>
      <c r="D15" s="356"/>
      <c r="E15" s="356"/>
      <c r="F15" s="356"/>
      <c r="G15" s="356"/>
      <c r="H15" s="356"/>
      <c r="I15" s="356"/>
      <c r="J15" s="356"/>
      <c r="K15" s="357"/>
      <c r="L15" s="372" t="s">
        <v>18</v>
      </c>
      <c r="M15" s="399"/>
      <c r="N15" s="399"/>
      <c r="O15" s="399"/>
      <c r="P15" s="399"/>
      <c r="Q15" s="373"/>
      <c r="R15" s="400" t="s">
        <v>19</v>
      </c>
      <c r="S15" s="401"/>
      <c r="T15" s="401"/>
      <c r="U15" s="401"/>
      <c r="V15" s="401"/>
      <c r="W15" s="401"/>
      <c r="X15" s="402"/>
      <c r="Y15" s="372" t="s">
        <v>20</v>
      </c>
      <c r="Z15" s="373"/>
      <c r="AA15" s="355" t="s">
        <v>21</v>
      </c>
      <c r="AB15" s="356"/>
      <c r="AC15" s="356"/>
      <c r="AD15" s="356"/>
      <c r="AE15" s="357"/>
    </row>
    <row r="16" spans="1:31" ht="9" customHeight="1" thickBot="1" x14ac:dyDescent="0.35">
      <c r="A16" s="6"/>
      <c r="B16" s="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171"/>
      <c r="AD16" s="7"/>
      <c r="AE16" s="8"/>
    </row>
    <row r="17" spans="1:33" s="16" customFormat="1" ht="37.5" customHeight="1" thickBot="1" x14ac:dyDescent="0.35">
      <c r="A17" s="345" t="s">
        <v>22</v>
      </c>
      <c r="B17" s="346"/>
      <c r="C17" s="355" t="s">
        <v>93</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7"/>
    </row>
    <row r="18" spans="1:33" ht="16.5" customHeight="1" thickBot="1" x14ac:dyDescent="0.35">
      <c r="A18" s="175"/>
      <c r="B18" s="176"/>
      <c r="C18" s="197"/>
      <c r="D18" s="197">
        <v>13000317</v>
      </c>
      <c r="E18" s="197">
        <f>D18-F18</f>
        <v>4578600</v>
      </c>
      <c r="F18" s="197">
        <f>N22-N25</f>
        <v>8421717</v>
      </c>
      <c r="G18" s="197">
        <f>E22-E18</f>
        <v>1921717</v>
      </c>
      <c r="H18" s="176"/>
      <c r="I18" s="176"/>
      <c r="J18" s="176"/>
      <c r="K18" s="176"/>
      <c r="L18" s="176"/>
      <c r="M18" s="176"/>
      <c r="N18" s="176"/>
      <c r="O18" s="176"/>
      <c r="P18" s="176"/>
      <c r="Q18" s="176"/>
      <c r="R18" s="176"/>
      <c r="S18" s="176"/>
      <c r="T18" s="176"/>
      <c r="U18" s="176"/>
      <c r="V18" s="176"/>
      <c r="W18" s="176"/>
      <c r="X18" s="176"/>
      <c r="Y18" s="197"/>
      <c r="Z18" s="176"/>
      <c r="AA18" s="176"/>
      <c r="AB18" s="197"/>
      <c r="AC18" s="171"/>
      <c r="AD18" s="197"/>
      <c r="AE18" s="177"/>
    </row>
    <row r="19" spans="1:33" ht="32.1" customHeight="1" thickBot="1" x14ac:dyDescent="0.35">
      <c r="A19" s="372" t="s">
        <v>24</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73"/>
      <c r="AF19" s="20"/>
    </row>
    <row r="20" spans="1:33" ht="32.1" customHeight="1" thickBot="1" x14ac:dyDescent="0.35">
      <c r="A20" s="104" t="s">
        <v>25</v>
      </c>
      <c r="B20" s="396" t="s">
        <v>26</v>
      </c>
      <c r="C20" s="397"/>
      <c r="D20" s="397"/>
      <c r="E20" s="397"/>
      <c r="F20" s="397"/>
      <c r="G20" s="397"/>
      <c r="H20" s="397"/>
      <c r="I20" s="397"/>
      <c r="J20" s="397"/>
      <c r="K20" s="397"/>
      <c r="L20" s="397"/>
      <c r="M20" s="397"/>
      <c r="N20" s="397"/>
      <c r="O20" s="398"/>
      <c r="P20" s="372" t="s">
        <v>27</v>
      </c>
      <c r="Q20" s="399"/>
      <c r="R20" s="399"/>
      <c r="S20" s="399"/>
      <c r="T20" s="399"/>
      <c r="U20" s="399"/>
      <c r="V20" s="399"/>
      <c r="W20" s="399"/>
      <c r="X20" s="399"/>
      <c r="Y20" s="399"/>
      <c r="Z20" s="399"/>
      <c r="AA20" s="399"/>
      <c r="AB20" s="399"/>
      <c r="AC20" s="399"/>
      <c r="AD20" s="399"/>
      <c r="AE20" s="373"/>
      <c r="AF20" s="20"/>
    </row>
    <row r="21" spans="1:33" ht="32.1" customHeight="1" thickBot="1" x14ac:dyDescent="0.35">
      <c r="A21" s="178">
        <f>61614393</f>
        <v>61614393</v>
      </c>
      <c r="B21" s="114" t="s">
        <v>28</v>
      </c>
      <c r="C21" s="115" t="s">
        <v>29</v>
      </c>
      <c r="D21" s="115" t="s">
        <v>30</v>
      </c>
      <c r="E21" s="115" t="s">
        <v>31</v>
      </c>
      <c r="F21" s="115" t="s">
        <v>32</v>
      </c>
      <c r="G21" s="115" t="s">
        <v>33</v>
      </c>
      <c r="H21" s="115" t="s">
        <v>34</v>
      </c>
      <c r="I21" s="115" t="s">
        <v>35</v>
      </c>
      <c r="J21" s="115" t="s">
        <v>36</v>
      </c>
      <c r="K21" s="115" t="s">
        <v>37</v>
      </c>
      <c r="L21" s="115" t="s">
        <v>38</v>
      </c>
      <c r="M21" s="115" t="s">
        <v>39</v>
      </c>
      <c r="N21" s="115" t="s">
        <v>40</v>
      </c>
      <c r="O21" s="116" t="s">
        <v>41</v>
      </c>
      <c r="P21" s="143"/>
      <c r="Q21" s="104" t="s">
        <v>28</v>
      </c>
      <c r="R21" s="105" t="s">
        <v>29</v>
      </c>
      <c r="S21" s="105" t="s">
        <v>30</v>
      </c>
      <c r="T21" s="105" t="s">
        <v>31</v>
      </c>
      <c r="U21" s="105" t="s">
        <v>32</v>
      </c>
      <c r="V21" s="105" t="s">
        <v>33</v>
      </c>
      <c r="W21" s="105" t="s">
        <v>34</v>
      </c>
      <c r="X21" s="105" t="s">
        <v>35</v>
      </c>
      <c r="Y21" s="105" t="s">
        <v>36</v>
      </c>
      <c r="Z21" s="105" t="s">
        <v>37</v>
      </c>
      <c r="AA21" s="105" t="s">
        <v>38</v>
      </c>
      <c r="AB21" s="105" t="s">
        <v>39</v>
      </c>
      <c r="AC21" s="105" t="s">
        <v>40</v>
      </c>
      <c r="AD21" s="142" t="s">
        <v>42</v>
      </c>
      <c r="AE21" s="142" t="s">
        <v>43</v>
      </c>
      <c r="AF21" s="1"/>
    </row>
    <row r="22" spans="1:33" ht="32.1" customHeight="1" x14ac:dyDescent="0.3">
      <c r="A22" s="139" t="s">
        <v>44</v>
      </c>
      <c r="B22" s="179"/>
      <c r="C22" s="178">
        <f>48614076</f>
        <v>48614076</v>
      </c>
      <c r="D22" s="178">
        <f>6500000</f>
        <v>6500000</v>
      </c>
      <c r="E22" s="178">
        <f>6500317</f>
        <v>6500317</v>
      </c>
      <c r="F22" s="178"/>
      <c r="G22" s="178"/>
      <c r="H22" s="178"/>
      <c r="I22" s="178"/>
      <c r="J22" s="178"/>
      <c r="K22" s="178"/>
      <c r="L22" s="178"/>
      <c r="M22" s="178"/>
      <c r="N22" s="178">
        <f>SUM(B22:M22)</f>
        <v>61614393</v>
      </c>
      <c r="O22" s="180"/>
      <c r="P22" s="139" t="s">
        <v>45</v>
      </c>
      <c r="Q22" s="181"/>
      <c r="R22" s="182">
        <v>638341000</v>
      </c>
      <c r="S22" s="182"/>
      <c r="T22" s="182"/>
      <c r="U22" s="182">
        <v>9936000</v>
      </c>
      <c r="W22" s="182"/>
      <c r="X22" s="182">
        <f>78267000+12548000</f>
        <v>90815000</v>
      </c>
      <c r="Y22" s="182"/>
      <c r="Z22" s="182"/>
      <c r="AA22" s="182"/>
      <c r="AB22" s="182"/>
      <c r="AC22" s="182">
        <f>SUM(Q22:AB22)</f>
        <v>739092000</v>
      </c>
      <c r="AD22" s="171"/>
      <c r="AE22" s="183"/>
      <c r="AF22" s="1"/>
      <c r="AG22" s="1"/>
    </row>
    <row r="23" spans="1:33" ht="32.1" customHeight="1" x14ac:dyDescent="0.3">
      <c r="A23" s="140" t="s">
        <v>46</v>
      </c>
      <c r="B23" s="184"/>
      <c r="C23" s="185"/>
      <c r="D23" s="185"/>
      <c r="E23" s="185"/>
      <c r="F23" s="185"/>
      <c r="G23" s="185"/>
      <c r="H23" s="185"/>
      <c r="I23" s="185"/>
      <c r="J23" s="185"/>
      <c r="K23" s="185"/>
      <c r="L23" s="185"/>
      <c r="M23" s="185"/>
      <c r="N23" s="185">
        <f>SUM(B23:M23)</f>
        <v>0</v>
      </c>
      <c r="O23" s="186" t="str">
        <f>IFERROR(N23/(SUMIF(B23:M23,"&gt;0",B22:M22))," ")</f>
        <v xml:space="preserve"> </v>
      </c>
      <c r="P23" s="140" t="s">
        <v>47</v>
      </c>
      <c r="Q23" s="184">
        <v>11962500</v>
      </c>
      <c r="R23" s="185">
        <f>289755155-Q23</f>
        <v>277792655</v>
      </c>
      <c r="S23" s="185"/>
      <c r="T23" s="185"/>
      <c r="U23" s="185"/>
      <c r="V23" s="185"/>
      <c r="W23" s="185"/>
      <c r="X23" s="185"/>
      <c r="Y23" s="185"/>
      <c r="Z23" s="185"/>
      <c r="AA23" s="185"/>
      <c r="AB23" s="185"/>
      <c r="AC23" s="185">
        <f>SUM(Q23:AB23)</f>
        <v>289755155</v>
      </c>
      <c r="AD23" s="185">
        <f>AC23/SUM(Q22:AB22)</f>
        <v>0.39204206648157469</v>
      </c>
      <c r="AE23" s="187">
        <f>AC23/AC22</f>
        <v>0.39204206648157469</v>
      </c>
      <c r="AF23" s="1"/>
    </row>
    <row r="24" spans="1:33" ht="32.1" customHeight="1" x14ac:dyDescent="0.3">
      <c r="A24" s="140" t="s">
        <v>48</v>
      </c>
      <c r="B24" s="184"/>
      <c r="C24" s="185"/>
      <c r="D24" s="185"/>
      <c r="E24" s="185"/>
      <c r="F24" s="185"/>
      <c r="G24" s="185"/>
      <c r="H24" s="185"/>
      <c r="I24" s="185"/>
      <c r="J24" s="185"/>
      <c r="K24" s="185"/>
      <c r="L24" s="185"/>
      <c r="M24" s="185"/>
      <c r="N24" s="185">
        <f>SUM(B24:M24)</f>
        <v>0</v>
      </c>
      <c r="O24" s="188"/>
      <c r="P24" s="140" t="s">
        <v>44</v>
      </c>
      <c r="Q24" s="184"/>
      <c r="R24" s="185">
        <v>7740930.9301543795</v>
      </c>
      <c r="S24" s="185">
        <v>58338430.930154376</v>
      </c>
      <c r="T24" s="185">
        <v>61878792.790463135</v>
      </c>
      <c r="U24" s="185">
        <v>63325457.840763487</v>
      </c>
      <c r="V24" s="185">
        <v>64052923.305840679</v>
      </c>
      <c r="W24" s="185">
        <v>79058423.305840671</v>
      </c>
      <c r="X24" s="185">
        <f>68396944.1661495-18145244</f>
        <v>50251700.166149497</v>
      </c>
      <c r="Y24" s="185">
        <f>65326388-37000000+15000000+4536311</f>
        <v>47862699</v>
      </c>
      <c r="Z24" s="185">
        <f>65053388.7709179+4536611+6274000</f>
        <v>75863999.770917892</v>
      </c>
      <c r="AA24" s="185">
        <f>65053388.7709179+4536311+6274000</f>
        <v>75863699.770917892</v>
      </c>
      <c r="AB24" s="185">
        <f>128323250+37000000-15000000+4531692</f>
        <v>154854942</v>
      </c>
      <c r="AC24" s="185">
        <f>SUM(Q24:AB24)</f>
        <v>739091999.81120205</v>
      </c>
      <c r="AD24" s="185"/>
      <c r="AE24" s="189"/>
      <c r="AF24" s="1"/>
    </row>
    <row r="25" spans="1:33" ht="32.1" customHeight="1" thickBot="1" x14ac:dyDescent="0.35">
      <c r="A25" s="141" t="s">
        <v>49</v>
      </c>
      <c r="B25" s="191">
        <f>48614076</f>
        <v>48614076</v>
      </c>
      <c r="C25" s="191">
        <f>53192676-B25</f>
        <v>4578600</v>
      </c>
      <c r="D25" s="191"/>
      <c r="E25" s="191"/>
      <c r="F25" s="191"/>
      <c r="G25" s="191"/>
      <c r="H25" s="191"/>
      <c r="I25" s="191"/>
      <c r="J25" s="191"/>
      <c r="K25" s="191"/>
      <c r="L25" s="191"/>
      <c r="M25" s="191"/>
      <c r="N25" s="191">
        <f>SUM(B25:M25)</f>
        <v>53192676</v>
      </c>
      <c r="O25" s="192" t="str">
        <f>IFERROR(N25/(SUMIF(B25:M25,"&gt;0",B24:M24))," ")</f>
        <v xml:space="preserve"> </v>
      </c>
      <c r="P25" s="141" t="s">
        <v>49</v>
      </c>
      <c r="Q25" s="190">
        <v>0</v>
      </c>
      <c r="R25" s="191">
        <v>0</v>
      </c>
      <c r="S25" s="191"/>
      <c r="T25" s="191"/>
      <c r="U25" s="191"/>
      <c r="V25" s="191"/>
      <c r="W25" s="191"/>
      <c r="X25" s="191"/>
      <c r="Y25" s="191"/>
      <c r="Z25" s="191"/>
      <c r="AA25" s="191"/>
      <c r="AB25" s="191"/>
      <c r="AC25" s="191">
        <f>SUM(Q25:AB25)</f>
        <v>0</v>
      </c>
      <c r="AD25" s="191">
        <f>AC25/SUM(Q24:AB24)</f>
        <v>0</v>
      </c>
      <c r="AE25" s="193">
        <f>AC25/AC24</f>
        <v>0</v>
      </c>
      <c r="AF25" s="1"/>
    </row>
    <row r="26" spans="1:33" customFormat="1" ht="16.5" customHeight="1" thickBot="1" x14ac:dyDescent="0.3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row>
    <row r="27" spans="1:33" ht="33.9" customHeight="1" x14ac:dyDescent="0.3">
      <c r="A27" s="329" t="s">
        <v>50</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1"/>
    </row>
    <row r="28" spans="1:33" ht="15" customHeight="1" x14ac:dyDescent="0.3">
      <c r="A28" s="305" t="s">
        <v>51</v>
      </c>
      <c r="B28" s="307" t="s">
        <v>52</v>
      </c>
      <c r="C28" s="307"/>
      <c r="D28" s="307" t="s">
        <v>53</v>
      </c>
      <c r="E28" s="307"/>
      <c r="F28" s="307"/>
      <c r="G28" s="307"/>
      <c r="H28" s="307"/>
      <c r="I28" s="307"/>
      <c r="J28" s="307"/>
      <c r="K28" s="307"/>
      <c r="L28" s="307"/>
      <c r="M28" s="307"/>
      <c r="N28" s="307"/>
      <c r="O28" s="307"/>
      <c r="P28" s="307" t="s">
        <v>40</v>
      </c>
      <c r="Q28" s="307" t="s">
        <v>54</v>
      </c>
      <c r="R28" s="307"/>
      <c r="S28" s="307"/>
      <c r="T28" s="307"/>
      <c r="U28" s="307"/>
      <c r="V28" s="307"/>
      <c r="W28" s="307"/>
      <c r="X28" s="307"/>
      <c r="Y28" s="307" t="s">
        <v>55</v>
      </c>
      <c r="Z28" s="307"/>
      <c r="AA28" s="307"/>
      <c r="AB28" s="307"/>
      <c r="AC28" s="307"/>
      <c r="AD28" s="307"/>
      <c r="AE28" s="332"/>
    </row>
    <row r="29" spans="1:33" ht="27" customHeight="1" x14ac:dyDescent="0.3">
      <c r="A29" s="305"/>
      <c r="B29" s="307"/>
      <c r="C29" s="307"/>
      <c r="D29" s="100" t="s">
        <v>28</v>
      </c>
      <c r="E29" s="100" t="s">
        <v>29</v>
      </c>
      <c r="F29" s="100" t="s">
        <v>30</v>
      </c>
      <c r="G29" s="100" t="s">
        <v>31</v>
      </c>
      <c r="H29" s="100" t="s">
        <v>32</v>
      </c>
      <c r="I29" s="100" t="s">
        <v>33</v>
      </c>
      <c r="J29" s="100" t="s">
        <v>34</v>
      </c>
      <c r="K29" s="100" t="s">
        <v>35</v>
      </c>
      <c r="L29" s="100" t="s">
        <v>36</v>
      </c>
      <c r="M29" s="100" t="s">
        <v>37</v>
      </c>
      <c r="N29" s="100" t="s">
        <v>38</v>
      </c>
      <c r="O29" s="100" t="s">
        <v>39</v>
      </c>
      <c r="P29" s="307"/>
      <c r="Q29" s="307"/>
      <c r="R29" s="307"/>
      <c r="S29" s="307"/>
      <c r="T29" s="307"/>
      <c r="U29" s="307"/>
      <c r="V29" s="307"/>
      <c r="W29" s="307"/>
      <c r="X29" s="307"/>
      <c r="Y29" s="307"/>
      <c r="Z29" s="307"/>
      <c r="AA29" s="307"/>
      <c r="AB29" s="307"/>
      <c r="AC29" s="307"/>
      <c r="AD29" s="307"/>
      <c r="AE29" s="332"/>
    </row>
    <row r="30" spans="1:33" ht="61.95" customHeight="1" thickBot="1" x14ac:dyDescent="0.35">
      <c r="A30" s="110" t="s">
        <v>93</v>
      </c>
      <c r="B30" s="403"/>
      <c r="C30" s="403"/>
      <c r="D30" s="103"/>
      <c r="E30" s="103"/>
      <c r="F30" s="103"/>
      <c r="G30" s="103"/>
      <c r="H30" s="103"/>
      <c r="I30" s="103"/>
      <c r="J30" s="103"/>
      <c r="K30" s="103"/>
      <c r="L30" s="103"/>
      <c r="M30" s="103"/>
      <c r="N30" s="103"/>
      <c r="O30" s="103"/>
      <c r="P30" s="111">
        <f>SUM(D30:O30)</f>
        <v>0</v>
      </c>
      <c r="Q30" s="394" t="s">
        <v>483</v>
      </c>
      <c r="R30" s="394"/>
      <c r="S30" s="394"/>
      <c r="T30" s="394"/>
      <c r="U30" s="394"/>
      <c r="V30" s="394"/>
      <c r="W30" s="394"/>
      <c r="X30" s="394"/>
      <c r="Y30" s="394" t="s">
        <v>114</v>
      </c>
      <c r="Z30" s="394"/>
      <c r="AA30" s="394"/>
      <c r="AB30" s="394"/>
      <c r="AC30" s="394"/>
      <c r="AD30" s="394"/>
      <c r="AE30" s="395"/>
    </row>
    <row r="31" spans="1:33" ht="12" customHeight="1" thickBot="1" x14ac:dyDescent="0.35">
      <c r="A31" s="121"/>
      <c r="B31" s="122"/>
      <c r="C31" s="122"/>
      <c r="D31" s="9"/>
      <c r="E31" s="9"/>
      <c r="F31" s="9"/>
      <c r="G31" s="9"/>
      <c r="H31" s="9"/>
      <c r="I31" s="9"/>
      <c r="J31" s="9"/>
      <c r="K31" s="9"/>
      <c r="L31" s="9"/>
      <c r="M31" s="9"/>
      <c r="N31" s="9"/>
      <c r="O31" s="9"/>
      <c r="P31" s="123"/>
      <c r="Q31" s="195"/>
      <c r="R31" s="195"/>
      <c r="S31" s="195"/>
      <c r="T31" s="195"/>
      <c r="U31" s="195"/>
      <c r="V31" s="195"/>
      <c r="W31" s="195"/>
      <c r="X31" s="195"/>
      <c r="Y31" s="195"/>
      <c r="Z31" s="195"/>
      <c r="AA31" s="195"/>
      <c r="AB31" s="195"/>
      <c r="AC31" s="195"/>
      <c r="AD31" s="195"/>
      <c r="AE31" s="196"/>
    </row>
    <row r="32" spans="1:33" ht="45" customHeight="1" x14ac:dyDescent="0.3">
      <c r="A32" s="308" t="s">
        <v>56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10"/>
    </row>
    <row r="33" spans="1:41" ht="23.1" customHeight="1" x14ac:dyDescent="0.3">
      <c r="A33" s="305" t="s">
        <v>57</v>
      </c>
      <c r="B33" s="307" t="s">
        <v>58</v>
      </c>
      <c r="C33" s="307" t="s">
        <v>52</v>
      </c>
      <c r="D33" s="307" t="s">
        <v>59</v>
      </c>
      <c r="E33" s="307"/>
      <c r="F33" s="307"/>
      <c r="G33" s="307"/>
      <c r="H33" s="307"/>
      <c r="I33" s="307"/>
      <c r="J33" s="307"/>
      <c r="K33" s="307"/>
      <c r="L33" s="307"/>
      <c r="M33" s="307"/>
      <c r="N33" s="307"/>
      <c r="O33" s="307"/>
      <c r="P33" s="307"/>
      <c r="Q33" s="307" t="s">
        <v>60</v>
      </c>
      <c r="R33" s="307"/>
      <c r="S33" s="307"/>
      <c r="T33" s="307"/>
      <c r="U33" s="307"/>
      <c r="V33" s="307"/>
      <c r="W33" s="307"/>
      <c r="X33" s="307"/>
      <c r="Y33" s="307"/>
      <c r="Z33" s="307"/>
      <c r="AA33" s="307"/>
      <c r="AB33" s="307"/>
      <c r="AC33" s="307"/>
      <c r="AD33" s="307"/>
      <c r="AE33" s="332"/>
      <c r="AG33" s="21"/>
      <c r="AH33" s="21"/>
      <c r="AI33" s="21"/>
      <c r="AJ33" s="21"/>
      <c r="AK33" s="21"/>
      <c r="AL33" s="21"/>
      <c r="AM33" s="21"/>
      <c r="AN33" s="21"/>
      <c r="AO33" s="21"/>
    </row>
    <row r="34" spans="1:41" ht="27" customHeight="1" x14ac:dyDescent="0.3">
      <c r="A34" s="305"/>
      <c r="B34" s="307"/>
      <c r="C34" s="333"/>
      <c r="D34" s="100" t="s">
        <v>28</v>
      </c>
      <c r="E34" s="100" t="s">
        <v>29</v>
      </c>
      <c r="F34" s="100" t="s">
        <v>30</v>
      </c>
      <c r="G34" s="100" t="s">
        <v>31</v>
      </c>
      <c r="H34" s="100" t="s">
        <v>32</v>
      </c>
      <c r="I34" s="100" t="s">
        <v>33</v>
      </c>
      <c r="J34" s="100" t="s">
        <v>34</v>
      </c>
      <c r="K34" s="100" t="s">
        <v>35</v>
      </c>
      <c r="L34" s="100" t="s">
        <v>36</v>
      </c>
      <c r="M34" s="100" t="s">
        <v>37</v>
      </c>
      <c r="N34" s="100" t="s">
        <v>38</v>
      </c>
      <c r="O34" s="100" t="s">
        <v>39</v>
      </c>
      <c r="P34" s="100" t="s">
        <v>40</v>
      </c>
      <c r="Q34" s="287" t="s">
        <v>61</v>
      </c>
      <c r="R34" s="288"/>
      <c r="S34" s="288"/>
      <c r="T34" s="311"/>
      <c r="U34" s="307" t="s">
        <v>62</v>
      </c>
      <c r="V34" s="307"/>
      <c r="W34" s="307"/>
      <c r="X34" s="307"/>
      <c r="Y34" s="307" t="s">
        <v>63</v>
      </c>
      <c r="Z34" s="307"/>
      <c r="AA34" s="307"/>
      <c r="AB34" s="307"/>
      <c r="AC34" s="307" t="s">
        <v>64</v>
      </c>
      <c r="AD34" s="307"/>
      <c r="AE34" s="332"/>
      <c r="AG34" s="21"/>
      <c r="AH34" s="21"/>
      <c r="AI34" s="21"/>
      <c r="AJ34" s="21"/>
      <c r="AK34" s="21"/>
      <c r="AL34" s="21"/>
      <c r="AM34" s="21"/>
      <c r="AN34" s="21"/>
      <c r="AO34" s="21"/>
    </row>
    <row r="35" spans="1:41" ht="45" customHeight="1" x14ac:dyDescent="0.3">
      <c r="A35" s="300" t="s">
        <v>93</v>
      </c>
      <c r="B35" s="430">
        <v>0.2</v>
      </c>
      <c r="C35" s="23" t="s">
        <v>65</v>
      </c>
      <c r="D35" s="248">
        <f>D99</f>
        <v>2.2400000000000002E-3</v>
      </c>
      <c r="E35" s="248">
        <f t="shared" ref="E35:O35" si="0">E99</f>
        <v>5.3439999999999994E-2</v>
      </c>
      <c r="F35" s="248">
        <f t="shared" si="0"/>
        <v>8.4479999999999986E-2</v>
      </c>
      <c r="G35" s="248">
        <f t="shared" si="0"/>
        <v>9.1200000000000003E-2</v>
      </c>
      <c r="H35" s="248">
        <f t="shared" si="0"/>
        <v>8.8639999999999983E-2</v>
      </c>
      <c r="I35" s="248">
        <f t="shared" si="0"/>
        <v>0</v>
      </c>
      <c r="J35" s="248">
        <f t="shared" si="0"/>
        <v>0</v>
      </c>
      <c r="K35" s="248">
        <f t="shared" si="0"/>
        <v>0</v>
      </c>
      <c r="L35" s="248">
        <f t="shared" si="0"/>
        <v>0</v>
      </c>
      <c r="M35" s="248">
        <f t="shared" si="0"/>
        <v>0</v>
      </c>
      <c r="N35" s="248">
        <f t="shared" si="0"/>
        <v>0</v>
      </c>
      <c r="O35" s="248">
        <f t="shared" si="0"/>
        <v>0</v>
      </c>
      <c r="P35" s="245">
        <f>SUM(D35:O35)</f>
        <v>0.31999999999999995</v>
      </c>
      <c r="Q35" s="432" t="s">
        <v>518</v>
      </c>
      <c r="R35" s="433"/>
      <c r="S35" s="433"/>
      <c r="T35" s="434"/>
      <c r="U35" s="438" t="s">
        <v>517</v>
      </c>
      <c r="V35" s="438"/>
      <c r="W35" s="438"/>
      <c r="X35" s="438"/>
      <c r="Y35" s="438" t="s">
        <v>516</v>
      </c>
      <c r="Z35" s="438"/>
      <c r="AA35" s="438"/>
      <c r="AB35" s="438"/>
      <c r="AC35" s="438" t="s">
        <v>458</v>
      </c>
      <c r="AD35" s="438"/>
      <c r="AE35" s="440"/>
      <c r="AG35" s="21"/>
      <c r="AH35" s="21"/>
      <c r="AI35" s="21"/>
      <c r="AJ35" s="21"/>
      <c r="AK35" s="21"/>
      <c r="AL35" s="21"/>
      <c r="AM35" s="21"/>
      <c r="AN35" s="21"/>
      <c r="AO35" s="21"/>
    </row>
    <row r="36" spans="1:41" ht="45" customHeight="1" thickBot="1" x14ac:dyDescent="0.35">
      <c r="A36" s="301"/>
      <c r="B36" s="431"/>
      <c r="C36" s="24" t="s">
        <v>66</v>
      </c>
      <c r="D36" s="247">
        <f>D96</f>
        <v>2.2400000000000002E-3</v>
      </c>
      <c r="E36" s="247">
        <f t="shared" ref="E36:O36" si="1">E96</f>
        <v>4.8640000000000003E-2</v>
      </c>
      <c r="F36" s="247">
        <f t="shared" si="1"/>
        <v>0</v>
      </c>
      <c r="G36" s="247">
        <f t="shared" si="1"/>
        <v>0</v>
      </c>
      <c r="H36" s="247">
        <f t="shared" si="1"/>
        <v>0</v>
      </c>
      <c r="I36" s="247">
        <f t="shared" si="1"/>
        <v>0</v>
      </c>
      <c r="J36" s="247">
        <f t="shared" si="1"/>
        <v>0</v>
      </c>
      <c r="K36" s="247">
        <f t="shared" si="1"/>
        <v>0</v>
      </c>
      <c r="L36" s="247">
        <f t="shared" si="1"/>
        <v>0</v>
      </c>
      <c r="M36" s="247">
        <f t="shared" si="1"/>
        <v>0</v>
      </c>
      <c r="N36" s="247">
        <f t="shared" si="1"/>
        <v>0</v>
      </c>
      <c r="O36" s="247">
        <f t="shared" si="1"/>
        <v>0</v>
      </c>
      <c r="P36" s="246">
        <f>SUM(D36:O36)</f>
        <v>5.0880000000000002E-2</v>
      </c>
      <c r="Q36" s="435"/>
      <c r="R36" s="436"/>
      <c r="S36" s="436"/>
      <c r="T36" s="437"/>
      <c r="U36" s="439"/>
      <c r="V36" s="439"/>
      <c r="W36" s="439"/>
      <c r="X36" s="439"/>
      <c r="Y36" s="439"/>
      <c r="Z36" s="439"/>
      <c r="AA36" s="439"/>
      <c r="AB36" s="439"/>
      <c r="AC36" s="439"/>
      <c r="AD36" s="439"/>
      <c r="AE36" s="441"/>
      <c r="AG36" s="21"/>
      <c r="AH36" s="21"/>
      <c r="AI36" s="21"/>
      <c r="AJ36" s="21"/>
      <c r="AK36" s="21"/>
      <c r="AL36" s="21"/>
      <c r="AM36" s="21"/>
      <c r="AN36" s="21"/>
      <c r="AO36" s="21"/>
    </row>
    <row r="37" spans="1:41" customFormat="1" ht="17.25" customHeight="1" thickBot="1" x14ac:dyDescent="0.35">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row>
    <row r="38" spans="1:41" ht="45" customHeight="1" thickBot="1" x14ac:dyDescent="0.35">
      <c r="A38" s="308" t="s">
        <v>67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G38" s="21"/>
      <c r="AH38" s="21"/>
      <c r="AI38" s="21"/>
      <c r="AJ38" s="21"/>
      <c r="AK38" s="21"/>
      <c r="AL38" s="21"/>
      <c r="AM38" s="21"/>
      <c r="AN38" s="21"/>
      <c r="AO38" s="21"/>
    </row>
    <row r="39" spans="1:41" ht="26.1" customHeight="1" x14ac:dyDescent="0.3">
      <c r="A39" s="304" t="s">
        <v>68</v>
      </c>
      <c r="B39" s="306" t="s">
        <v>69</v>
      </c>
      <c r="C39" s="312" t="s">
        <v>70</v>
      </c>
      <c r="D39" s="314" t="s">
        <v>71</v>
      </c>
      <c r="E39" s="315"/>
      <c r="F39" s="315"/>
      <c r="G39" s="315"/>
      <c r="H39" s="315"/>
      <c r="I39" s="315"/>
      <c r="J39" s="315"/>
      <c r="K39" s="315"/>
      <c r="L39" s="315"/>
      <c r="M39" s="315"/>
      <c r="N39" s="315"/>
      <c r="O39" s="315"/>
      <c r="P39" s="316"/>
      <c r="Q39" s="306" t="s">
        <v>72</v>
      </c>
      <c r="R39" s="306"/>
      <c r="S39" s="306"/>
      <c r="T39" s="306"/>
      <c r="U39" s="306"/>
      <c r="V39" s="306"/>
      <c r="W39" s="306"/>
      <c r="X39" s="306"/>
      <c r="Y39" s="306"/>
      <c r="Z39" s="306"/>
      <c r="AA39" s="306"/>
      <c r="AB39" s="306"/>
      <c r="AC39" s="306"/>
      <c r="AD39" s="306"/>
      <c r="AE39" s="328"/>
      <c r="AG39" s="21"/>
      <c r="AH39" s="21"/>
      <c r="AI39" s="21"/>
      <c r="AJ39" s="21"/>
      <c r="AK39" s="21"/>
      <c r="AL39" s="21"/>
      <c r="AM39" s="21"/>
      <c r="AN39" s="21"/>
      <c r="AO39" s="21"/>
    </row>
    <row r="40" spans="1:41" ht="26.1" customHeight="1" x14ac:dyDescent="0.3">
      <c r="A40" s="305"/>
      <c r="B40" s="307"/>
      <c r="C40" s="313"/>
      <c r="D40" s="100" t="s">
        <v>73</v>
      </c>
      <c r="E40" s="100" t="s">
        <v>74</v>
      </c>
      <c r="F40" s="100" t="s">
        <v>75</v>
      </c>
      <c r="G40" s="100" t="s">
        <v>76</v>
      </c>
      <c r="H40" s="100" t="s">
        <v>77</v>
      </c>
      <c r="I40" s="100" t="s">
        <v>78</v>
      </c>
      <c r="J40" s="100" t="s">
        <v>79</v>
      </c>
      <c r="K40" s="100" t="s">
        <v>80</v>
      </c>
      <c r="L40" s="100" t="s">
        <v>81</v>
      </c>
      <c r="M40" s="100" t="s">
        <v>82</v>
      </c>
      <c r="N40" s="100" t="s">
        <v>83</v>
      </c>
      <c r="O40" s="100" t="s">
        <v>84</v>
      </c>
      <c r="P40" s="100" t="s">
        <v>85</v>
      </c>
      <c r="Q40" s="287" t="s">
        <v>86</v>
      </c>
      <c r="R40" s="288"/>
      <c r="S40" s="288"/>
      <c r="T40" s="288"/>
      <c r="U40" s="288"/>
      <c r="V40" s="288"/>
      <c r="W40" s="288"/>
      <c r="X40" s="311"/>
      <c r="Y40" s="287" t="s">
        <v>87</v>
      </c>
      <c r="Z40" s="288"/>
      <c r="AA40" s="288"/>
      <c r="AB40" s="288"/>
      <c r="AC40" s="288"/>
      <c r="AD40" s="288"/>
      <c r="AE40" s="289"/>
      <c r="AG40" s="26"/>
      <c r="AH40" s="26"/>
      <c r="AI40" s="26"/>
      <c r="AJ40" s="26"/>
      <c r="AK40" s="26"/>
      <c r="AL40" s="26"/>
      <c r="AM40" s="26"/>
      <c r="AN40" s="26"/>
      <c r="AO40" s="26"/>
    </row>
    <row r="41" spans="1:41" ht="66" customHeight="1" x14ac:dyDescent="0.3">
      <c r="A41" s="295" t="s">
        <v>455</v>
      </c>
      <c r="B41" s="414">
        <v>0.02</v>
      </c>
      <c r="C41" s="30" t="s">
        <v>65</v>
      </c>
      <c r="D41" s="31">
        <v>0.02</v>
      </c>
      <c r="E41" s="31">
        <v>0.2</v>
      </c>
      <c r="F41" s="31">
        <v>0.27</v>
      </c>
      <c r="G41" s="31">
        <v>0.26</v>
      </c>
      <c r="H41" s="31">
        <v>0.25</v>
      </c>
      <c r="I41" s="31">
        <v>0</v>
      </c>
      <c r="J41" s="31"/>
      <c r="K41" s="31"/>
      <c r="L41" s="31"/>
      <c r="M41" s="31"/>
      <c r="N41" s="31"/>
      <c r="O41" s="31"/>
      <c r="P41" s="112">
        <f>SUM(D41:O41)</f>
        <v>1</v>
      </c>
      <c r="Q41" s="417" t="s">
        <v>499</v>
      </c>
      <c r="R41" s="418"/>
      <c r="S41" s="418"/>
      <c r="T41" s="418"/>
      <c r="U41" s="418"/>
      <c r="V41" s="418"/>
      <c r="W41" s="418"/>
      <c r="X41" s="419"/>
      <c r="Y41" s="281" t="s">
        <v>496</v>
      </c>
      <c r="Z41" s="290"/>
      <c r="AA41" s="290"/>
      <c r="AB41" s="290"/>
      <c r="AC41" s="290"/>
      <c r="AD41" s="290"/>
      <c r="AE41" s="291"/>
      <c r="AG41" s="26"/>
      <c r="AH41" s="26"/>
      <c r="AI41" s="26"/>
      <c r="AJ41" s="26"/>
      <c r="AK41" s="26"/>
      <c r="AL41" s="26"/>
      <c r="AM41" s="26"/>
      <c r="AN41" s="26"/>
      <c r="AO41" s="26"/>
    </row>
    <row r="42" spans="1:41" ht="66" customHeight="1" x14ac:dyDescent="0.3">
      <c r="A42" s="295"/>
      <c r="B42" s="415"/>
      <c r="C42" s="28" t="s">
        <v>66</v>
      </c>
      <c r="D42" s="29">
        <v>0.02</v>
      </c>
      <c r="E42" s="29">
        <v>0.2</v>
      </c>
      <c r="F42" s="29"/>
      <c r="G42" s="29"/>
      <c r="H42" s="29"/>
      <c r="I42" s="29"/>
      <c r="J42" s="29"/>
      <c r="K42" s="29"/>
      <c r="L42" s="29"/>
      <c r="M42" s="29"/>
      <c r="N42" s="29"/>
      <c r="O42" s="29"/>
      <c r="P42" s="112">
        <f t="shared" ref="P42" si="2">SUM(D42:O42)</f>
        <v>0.22</v>
      </c>
      <c r="Q42" s="420"/>
      <c r="R42" s="421"/>
      <c r="S42" s="421"/>
      <c r="T42" s="421"/>
      <c r="U42" s="421"/>
      <c r="V42" s="421"/>
      <c r="W42" s="421"/>
      <c r="X42" s="422"/>
      <c r="Y42" s="292"/>
      <c r="Z42" s="293"/>
      <c r="AA42" s="293"/>
      <c r="AB42" s="293"/>
      <c r="AC42" s="293"/>
      <c r="AD42" s="293"/>
      <c r="AE42" s="294"/>
      <c r="AG42" s="26"/>
      <c r="AH42" s="26"/>
      <c r="AI42" s="26"/>
      <c r="AJ42" s="26"/>
      <c r="AK42" s="26"/>
      <c r="AL42" s="26"/>
      <c r="AM42" s="26"/>
      <c r="AN42" s="26"/>
      <c r="AO42" s="26"/>
    </row>
    <row r="43" spans="1:41" ht="66" customHeight="1" x14ac:dyDescent="0.3">
      <c r="A43" s="295" t="s">
        <v>94</v>
      </c>
      <c r="B43" s="414">
        <v>0.02</v>
      </c>
      <c r="C43" s="30" t="s">
        <v>65</v>
      </c>
      <c r="D43" s="31">
        <v>0</v>
      </c>
      <c r="E43" s="31">
        <v>0.22</v>
      </c>
      <c r="F43" s="31">
        <v>0.27</v>
      </c>
      <c r="G43" s="31">
        <v>0.26</v>
      </c>
      <c r="H43" s="31">
        <v>0.25</v>
      </c>
      <c r="I43" s="31">
        <v>0</v>
      </c>
      <c r="J43" s="31"/>
      <c r="K43" s="31"/>
      <c r="L43" s="31"/>
      <c r="M43" s="31"/>
      <c r="N43" s="31"/>
      <c r="O43" s="31"/>
      <c r="P43" s="112">
        <f>SUM(D43:O43)</f>
        <v>1</v>
      </c>
      <c r="Q43" s="417" t="s">
        <v>500</v>
      </c>
      <c r="R43" s="418"/>
      <c r="S43" s="418"/>
      <c r="T43" s="418"/>
      <c r="U43" s="418"/>
      <c r="V43" s="418"/>
      <c r="W43" s="418"/>
      <c r="X43" s="419"/>
      <c r="Y43" s="281" t="s">
        <v>497</v>
      </c>
      <c r="Z43" s="282"/>
      <c r="AA43" s="282"/>
      <c r="AB43" s="282"/>
      <c r="AC43" s="282"/>
      <c r="AD43" s="282"/>
      <c r="AE43" s="283"/>
      <c r="AG43" s="26"/>
      <c r="AH43" s="26"/>
      <c r="AI43" s="26"/>
      <c r="AJ43" s="26"/>
      <c r="AK43" s="26"/>
      <c r="AL43" s="26"/>
      <c r="AM43" s="26"/>
      <c r="AN43" s="26"/>
      <c r="AO43" s="26"/>
    </row>
    <row r="44" spans="1:41" ht="66" customHeight="1" x14ac:dyDescent="0.3">
      <c r="A44" s="295"/>
      <c r="B44" s="415"/>
      <c r="C44" s="28" t="s">
        <v>66</v>
      </c>
      <c r="D44" s="29">
        <v>0</v>
      </c>
      <c r="E44" s="29">
        <v>0.22</v>
      </c>
      <c r="F44" s="29"/>
      <c r="G44" s="29"/>
      <c r="H44" s="29"/>
      <c r="I44" s="29"/>
      <c r="J44" s="29"/>
      <c r="K44" s="29"/>
      <c r="L44" s="29"/>
      <c r="M44" s="29"/>
      <c r="N44" s="29"/>
      <c r="O44" s="29"/>
      <c r="P44" s="112">
        <f t="shared" ref="P44:P60" si="3">SUM(D44:O44)</f>
        <v>0.22</v>
      </c>
      <c r="Q44" s="420"/>
      <c r="R44" s="421"/>
      <c r="S44" s="421"/>
      <c r="T44" s="421"/>
      <c r="U44" s="421"/>
      <c r="V44" s="421"/>
      <c r="W44" s="421"/>
      <c r="X44" s="422"/>
      <c r="Y44" s="284"/>
      <c r="Z44" s="285"/>
      <c r="AA44" s="285"/>
      <c r="AB44" s="285"/>
      <c r="AC44" s="285"/>
      <c r="AD44" s="285"/>
      <c r="AE44" s="286"/>
      <c r="AG44" s="26"/>
      <c r="AH44" s="26"/>
      <c r="AI44" s="26"/>
      <c r="AJ44" s="26"/>
      <c r="AK44" s="26"/>
      <c r="AL44" s="26"/>
      <c r="AM44" s="26"/>
      <c r="AN44" s="26"/>
      <c r="AO44" s="26"/>
    </row>
    <row r="45" spans="1:41" ht="66" customHeight="1" x14ac:dyDescent="0.3">
      <c r="A45" s="423" t="s">
        <v>95</v>
      </c>
      <c r="B45" s="414">
        <v>0.02</v>
      </c>
      <c r="C45" s="30" t="s">
        <v>65</v>
      </c>
      <c r="D45" s="31">
        <v>0.02</v>
      </c>
      <c r="E45" s="31">
        <v>0.2</v>
      </c>
      <c r="F45" s="31">
        <v>0.27</v>
      </c>
      <c r="G45" s="31">
        <v>0.26</v>
      </c>
      <c r="H45" s="31">
        <v>0.25</v>
      </c>
      <c r="I45" s="31">
        <v>0</v>
      </c>
      <c r="J45" s="31"/>
      <c r="K45" s="31"/>
      <c r="L45" s="31"/>
      <c r="M45" s="31"/>
      <c r="N45" s="31"/>
      <c r="O45" s="31"/>
      <c r="P45" s="112">
        <f>SUM(D45:O45)</f>
        <v>1</v>
      </c>
      <c r="Q45" s="417" t="s">
        <v>501</v>
      </c>
      <c r="R45" s="418"/>
      <c r="S45" s="418"/>
      <c r="T45" s="418"/>
      <c r="U45" s="418"/>
      <c r="V45" s="418"/>
      <c r="W45" s="418"/>
      <c r="X45" s="419"/>
      <c r="Y45" s="281" t="s">
        <v>498</v>
      </c>
      <c r="Z45" s="290"/>
      <c r="AA45" s="290"/>
      <c r="AB45" s="290"/>
      <c r="AC45" s="290"/>
      <c r="AD45" s="290"/>
      <c r="AE45" s="291"/>
      <c r="AG45" s="26"/>
      <c r="AH45" s="26"/>
      <c r="AI45" s="26"/>
      <c r="AJ45" s="26"/>
      <c r="AK45" s="26"/>
      <c r="AL45" s="26"/>
      <c r="AM45" s="26"/>
      <c r="AN45" s="26"/>
      <c r="AO45" s="26"/>
    </row>
    <row r="46" spans="1:41" ht="66" customHeight="1" x14ac:dyDescent="0.3">
      <c r="A46" s="424"/>
      <c r="B46" s="415"/>
      <c r="C46" s="28" t="s">
        <v>66</v>
      </c>
      <c r="D46" s="29">
        <v>0.02</v>
      </c>
      <c r="E46" s="29">
        <v>0.2</v>
      </c>
      <c r="F46" s="29"/>
      <c r="G46" s="29"/>
      <c r="H46" s="29"/>
      <c r="I46" s="29"/>
      <c r="J46" s="29"/>
      <c r="K46" s="29"/>
      <c r="L46" s="29"/>
      <c r="M46" s="29"/>
      <c r="N46" s="29"/>
      <c r="O46" s="29"/>
      <c r="P46" s="112">
        <f t="shared" si="3"/>
        <v>0.22</v>
      </c>
      <c r="Q46" s="420"/>
      <c r="R46" s="421"/>
      <c r="S46" s="421"/>
      <c r="T46" s="421"/>
      <c r="U46" s="421"/>
      <c r="V46" s="421"/>
      <c r="W46" s="421"/>
      <c r="X46" s="422"/>
      <c r="Y46" s="292"/>
      <c r="Z46" s="293"/>
      <c r="AA46" s="293"/>
      <c r="AB46" s="293"/>
      <c r="AC46" s="293"/>
      <c r="AD46" s="293"/>
      <c r="AE46" s="294"/>
      <c r="AG46" s="26"/>
      <c r="AH46" s="26"/>
      <c r="AI46" s="26"/>
      <c r="AJ46" s="26"/>
      <c r="AK46" s="26"/>
      <c r="AL46" s="26"/>
      <c r="AM46" s="26"/>
      <c r="AN46" s="26"/>
      <c r="AO46" s="26"/>
    </row>
    <row r="47" spans="1:41" ht="66" customHeight="1" x14ac:dyDescent="0.3">
      <c r="A47" s="423" t="s">
        <v>96</v>
      </c>
      <c r="B47" s="414">
        <v>0.02</v>
      </c>
      <c r="C47" s="145" t="s">
        <v>65</v>
      </c>
      <c r="D47" s="147">
        <v>0.01</v>
      </c>
      <c r="E47" s="147">
        <v>0.15</v>
      </c>
      <c r="F47" s="147">
        <v>0.3</v>
      </c>
      <c r="G47" s="147">
        <v>0.34</v>
      </c>
      <c r="H47" s="147">
        <v>0.2</v>
      </c>
      <c r="I47" s="147">
        <v>0</v>
      </c>
      <c r="J47" s="31"/>
      <c r="K47" s="31"/>
      <c r="L47" s="31"/>
      <c r="M47" s="31"/>
      <c r="N47" s="31"/>
      <c r="O47" s="31"/>
      <c r="P47" s="112">
        <f>SUM(D47:O47)</f>
        <v>1</v>
      </c>
      <c r="Q47" s="417" t="s">
        <v>513</v>
      </c>
      <c r="R47" s="425"/>
      <c r="S47" s="425"/>
      <c r="T47" s="425"/>
      <c r="U47" s="425"/>
      <c r="V47" s="425"/>
      <c r="W47" s="425"/>
      <c r="X47" s="426"/>
      <c r="Y47" s="281" t="s">
        <v>510</v>
      </c>
      <c r="Z47" s="290"/>
      <c r="AA47" s="290"/>
      <c r="AB47" s="290"/>
      <c r="AC47" s="290"/>
      <c r="AD47" s="290"/>
      <c r="AE47" s="291"/>
      <c r="AG47" s="26"/>
      <c r="AH47" s="26"/>
      <c r="AI47" s="26"/>
      <c r="AJ47" s="26"/>
      <c r="AK47" s="26"/>
      <c r="AL47" s="26"/>
      <c r="AM47" s="26"/>
      <c r="AN47" s="26"/>
      <c r="AO47" s="26"/>
    </row>
    <row r="48" spans="1:41" ht="66" customHeight="1" x14ac:dyDescent="0.3">
      <c r="A48" s="424"/>
      <c r="B48" s="415"/>
      <c r="C48" s="28" t="s">
        <v>66</v>
      </c>
      <c r="D48" s="29">
        <v>0.01</v>
      </c>
      <c r="E48" s="29">
        <v>0.15</v>
      </c>
      <c r="F48" s="29"/>
      <c r="G48" s="29"/>
      <c r="H48" s="29"/>
      <c r="I48" s="29"/>
      <c r="J48" s="29"/>
      <c r="K48" s="29"/>
      <c r="L48" s="29"/>
      <c r="M48" s="29"/>
      <c r="N48" s="29"/>
      <c r="O48" s="29"/>
      <c r="P48" s="112">
        <f t="shared" si="3"/>
        <v>0.16</v>
      </c>
      <c r="Q48" s="427"/>
      <c r="R48" s="428"/>
      <c r="S48" s="428"/>
      <c r="T48" s="428"/>
      <c r="U48" s="428"/>
      <c r="V48" s="428"/>
      <c r="W48" s="428"/>
      <c r="X48" s="429"/>
      <c r="Y48" s="292"/>
      <c r="Z48" s="293"/>
      <c r="AA48" s="293"/>
      <c r="AB48" s="293"/>
      <c r="AC48" s="293"/>
      <c r="AD48" s="293"/>
      <c r="AE48" s="294"/>
      <c r="AG48" s="26"/>
      <c r="AH48" s="26"/>
      <c r="AI48" s="26"/>
      <c r="AJ48" s="26"/>
      <c r="AK48" s="26"/>
      <c r="AL48" s="26"/>
      <c r="AM48" s="26"/>
      <c r="AN48" s="26"/>
      <c r="AO48" s="26"/>
    </row>
    <row r="49" spans="1:41" ht="66" customHeight="1" x14ac:dyDescent="0.3">
      <c r="A49" s="423" t="s">
        <v>97</v>
      </c>
      <c r="B49" s="414">
        <v>0.02</v>
      </c>
      <c r="C49" s="145" t="s">
        <v>65</v>
      </c>
      <c r="D49" s="147">
        <v>0</v>
      </c>
      <c r="E49" s="147">
        <v>0.15</v>
      </c>
      <c r="F49" s="147">
        <v>0.2</v>
      </c>
      <c r="G49" s="147">
        <v>0.3</v>
      </c>
      <c r="H49" s="147">
        <v>0.35</v>
      </c>
      <c r="I49" s="147">
        <v>0</v>
      </c>
      <c r="J49" s="31"/>
      <c r="K49" s="31"/>
      <c r="L49" s="31"/>
      <c r="M49" s="31"/>
      <c r="N49" s="31"/>
      <c r="O49" s="31"/>
      <c r="P49" s="112">
        <f t="shared" si="3"/>
        <v>0.99999999999999989</v>
      </c>
      <c r="Q49" s="417" t="s">
        <v>514</v>
      </c>
      <c r="R49" s="418"/>
      <c r="S49" s="418"/>
      <c r="T49" s="418"/>
      <c r="U49" s="418"/>
      <c r="V49" s="418"/>
      <c r="W49" s="418"/>
      <c r="X49" s="419"/>
      <c r="Y49" s="281" t="s">
        <v>511</v>
      </c>
      <c r="Z49" s="282"/>
      <c r="AA49" s="282"/>
      <c r="AB49" s="282"/>
      <c r="AC49" s="282"/>
      <c r="AD49" s="282"/>
      <c r="AE49" s="283"/>
      <c r="AG49" s="27"/>
      <c r="AH49" s="27"/>
      <c r="AI49" s="27"/>
      <c r="AJ49" s="27"/>
      <c r="AK49" s="27"/>
      <c r="AL49" s="27"/>
      <c r="AM49" s="27"/>
      <c r="AN49" s="27"/>
      <c r="AO49" s="27"/>
    </row>
    <row r="50" spans="1:41" ht="66" customHeight="1" x14ac:dyDescent="0.3">
      <c r="A50" s="424"/>
      <c r="B50" s="415"/>
      <c r="C50" s="28" t="s">
        <v>66</v>
      </c>
      <c r="D50" s="29">
        <v>0</v>
      </c>
      <c r="E50" s="29">
        <v>0.15</v>
      </c>
      <c r="F50" s="29"/>
      <c r="G50" s="29"/>
      <c r="H50" s="29"/>
      <c r="I50" s="29"/>
      <c r="J50" s="29"/>
      <c r="K50" s="29"/>
      <c r="L50" s="29"/>
      <c r="M50" s="29"/>
      <c r="N50" s="29"/>
      <c r="O50" s="29"/>
      <c r="P50" s="112">
        <f t="shared" si="3"/>
        <v>0.15</v>
      </c>
      <c r="Q50" s="420"/>
      <c r="R50" s="421"/>
      <c r="S50" s="421"/>
      <c r="T50" s="421"/>
      <c r="U50" s="421"/>
      <c r="V50" s="421"/>
      <c r="W50" s="421"/>
      <c r="X50" s="422"/>
      <c r="Y50" s="284"/>
      <c r="Z50" s="285"/>
      <c r="AA50" s="285"/>
      <c r="AB50" s="285"/>
      <c r="AC50" s="285"/>
      <c r="AD50" s="285"/>
      <c r="AE50" s="286"/>
    </row>
    <row r="51" spans="1:41" ht="66" customHeight="1" x14ac:dyDescent="0.3">
      <c r="A51" s="423" t="s">
        <v>98</v>
      </c>
      <c r="B51" s="414">
        <v>0.02</v>
      </c>
      <c r="C51" s="145" t="s">
        <v>65</v>
      </c>
      <c r="D51" s="147">
        <v>0.01</v>
      </c>
      <c r="E51" s="147">
        <v>0.15</v>
      </c>
      <c r="F51" s="147">
        <v>0.2</v>
      </c>
      <c r="G51" s="147">
        <v>0.3</v>
      </c>
      <c r="H51" s="147">
        <v>0.34</v>
      </c>
      <c r="I51" s="147">
        <v>0</v>
      </c>
      <c r="J51" s="31"/>
      <c r="K51" s="31"/>
      <c r="L51" s="31"/>
      <c r="M51" s="31"/>
      <c r="N51" s="31"/>
      <c r="O51" s="31"/>
      <c r="P51" s="112">
        <f t="shared" si="3"/>
        <v>1</v>
      </c>
      <c r="Q51" s="417" t="s">
        <v>515</v>
      </c>
      <c r="R51" s="418"/>
      <c r="S51" s="418"/>
      <c r="T51" s="418"/>
      <c r="U51" s="418"/>
      <c r="V51" s="418"/>
      <c r="W51" s="418"/>
      <c r="X51" s="419"/>
      <c r="Y51" s="281" t="s">
        <v>512</v>
      </c>
      <c r="Z51" s="290"/>
      <c r="AA51" s="290"/>
      <c r="AB51" s="290"/>
      <c r="AC51" s="290"/>
      <c r="AD51" s="290"/>
      <c r="AE51" s="291"/>
    </row>
    <row r="52" spans="1:41" ht="66" customHeight="1" x14ac:dyDescent="0.3">
      <c r="A52" s="424"/>
      <c r="B52" s="415"/>
      <c r="C52" s="28" t="s">
        <v>66</v>
      </c>
      <c r="D52" s="29">
        <v>0.01</v>
      </c>
      <c r="E52" s="29">
        <v>0.15</v>
      </c>
      <c r="F52" s="29"/>
      <c r="G52" s="29"/>
      <c r="H52" s="29"/>
      <c r="I52" s="29"/>
      <c r="J52" s="29"/>
      <c r="K52" s="29"/>
      <c r="L52" s="29"/>
      <c r="M52" s="29"/>
      <c r="N52" s="29"/>
      <c r="O52" s="29"/>
      <c r="P52" s="112">
        <f t="shared" si="3"/>
        <v>0.16</v>
      </c>
      <c r="Q52" s="420"/>
      <c r="R52" s="421"/>
      <c r="S52" s="421"/>
      <c r="T52" s="421"/>
      <c r="U52" s="421"/>
      <c r="V52" s="421"/>
      <c r="W52" s="421"/>
      <c r="X52" s="422"/>
      <c r="Y52" s="292"/>
      <c r="Z52" s="293"/>
      <c r="AA52" s="293"/>
      <c r="AB52" s="293"/>
      <c r="AC52" s="293"/>
      <c r="AD52" s="293"/>
      <c r="AE52" s="294"/>
    </row>
    <row r="53" spans="1:41" ht="66" customHeight="1" x14ac:dyDescent="0.3">
      <c r="A53" s="295" t="s">
        <v>99</v>
      </c>
      <c r="B53" s="414">
        <v>0.02</v>
      </c>
      <c r="C53" s="145" t="s">
        <v>65</v>
      </c>
      <c r="D53" s="147">
        <v>0</v>
      </c>
      <c r="E53" s="147">
        <v>0.1</v>
      </c>
      <c r="F53" s="147">
        <v>0.3</v>
      </c>
      <c r="G53" s="147">
        <v>0.3</v>
      </c>
      <c r="H53" s="147">
        <v>0.3</v>
      </c>
      <c r="I53" s="147">
        <v>0</v>
      </c>
      <c r="J53" s="31"/>
      <c r="K53" s="31"/>
      <c r="L53" s="31"/>
      <c r="M53" s="31"/>
      <c r="N53" s="31"/>
      <c r="O53" s="31"/>
      <c r="P53" s="112">
        <f t="shared" si="3"/>
        <v>1</v>
      </c>
      <c r="Q53" s="417" t="s">
        <v>557</v>
      </c>
      <c r="R53" s="418"/>
      <c r="S53" s="418"/>
      <c r="T53" s="418"/>
      <c r="U53" s="418"/>
      <c r="V53" s="418"/>
      <c r="W53" s="418"/>
      <c r="X53" s="419"/>
      <c r="Y53" s="281" t="s">
        <v>478</v>
      </c>
      <c r="Z53" s="282"/>
      <c r="AA53" s="282"/>
      <c r="AB53" s="282"/>
      <c r="AC53" s="282"/>
      <c r="AD53" s="282"/>
      <c r="AE53" s="283"/>
    </row>
    <row r="54" spans="1:41" ht="66" customHeight="1" x14ac:dyDescent="0.3">
      <c r="A54" s="295"/>
      <c r="B54" s="415"/>
      <c r="C54" s="28" t="s">
        <v>66</v>
      </c>
      <c r="D54" s="29">
        <v>0</v>
      </c>
      <c r="E54" s="29">
        <v>0.05</v>
      </c>
      <c r="F54" s="29"/>
      <c r="G54" s="29"/>
      <c r="H54" s="29"/>
      <c r="I54" s="29"/>
      <c r="J54" s="29"/>
      <c r="K54" s="29"/>
      <c r="L54" s="29"/>
      <c r="M54" s="29"/>
      <c r="N54" s="29"/>
      <c r="O54" s="29"/>
      <c r="P54" s="112">
        <f t="shared" si="3"/>
        <v>0.05</v>
      </c>
      <c r="Q54" s="420"/>
      <c r="R54" s="421"/>
      <c r="S54" s="421"/>
      <c r="T54" s="421"/>
      <c r="U54" s="421"/>
      <c r="V54" s="421"/>
      <c r="W54" s="421"/>
      <c r="X54" s="422"/>
      <c r="Y54" s="284"/>
      <c r="Z54" s="285"/>
      <c r="AA54" s="285"/>
      <c r="AB54" s="285"/>
      <c r="AC54" s="285"/>
      <c r="AD54" s="285"/>
      <c r="AE54" s="286"/>
    </row>
    <row r="55" spans="1:41" ht="66" customHeight="1" x14ac:dyDescent="0.3">
      <c r="A55" s="295" t="s">
        <v>100</v>
      </c>
      <c r="B55" s="414">
        <v>0.02</v>
      </c>
      <c r="C55" s="145" t="s">
        <v>65</v>
      </c>
      <c r="D55" s="147">
        <v>0</v>
      </c>
      <c r="E55" s="147">
        <v>0.25</v>
      </c>
      <c r="F55" s="147">
        <v>0.25</v>
      </c>
      <c r="G55" s="147">
        <v>0.25</v>
      </c>
      <c r="H55" s="147">
        <v>0.25</v>
      </c>
      <c r="I55" s="147">
        <v>0</v>
      </c>
      <c r="J55" s="31"/>
      <c r="K55" s="31"/>
      <c r="L55" s="31"/>
      <c r="M55" s="31"/>
      <c r="N55" s="31"/>
      <c r="O55" s="31"/>
      <c r="P55" s="112">
        <f t="shared" si="3"/>
        <v>1</v>
      </c>
      <c r="Q55" s="417" t="s">
        <v>559</v>
      </c>
      <c r="R55" s="418"/>
      <c r="S55" s="418"/>
      <c r="T55" s="418"/>
      <c r="U55" s="418"/>
      <c r="V55" s="418"/>
      <c r="W55" s="418"/>
      <c r="X55" s="419"/>
      <c r="Y55" s="281" t="s">
        <v>479</v>
      </c>
      <c r="Z55" s="282"/>
      <c r="AA55" s="282"/>
      <c r="AB55" s="282"/>
      <c r="AC55" s="282"/>
      <c r="AD55" s="282"/>
      <c r="AE55" s="283"/>
    </row>
    <row r="56" spans="1:41" ht="66" customHeight="1" x14ac:dyDescent="0.3">
      <c r="A56" s="295"/>
      <c r="B56" s="415"/>
      <c r="C56" s="28" t="s">
        <v>66</v>
      </c>
      <c r="D56" s="29">
        <v>0</v>
      </c>
      <c r="E56" s="29">
        <v>0.25</v>
      </c>
      <c r="F56" s="29"/>
      <c r="G56" s="29"/>
      <c r="H56" s="29"/>
      <c r="I56" s="29"/>
      <c r="J56" s="29"/>
      <c r="K56" s="29"/>
      <c r="L56" s="29"/>
      <c r="M56" s="29"/>
      <c r="N56" s="29"/>
      <c r="O56" s="29"/>
      <c r="P56" s="112">
        <f t="shared" si="3"/>
        <v>0.25</v>
      </c>
      <c r="Q56" s="420"/>
      <c r="R56" s="421"/>
      <c r="S56" s="421"/>
      <c r="T56" s="421"/>
      <c r="U56" s="421"/>
      <c r="V56" s="421"/>
      <c r="W56" s="421"/>
      <c r="X56" s="422"/>
      <c r="Y56" s="284"/>
      <c r="Z56" s="285"/>
      <c r="AA56" s="285"/>
      <c r="AB56" s="285"/>
      <c r="AC56" s="285"/>
      <c r="AD56" s="285"/>
      <c r="AE56" s="286"/>
    </row>
    <row r="57" spans="1:41" ht="66" customHeight="1" x14ac:dyDescent="0.3">
      <c r="A57" s="295" t="s">
        <v>101</v>
      </c>
      <c r="B57" s="414">
        <v>0.02</v>
      </c>
      <c r="C57" s="145" t="s">
        <v>65</v>
      </c>
      <c r="D57" s="147">
        <v>0.01</v>
      </c>
      <c r="E57" s="147">
        <v>0.25</v>
      </c>
      <c r="F57" s="147">
        <v>0.25</v>
      </c>
      <c r="G57" s="147">
        <v>0.25</v>
      </c>
      <c r="H57" s="147">
        <v>0.24</v>
      </c>
      <c r="I57" s="147">
        <v>0</v>
      </c>
      <c r="J57" s="31"/>
      <c r="K57" s="31"/>
      <c r="L57" s="31"/>
      <c r="M57" s="31"/>
      <c r="N57" s="31"/>
      <c r="O57" s="31"/>
      <c r="P57" s="112">
        <f t="shared" si="3"/>
        <v>1</v>
      </c>
      <c r="Q57" s="417" t="s">
        <v>558</v>
      </c>
      <c r="R57" s="418"/>
      <c r="S57" s="418"/>
      <c r="T57" s="418"/>
      <c r="U57" s="418"/>
      <c r="V57" s="418"/>
      <c r="W57" s="418"/>
      <c r="X57" s="419"/>
      <c r="Y57" s="407" t="s">
        <v>480</v>
      </c>
      <c r="Z57" s="408"/>
      <c r="AA57" s="408"/>
      <c r="AB57" s="408"/>
      <c r="AC57" s="408"/>
      <c r="AD57" s="408"/>
      <c r="AE57" s="409"/>
    </row>
    <row r="58" spans="1:41" ht="66" customHeight="1" x14ac:dyDescent="0.3">
      <c r="A58" s="295"/>
      <c r="B58" s="415"/>
      <c r="C58" s="28" t="s">
        <v>66</v>
      </c>
      <c r="D58" s="29">
        <v>0.01</v>
      </c>
      <c r="E58" s="29">
        <v>0.15</v>
      </c>
      <c r="F58" s="29"/>
      <c r="G58" s="29"/>
      <c r="H58" s="29"/>
      <c r="I58" s="29"/>
      <c r="J58" s="29"/>
      <c r="K58" s="29"/>
      <c r="L58" s="29"/>
      <c r="M58" s="29"/>
      <c r="N58" s="29"/>
      <c r="O58" s="29"/>
      <c r="P58" s="112">
        <f t="shared" si="3"/>
        <v>0.16</v>
      </c>
      <c r="Q58" s="420"/>
      <c r="R58" s="421"/>
      <c r="S58" s="421"/>
      <c r="T58" s="421"/>
      <c r="U58" s="421"/>
      <c r="V58" s="421"/>
      <c r="W58" s="421"/>
      <c r="X58" s="422"/>
      <c r="Y58" s="410"/>
      <c r="Z58" s="411"/>
      <c r="AA58" s="411"/>
      <c r="AB58" s="411"/>
      <c r="AC58" s="411"/>
      <c r="AD58" s="411"/>
      <c r="AE58" s="412"/>
    </row>
    <row r="59" spans="1:41" ht="66" customHeight="1" x14ac:dyDescent="0.3">
      <c r="A59" s="295" t="s">
        <v>102</v>
      </c>
      <c r="B59" s="414">
        <v>0.02</v>
      </c>
      <c r="C59" s="145" t="s">
        <v>65</v>
      </c>
      <c r="D59" s="147">
        <v>0</v>
      </c>
      <c r="E59" s="147">
        <v>0</v>
      </c>
      <c r="F59" s="147">
        <v>0.33</v>
      </c>
      <c r="G59" s="147">
        <v>0.33</v>
      </c>
      <c r="H59" s="147">
        <v>0.34</v>
      </c>
      <c r="I59" s="147">
        <v>0</v>
      </c>
      <c r="J59" s="31"/>
      <c r="K59" s="31"/>
      <c r="L59" s="31"/>
      <c r="M59" s="31"/>
      <c r="N59" s="31"/>
      <c r="O59" s="31"/>
      <c r="P59" s="112">
        <f t="shared" si="3"/>
        <v>1</v>
      </c>
      <c r="Q59" s="417" t="s">
        <v>481</v>
      </c>
      <c r="R59" s="418"/>
      <c r="S59" s="418"/>
      <c r="T59" s="418"/>
      <c r="U59" s="418"/>
      <c r="V59" s="418"/>
      <c r="W59" s="418"/>
      <c r="X59" s="419"/>
      <c r="Y59" s="413" t="s">
        <v>457</v>
      </c>
      <c r="Z59" s="282"/>
      <c r="AA59" s="282"/>
      <c r="AB59" s="282"/>
      <c r="AC59" s="282"/>
      <c r="AD59" s="282"/>
      <c r="AE59" s="283"/>
    </row>
    <row r="60" spans="1:41" ht="66" customHeight="1" thickBot="1" x14ac:dyDescent="0.35">
      <c r="A60" s="416"/>
      <c r="B60" s="415"/>
      <c r="C60" s="28" t="s">
        <v>66</v>
      </c>
      <c r="D60" s="29">
        <v>0</v>
      </c>
      <c r="E60" s="29">
        <v>0</v>
      </c>
      <c r="F60" s="29"/>
      <c r="G60" s="29"/>
      <c r="H60" s="29"/>
      <c r="I60" s="29"/>
      <c r="J60" s="29"/>
      <c r="K60" s="29"/>
      <c r="L60" s="29"/>
      <c r="M60" s="29"/>
      <c r="N60" s="29"/>
      <c r="O60" s="29"/>
      <c r="P60" s="112">
        <f t="shared" si="3"/>
        <v>0</v>
      </c>
      <c r="Q60" s="420"/>
      <c r="R60" s="421"/>
      <c r="S60" s="421"/>
      <c r="T60" s="421"/>
      <c r="U60" s="421"/>
      <c r="V60" s="421"/>
      <c r="W60" s="421"/>
      <c r="X60" s="422"/>
      <c r="Y60" s="284"/>
      <c r="Z60" s="285"/>
      <c r="AA60" s="285"/>
      <c r="AB60" s="285"/>
      <c r="AC60" s="285"/>
      <c r="AD60" s="285"/>
      <c r="AE60" s="286"/>
    </row>
    <row r="61" spans="1:41" x14ac:dyDescent="0.3">
      <c r="A61" s="254" t="s">
        <v>92</v>
      </c>
    </row>
    <row r="62" spans="1:41" x14ac:dyDescent="0.3">
      <c r="A62" s="254"/>
    </row>
    <row r="63" spans="1:41" x14ac:dyDescent="0.3">
      <c r="A63" s="254"/>
    </row>
    <row r="64" spans="1:41" x14ac:dyDescent="0.3">
      <c r="A64" s="254"/>
    </row>
    <row r="65" spans="1:30" x14ac:dyDescent="0.3">
      <c r="A65" s="254"/>
    </row>
    <row r="66" spans="1:30" ht="15" thickBot="1" x14ac:dyDescent="0.35">
      <c r="A66" s="254"/>
    </row>
    <row r="67" spans="1:30" x14ac:dyDescent="0.3">
      <c r="A67" s="268" t="s">
        <v>68</v>
      </c>
      <c r="B67" s="270" t="s">
        <v>69</v>
      </c>
      <c r="C67" s="272" t="s">
        <v>71</v>
      </c>
      <c r="D67" s="273"/>
      <c r="E67" s="273"/>
      <c r="F67" s="273"/>
      <c r="G67" s="273"/>
      <c r="H67" s="273"/>
      <c r="I67" s="273"/>
      <c r="J67" s="273"/>
      <c r="K67" s="273"/>
      <c r="L67" s="273"/>
      <c r="M67" s="273"/>
      <c r="N67" s="273"/>
      <c r="O67" s="273"/>
      <c r="P67" s="274"/>
      <c r="Q67" s="215"/>
      <c r="R67" s="215"/>
      <c r="S67" s="216"/>
      <c r="T67" s="216"/>
      <c r="U67" s="216"/>
      <c r="V67" s="216"/>
      <c r="W67" s="216"/>
      <c r="X67" s="216"/>
      <c r="Y67" s="216"/>
      <c r="Z67" s="216"/>
      <c r="AA67" s="216"/>
      <c r="AB67" s="216"/>
      <c r="AC67" s="216"/>
      <c r="AD67" s="216"/>
    </row>
    <row r="68" spans="1:30" x14ac:dyDescent="0.3">
      <c r="A68" s="269"/>
      <c r="B68" s="271"/>
      <c r="C68" s="217" t="s">
        <v>70</v>
      </c>
      <c r="D68" s="217" t="s">
        <v>73</v>
      </c>
      <c r="E68" s="217" t="s">
        <v>74</v>
      </c>
      <c r="F68" s="217" t="s">
        <v>75</v>
      </c>
      <c r="G68" s="217" t="s">
        <v>76</v>
      </c>
      <c r="H68" s="217" t="s">
        <v>77</v>
      </c>
      <c r="I68" s="217" t="s">
        <v>78</v>
      </c>
      <c r="J68" s="217" t="s">
        <v>79</v>
      </c>
      <c r="K68" s="217" t="s">
        <v>80</v>
      </c>
      <c r="L68" s="217" t="s">
        <v>81</v>
      </c>
      <c r="M68" s="217" t="s">
        <v>82</v>
      </c>
      <c r="N68" s="217" t="s">
        <v>83</v>
      </c>
      <c r="O68" s="217" t="s">
        <v>84</v>
      </c>
      <c r="P68" s="218" t="s">
        <v>85</v>
      </c>
      <c r="Q68" s="215"/>
      <c r="R68" s="215"/>
      <c r="S68" s="216"/>
      <c r="T68" s="216"/>
      <c r="U68" s="216"/>
      <c r="V68" s="216"/>
      <c r="W68" s="216"/>
      <c r="X68" s="216"/>
      <c r="Y68" s="216"/>
      <c r="Z68" s="216"/>
      <c r="AA68" s="216"/>
      <c r="AB68" s="216"/>
      <c r="AC68" s="216"/>
      <c r="AD68" s="216"/>
    </row>
    <row r="69" spans="1:30" ht="18" customHeight="1" x14ac:dyDescent="0.3">
      <c r="A69" s="264" t="str">
        <f>A41</f>
        <v xml:space="preserve">5. Fortalecer redes protectoras con madres, padres, cuidadoras, cuidadores y profesionales que en el marco de sus acciones trabajan con niños, niñas y adolescentes para la identificación, prevención y actuación frente a las violencias y formas de discriminación basadas en género contra niños, niñas y adolescentes en sus diferencias y diversidad. </v>
      </c>
      <c r="B69" s="405">
        <f>B41</f>
        <v>0.02</v>
      </c>
      <c r="C69" s="219" t="s">
        <v>65</v>
      </c>
      <c r="D69" s="220">
        <f>D41*$B$41/$P$41</f>
        <v>4.0000000000000002E-4</v>
      </c>
      <c r="E69" s="220">
        <f t="shared" ref="E69:O69" si="4">E41*$B$41/$P$41</f>
        <v>4.0000000000000001E-3</v>
      </c>
      <c r="F69" s="220">
        <f t="shared" si="4"/>
        <v>5.4000000000000003E-3</v>
      </c>
      <c r="G69" s="220">
        <f t="shared" si="4"/>
        <v>5.2000000000000006E-3</v>
      </c>
      <c r="H69" s="220">
        <f t="shared" si="4"/>
        <v>5.0000000000000001E-3</v>
      </c>
      <c r="I69" s="220">
        <f t="shared" si="4"/>
        <v>0</v>
      </c>
      <c r="J69" s="220">
        <f t="shared" si="4"/>
        <v>0</v>
      </c>
      <c r="K69" s="220">
        <f t="shared" si="4"/>
        <v>0</v>
      </c>
      <c r="L69" s="220">
        <f t="shared" si="4"/>
        <v>0</v>
      </c>
      <c r="M69" s="220">
        <f t="shared" si="4"/>
        <v>0</v>
      </c>
      <c r="N69" s="220">
        <f t="shared" si="4"/>
        <v>0</v>
      </c>
      <c r="O69" s="220">
        <f t="shared" si="4"/>
        <v>0</v>
      </c>
      <c r="P69" s="221">
        <f t="shared" ref="P69:P74" si="5">SUM(D69:O69)</f>
        <v>0.02</v>
      </c>
      <c r="Q69" s="222">
        <v>0.05</v>
      </c>
      <c r="R69" s="223">
        <f t="shared" ref="R69:R95" si="6">+P69-Q69</f>
        <v>-3.0000000000000002E-2</v>
      </c>
      <c r="S69" s="216"/>
      <c r="T69" s="216"/>
      <c r="U69" s="216"/>
      <c r="V69" s="216"/>
      <c r="W69" s="216"/>
      <c r="X69" s="216"/>
      <c r="Y69" s="216"/>
      <c r="Z69" s="216"/>
      <c r="AA69" s="216"/>
      <c r="AB69" s="216"/>
      <c r="AC69" s="216"/>
      <c r="AD69" s="216"/>
    </row>
    <row r="70" spans="1:30" ht="18" customHeight="1" x14ac:dyDescent="0.3">
      <c r="A70" s="265"/>
      <c r="B70" s="406"/>
      <c r="C70" s="224" t="s">
        <v>66</v>
      </c>
      <c r="D70" s="225">
        <f>D42*$B$41/$P$41</f>
        <v>4.0000000000000002E-4</v>
      </c>
      <c r="E70" s="225">
        <f t="shared" ref="E70:O70" si="7">E42*$B$41/$P$41</f>
        <v>4.0000000000000001E-3</v>
      </c>
      <c r="F70" s="225">
        <f t="shared" si="7"/>
        <v>0</v>
      </c>
      <c r="G70" s="225">
        <f t="shared" si="7"/>
        <v>0</v>
      </c>
      <c r="H70" s="225">
        <f t="shared" si="7"/>
        <v>0</v>
      </c>
      <c r="I70" s="225">
        <f t="shared" si="7"/>
        <v>0</v>
      </c>
      <c r="J70" s="225">
        <f t="shared" si="7"/>
        <v>0</v>
      </c>
      <c r="K70" s="225">
        <f t="shared" si="7"/>
        <v>0</v>
      </c>
      <c r="L70" s="225">
        <f t="shared" si="7"/>
        <v>0</v>
      </c>
      <c r="M70" s="225">
        <f t="shared" si="7"/>
        <v>0</v>
      </c>
      <c r="N70" s="225">
        <f t="shared" si="7"/>
        <v>0</v>
      </c>
      <c r="O70" s="225">
        <f t="shared" si="7"/>
        <v>0</v>
      </c>
      <c r="P70" s="226">
        <f t="shared" si="5"/>
        <v>4.4000000000000003E-3</v>
      </c>
      <c r="Q70" s="227">
        <f>+P70</f>
        <v>4.4000000000000003E-3</v>
      </c>
      <c r="R70" s="223">
        <f t="shared" si="6"/>
        <v>0</v>
      </c>
      <c r="S70" s="216"/>
      <c r="T70" s="216"/>
      <c r="U70" s="216"/>
      <c r="V70" s="216"/>
      <c r="W70" s="216"/>
      <c r="X70" s="216"/>
      <c r="Y70" s="216"/>
      <c r="Z70" s="216"/>
      <c r="AA70" s="216"/>
      <c r="AB70" s="216"/>
      <c r="AC70" s="216"/>
      <c r="AD70" s="216"/>
    </row>
    <row r="71" spans="1:30" ht="18" customHeight="1" x14ac:dyDescent="0.3">
      <c r="A71" s="264" t="str">
        <f t="shared" ref="A71:B71" si="8">A43</f>
        <v>6, Realizar semilleros  y jornadas significativas  que brinden herramientas para el  empoderamiento. Dirigidos a niñas, adolescentes y mujeres jóvenes en sus diferencias y diversidad</v>
      </c>
      <c r="B71" s="405">
        <f t="shared" si="8"/>
        <v>0.02</v>
      </c>
      <c r="C71" s="219" t="s">
        <v>65</v>
      </c>
      <c r="D71" s="220">
        <f>D43*$B$43/$P$43</f>
        <v>0</v>
      </c>
      <c r="E71" s="220">
        <f t="shared" ref="E71:O71" si="9">E43*$B$43/$P$43</f>
        <v>4.4000000000000003E-3</v>
      </c>
      <c r="F71" s="220">
        <f t="shared" si="9"/>
        <v>5.4000000000000003E-3</v>
      </c>
      <c r="G71" s="220">
        <f t="shared" si="9"/>
        <v>5.2000000000000006E-3</v>
      </c>
      <c r="H71" s="220">
        <f t="shared" si="9"/>
        <v>5.0000000000000001E-3</v>
      </c>
      <c r="I71" s="220">
        <f t="shared" si="9"/>
        <v>0</v>
      </c>
      <c r="J71" s="220">
        <f t="shared" si="9"/>
        <v>0</v>
      </c>
      <c r="K71" s="220">
        <f t="shared" si="9"/>
        <v>0</v>
      </c>
      <c r="L71" s="220">
        <f t="shared" si="9"/>
        <v>0</v>
      </c>
      <c r="M71" s="220">
        <f t="shared" si="9"/>
        <v>0</v>
      </c>
      <c r="N71" s="220">
        <f t="shared" si="9"/>
        <v>0</v>
      </c>
      <c r="O71" s="220">
        <f t="shared" si="9"/>
        <v>0</v>
      </c>
      <c r="P71" s="221">
        <f t="shared" si="5"/>
        <v>0.02</v>
      </c>
      <c r="Q71" s="222">
        <v>2.5000000000000001E-2</v>
      </c>
      <c r="R71" s="223">
        <f t="shared" si="6"/>
        <v>-5.000000000000001E-3</v>
      </c>
      <c r="S71" s="216"/>
      <c r="T71" s="216"/>
      <c r="U71" s="216"/>
      <c r="V71" s="216"/>
      <c r="W71" s="216"/>
      <c r="X71" s="216"/>
      <c r="Y71" s="216"/>
      <c r="Z71" s="216"/>
      <c r="AA71" s="216"/>
      <c r="AB71" s="216"/>
      <c r="AC71" s="216"/>
      <c r="AD71" s="216"/>
    </row>
    <row r="72" spans="1:30" ht="18" customHeight="1" x14ac:dyDescent="0.3">
      <c r="A72" s="265"/>
      <c r="B72" s="406"/>
      <c r="C72" s="224" t="s">
        <v>66</v>
      </c>
      <c r="D72" s="225">
        <f>D44*$B$43/$P$43</f>
        <v>0</v>
      </c>
      <c r="E72" s="225">
        <f t="shared" ref="E72:O72" si="10">E44*$B$43/$P$43</f>
        <v>4.4000000000000003E-3</v>
      </c>
      <c r="F72" s="225">
        <f t="shared" si="10"/>
        <v>0</v>
      </c>
      <c r="G72" s="225">
        <f t="shared" si="10"/>
        <v>0</v>
      </c>
      <c r="H72" s="225">
        <f t="shared" si="10"/>
        <v>0</v>
      </c>
      <c r="I72" s="225">
        <f t="shared" si="10"/>
        <v>0</v>
      </c>
      <c r="J72" s="225">
        <f t="shared" si="10"/>
        <v>0</v>
      </c>
      <c r="K72" s="225">
        <f t="shared" si="10"/>
        <v>0</v>
      </c>
      <c r="L72" s="225">
        <f t="shared" si="10"/>
        <v>0</v>
      </c>
      <c r="M72" s="225">
        <f t="shared" si="10"/>
        <v>0</v>
      </c>
      <c r="N72" s="225">
        <f t="shared" si="10"/>
        <v>0</v>
      </c>
      <c r="O72" s="225">
        <f t="shared" si="10"/>
        <v>0</v>
      </c>
      <c r="P72" s="226">
        <f t="shared" si="5"/>
        <v>4.4000000000000003E-3</v>
      </c>
      <c r="Q72" s="227">
        <f>+P72</f>
        <v>4.4000000000000003E-3</v>
      </c>
      <c r="R72" s="223">
        <f t="shared" si="6"/>
        <v>0</v>
      </c>
      <c r="S72" s="216"/>
      <c r="T72" s="216"/>
      <c r="U72" s="216"/>
      <c r="V72" s="216"/>
      <c r="W72" s="216"/>
      <c r="X72" s="216"/>
      <c r="Y72" s="216"/>
      <c r="Z72" s="216"/>
      <c r="AA72" s="216"/>
      <c r="AB72" s="216"/>
      <c r="AC72" s="216"/>
      <c r="AD72" s="216"/>
    </row>
    <row r="73" spans="1:30" ht="18" customHeight="1" x14ac:dyDescent="0.3">
      <c r="A73" s="264" t="str">
        <f t="shared" ref="A73:B73" si="11">A45</f>
        <v>7, Desarrollar acciones de difusión, visibilización y divulgación de la estrategia de empoderamiento.</v>
      </c>
      <c r="B73" s="405">
        <f t="shared" si="11"/>
        <v>0.02</v>
      </c>
      <c r="C73" s="219" t="s">
        <v>65</v>
      </c>
      <c r="D73" s="220">
        <f>D45*$B$45/$P$45</f>
        <v>4.0000000000000002E-4</v>
      </c>
      <c r="E73" s="220">
        <f t="shared" ref="E73:O73" si="12">E45*$B$45/$P$45</f>
        <v>4.0000000000000001E-3</v>
      </c>
      <c r="F73" s="220">
        <f t="shared" si="12"/>
        <v>5.4000000000000003E-3</v>
      </c>
      <c r="G73" s="220">
        <f t="shared" si="12"/>
        <v>5.2000000000000006E-3</v>
      </c>
      <c r="H73" s="220">
        <f t="shared" si="12"/>
        <v>5.0000000000000001E-3</v>
      </c>
      <c r="I73" s="220">
        <f t="shared" si="12"/>
        <v>0</v>
      </c>
      <c r="J73" s="220">
        <f t="shared" si="12"/>
        <v>0</v>
      </c>
      <c r="K73" s="220">
        <f t="shared" si="12"/>
        <v>0</v>
      </c>
      <c r="L73" s="220">
        <f t="shared" si="12"/>
        <v>0</v>
      </c>
      <c r="M73" s="220">
        <f t="shared" si="12"/>
        <v>0</v>
      </c>
      <c r="N73" s="220">
        <f t="shared" si="12"/>
        <v>0</v>
      </c>
      <c r="O73" s="220">
        <f t="shared" si="12"/>
        <v>0</v>
      </c>
      <c r="P73" s="221">
        <f t="shared" si="5"/>
        <v>0.02</v>
      </c>
      <c r="Q73" s="222">
        <v>2.5000000000000001E-2</v>
      </c>
      <c r="R73" s="223">
        <f t="shared" si="6"/>
        <v>-5.000000000000001E-3</v>
      </c>
      <c r="S73" s="216"/>
      <c r="T73" s="216"/>
      <c r="U73" s="216"/>
      <c r="V73" s="216"/>
      <c r="W73" s="216"/>
      <c r="X73" s="216"/>
      <c r="Y73" s="216"/>
      <c r="Z73" s="216"/>
      <c r="AA73" s="216"/>
      <c r="AB73" s="216"/>
      <c r="AC73" s="216"/>
      <c r="AD73" s="216"/>
    </row>
    <row r="74" spans="1:30" ht="18" customHeight="1" x14ac:dyDescent="0.3">
      <c r="A74" s="265"/>
      <c r="B74" s="406"/>
      <c r="C74" s="224" t="s">
        <v>66</v>
      </c>
      <c r="D74" s="225">
        <f>D46*$B$45/$P$45</f>
        <v>4.0000000000000002E-4</v>
      </c>
      <c r="E74" s="225">
        <f t="shared" ref="E74:O74" si="13">E46*$B$45/$P$45</f>
        <v>4.0000000000000001E-3</v>
      </c>
      <c r="F74" s="225">
        <f t="shared" si="13"/>
        <v>0</v>
      </c>
      <c r="G74" s="225">
        <f t="shared" si="13"/>
        <v>0</v>
      </c>
      <c r="H74" s="225">
        <f t="shared" si="13"/>
        <v>0</v>
      </c>
      <c r="I74" s="225">
        <f t="shared" si="13"/>
        <v>0</v>
      </c>
      <c r="J74" s="225">
        <f t="shared" si="13"/>
        <v>0</v>
      </c>
      <c r="K74" s="225">
        <f t="shared" si="13"/>
        <v>0</v>
      </c>
      <c r="L74" s="225">
        <f t="shared" si="13"/>
        <v>0</v>
      </c>
      <c r="M74" s="225">
        <f t="shared" si="13"/>
        <v>0</v>
      </c>
      <c r="N74" s="225">
        <f t="shared" si="13"/>
        <v>0</v>
      </c>
      <c r="O74" s="225">
        <f t="shared" si="13"/>
        <v>0</v>
      </c>
      <c r="P74" s="226">
        <f t="shared" si="5"/>
        <v>4.4000000000000003E-3</v>
      </c>
      <c r="Q74" s="227">
        <f>+P74</f>
        <v>4.4000000000000003E-3</v>
      </c>
      <c r="R74" s="223">
        <f t="shared" si="6"/>
        <v>0</v>
      </c>
      <c r="S74" s="216"/>
      <c r="T74" s="216"/>
      <c r="U74" s="216"/>
      <c r="V74" s="216"/>
      <c r="W74" s="216"/>
      <c r="X74" s="216"/>
      <c r="Y74" s="216"/>
      <c r="Z74" s="216"/>
      <c r="AA74" s="216"/>
      <c r="AB74" s="216"/>
      <c r="AC74" s="216"/>
      <c r="AD74" s="216"/>
    </row>
    <row r="75" spans="1:30" ht="18" customHeight="1" x14ac:dyDescent="0.3">
      <c r="A75" s="264" t="str">
        <f t="shared" ref="A75:B75" si="14">A47</f>
        <v>8. Desarrollar escuelas de educación emocional  enfocadas en fortalecer capacidades y herramientas para gestionar la salud mental de las mujeres en su diversidad en la ciudad de Bogotá.</v>
      </c>
      <c r="B75" s="405">
        <f t="shared" si="14"/>
        <v>0.02</v>
      </c>
      <c r="C75" s="219" t="s">
        <v>65</v>
      </c>
      <c r="D75" s="220">
        <f>D47*$B$47/$P$47</f>
        <v>2.0000000000000001E-4</v>
      </c>
      <c r="E75" s="220">
        <f t="shared" ref="E75:O75" si="15">E47*$B$47/$P$47</f>
        <v>3.0000000000000001E-3</v>
      </c>
      <c r="F75" s="220">
        <f t="shared" si="15"/>
        <v>6.0000000000000001E-3</v>
      </c>
      <c r="G75" s="220">
        <f t="shared" si="15"/>
        <v>6.8000000000000005E-3</v>
      </c>
      <c r="H75" s="220">
        <f t="shared" si="15"/>
        <v>4.0000000000000001E-3</v>
      </c>
      <c r="I75" s="220">
        <f t="shared" si="15"/>
        <v>0</v>
      </c>
      <c r="J75" s="220">
        <f t="shared" si="15"/>
        <v>0</v>
      </c>
      <c r="K75" s="220">
        <f t="shared" si="15"/>
        <v>0</v>
      </c>
      <c r="L75" s="220">
        <f t="shared" si="15"/>
        <v>0</v>
      </c>
      <c r="M75" s="220">
        <f t="shared" si="15"/>
        <v>0</v>
      </c>
      <c r="N75" s="220">
        <f t="shared" si="15"/>
        <v>0</v>
      </c>
      <c r="O75" s="220">
        <f t="shared" si="15"/>
        <v>0</v>
      </c>
      <c r="P75" s="221">
        <f t="shared" ref="P75:P78" si="16">SUM(D75:O75)</f>
        <v>0.02</v>
      </c>
      <c r="Q75" s="222">
        <v>2.5000000000000001E-2</v>
      </c>
      <c r="R75" s="223">
        <f t="shared" ref="R75:R78" si="17">+P75-Q75</f>
        <v>-5.000000000000001E-3</v>
      </c>
      <c r="S75" s="216"/>
      <c r="T75" s="216"/>
      <c r="U75" s="216"/>
      <c r="V75" s="216"/>
      <c r="W75" s="216"/>
      <c r="X75" s="216"/>
      <c r="Y75" s="216"/>
      <c r="Z75" s="216"/>
      <c r="AA75" s="216"/>
      <c r="AB75" s="216"/>
      <c r="AC75" s="216"/>
      <c r="AD75" s="216"/>
    </row>
    <row r="76" spans="1:30" ht="18" customHeight="1" x14ac:dyDescent="0.3">
      <c r="A76" s="265"/>
      <c r="B76" s="406"/>
      <c r="C76" s="224" t="s">
        <v>66</v>
      </c>
      <c r="D76" s="225">
        <f>D48*$B$47/$P$47</f>
        <v>2.0000000000000001E-4</v>
      </c>
      <c r="E76" s="225">
        <f t="shared" ref="E76:O76" si="18">E48*$B$47/$P$47</f>
        <v>3.0000000000000001E-3</v>
      </c>
      <c r="F76" s="225">
        <f t="shared" si="18"/>
        <v>0</v>
      </c>
      <c r="G76" s="225">
        <f t="shared" si="18"/>
        <v>0</v>
      </c>
      <c r="H76" s="225">
        <f t="shared" si="18"/>
        <v>0</v>
      </c>
      <c r="I76" s="225">
        <f t="shared" si="18"/>
        <v>0</v>
      </c>
      <c r="J76" s="225">
        <f t="shared" si="18"/>
        <v>0</v>
      </c>
      <c r="K76" s="225">
        <f t="shared" si="18"/>
        <v>0</v>
      </c>
      <c r="L76" s="225">
        <f t="shared" si="18"/>
        <v>0</v>
      </c>
      <c r="M76" s="225">
        <f t="shared" si="18"/>
        <v>0</v>
      </c>
      <c r="N76" s="225">
        <f t="shared" si="18"/>
        <v>0</v>
      </c>
      <c r="O76" s="225">
        <f t="shared" si="18"/>
        <v>0</v>
      </c>
      <c r="P76" s="226">
        <f t="shared" si="16"/>
        <v>3.2000000000000002E-3</v>
      </c>
      <c r="Q76" s="227">
        <f>+P76</f>
        <v>3.2000000000000002E-3</v>
      </c>
      <c r="R76" s="223">
        <f t="shared" si="17"/>
        <v>0</v>
      </c>
      <c r="S76" s="216"/>
      <c r="T76" s="216"/>
      <c r="U76" s="216"/>
      <c r="V76" s="216"/>
      <c r="W76" s="216"/>
      <c r="X76" s="216"/>
      <c r="Y76" s="216"/>
      <c r="Z76" s="216"/>
      <c r="AA76" s="216"/>
      <c r="AB76" s="216"/>
      <c r="AC76" s="216"/>
      <c r="AD76" s="216"/>
    </row>
    <row r="77" spans="1:30" ht="18" customHeight="1" x14ac:dyDescent="0.3">
      <c r="A77" s="264" t="str">
        <f t="shared" ref="A77:B77" si="19">A49</f>
        <v>9. Desarrollar espacios de encuentro de mujeres para el cuidado emocional denominados Espacios Respiro.</v>
      </c>
      <c r="B77" s="405">
        <f t="shared" si="19"/>
        <v>0.02</v>
      </c>
      <c r="C77" s="219" t="s">
        <v>65</v>
      </c>
      <c r="D77" s="220">
        <f>D49*$B$49/$P$49</f>
        <v>0</v>
      </c>
      <c r="E77" s="220">
        <f t="shared" ref="E77:O77" si="20">E49*$B$49/$P$49</f>
        <v>3.0000000000000005E-3</v>
      </c>
      <c r="F77" s="220">
        <f t="shared" si="20"/>
        <v>4.000000000000001E-3</v>
      </c>
      <c r="G77" s="220">
        <f t="shared" si="20"/>
        <v>6.000000000000001E-3</v>
      </c>
      <c r="H77" s="220">
        <f t="shared" si="20"/>
        <v>7.0000000000000001E-3</v>
      </c>
      <c r="I77" s="220">
        <f t="shared" si="20"/>
        <v>0</v>
      </c>
      <c r="J77" s="220">
        <f t="shared" si="20"/>
        <v>0</v>
      </c>
      <c r="K77" s="220">
        <f t="shared" si="20"/>
        <v>0</v>
      </c>
      <c r="L77" s="220">
        <f t="shared" si="20"/>
        <v>0</v>
      </c>
      <c r="M77" s="220">
        <f t="shared" si="20"/>
        <v>0</v>
      </c>
      <c r="N77" s="220">
        <f t="shared" si="20"/>
        <v>0</v>
      </c>
      <c r="O77" s="220">
        <f t="shared" si="20"/>
        <v>0</v>
      </c>
      <c r="P77" s="221">
        <f t="shared" si="16"/>
        <v>0.02</v>
      </c>
      <c r="Q77" s="222">
        <v>2.5000000000000001E-2</v>
      </c>
      <c r="R77" s="223">
        <f t="shared" si="17"/>
        <v>-5.000000000000001E-3</v>
      </c>
      <c r="S77" s="216"/>
      <c r="T77" s="216"/>
      <c r="U77" s="216"/>
      <c r="V77" s="216"/>
      <c r="W77" s="216"/>
      <c r="X77" s="216"/>
      <c r="Y77" s="216"/>
      <c r="Z77" s="216"/>
      <c r="AA77" s="216"/>
      <c r="AB77" s="216"/>
      <c r="AC77" s="216"/>
      <c r="AD77" s="216"/>
    </row>
    <row r="78" spans="1:30" ht="18" customHeight="1" x14ac:dyDescent="0.3">
      <c r="A78" s="265"/>
      <c r="B78" s="406"/>
      <c r="C78" s="224" t="s">
        <v>66</v>
      </c>
      <c r="D78" s="225">
        <f>D50*$B$49/$P$49</f>
        <v>0</v>
      </c>
      <c r="E78" s="225">
        <f t="shared" ref="E78:O78" si="21">E50*$B$49/$P$49</f>
        <v>3.0000000000000005E-3</v>
      </c>
      <c r="F78" s="225">
        <f t="shared" si="21"/>
        <v>0</v>
      </c>
      <c r="G78" s="225">
        <f t="shared" si="21"/>
        <v>0</v>
      </c>
      <c r="H78" s="225">
        <f t="shared" si="21"/>
        <v>0</v>
      </c>
      <c r="I78" s="225">
        <f t="shared" si="21"/>
        <v>0</v>
      </c>
      <c r="J78" s="225">
        <f t="shared" si="21"/>
        <v>0</v>
      </c>
      <c r="K78" s="225">
        <f t="shared" si="21"/>
        <v>0</v>
      </c>
      <c r="L78" s="225">
        <f t="shared" si="21"/>
        <v>0</v>
      </c>
      <c r="M78" s="225">
        <f t="shared" si="21"/>
        <v>0</v>
      </c>
      <c r="N78" s="225">
        <f t="shared" si="21"/>
        <v>0</v>
      </c>
      <c r="O78" s="225">
        <f t="shared" si="21"/>
        <v>0</v>
      </c>
      <c r="P78" s="226">
        <f t="shared" si="16"/>
        <v>3.0000000000000005E-3</v>
      </c>
      <c r="Q78" s="227">
        <f>+P78</f>
        <v>3.0000000000000005E-3</v>
      </c>
      <c r="R78" s="223">
        <f t="shared" si="17"/>
        <v>0</v>
      </c>
      <c r="S78" s="216"/>
      <c r="T78" s="216"/>
      <c r="U78" s="216"/>
      <c r="V78" s="216"/>
      <c r="W78" s="216"/>
      <c r="X78" s="216"/>
      <c r="Y78" s="216"/>
      <c r="Z78" s="216"/>
      <c r="AA78" s="216"/>
      <c r="AB78" s="216"/>
      <c r="AC78" s="216"/>
      <c r="AD78" s="216"/>
    </row>
    <row r="79" spans="1:30" ht="18" customHeight="1" x14ac:dyDescent="0.3">
      <c r="A79" s="264" t="str">
        <f t="shared" ref="A79:B79" si="22">A51</f>
        <v>10.Diseñar e implementar una estrategia de difusión y socialización de la caja de herramientas construida en el marco de la estrategia de capacidades psicoemocionales</v>
      </c>
      <c r="B79" s="405">
        <f t="shared" si="22"/>
        <v>0.02</v>
      </c>
      <c r="C79" s="219" t="s">
        <v>65</v>
      </c>
      <c r="D79" s="220">
        <f>D51*$B$51/$P$51</f>
        <v>2.0000000000000001E-4</v>
      </c>
      <c r="E79" s="220">
        <f t="shared" ref="E79:O79" si="23">E51*$B$51/$P$51</f>
        <v>3.0000000000000001E-3</v>
      </c>
      <c r="F79" s="220">
        <f t="shared" si="23"/>
        <v>4.0000000000000001E-3</v>
      </c>
      <c r="G79" s="220">
        <f t="shared" si="23"/>
        <v>6.0000000000000001E-3</v>
      </c>
      <c r="H79" s="220">
        <f t="shared" si="23"/>
        <v>6.8000000000000005E-3</v>
      </c>
      <c r="I79" s="220">
        <f t="shared" si="23"/>
        <v>0</v>
      </c>
      <c r="J79" s="220">
        <f t="shared" si="23"/>
        <v>0</v>
      </c>
      <c r="K79" s="220">
        <f t="shared" si="23"/>
        <v>0</v>
      </c>
      <c r="L79" s="220">
        <f t="shared" si="23"/>
        <v>0</v>
      </c>
      <c r="M79" s="220">
        <f t="shared" si="23"/>
        <v>0</v>
      </c>
      <c r="N79" s="220">
        <f t="shared" si="23"/>
        <v>0</v>
      </c>
      <c r="O79" s="220">
        <f t="shared" si="23"/>
        <v>0</v>
      </c>
      <c r="P79" s="221">
        <f t="shared" ref="P79:P82" si="24">SUM(D79:O79)</f>
        <v>0.02</v>
      </c>
      <c r="Q79" s="222">
        <v>2.5000000000000001E-2</v>
      </c>
      <c r="R79" s="223">
        <f t="shared" ref="R79:R82" si="25">+P79-Q79</f>
        <v>-5.000000000000001E-3</v>
      </c>
      <c r="S79" s="216"/>
      <c r="T79" s="216"/>
      <c r="U79" s="216"/>
      <c r="V79" s="216"/>
      <c r="W79" s="216"/>
      <c r="X79" s="216"/>
      <c r="Y79" s="216"/>
      <c r="Z79" s="216"/>
      <c r="AA79" s="216"/>
      <c r="AB79" s="216"/>
      <c r="AC79" s="216"/>
      <c r="AD79" s="216"/>
    </row>
    <row r="80" spans="1:30" ht="18" customHeight="1" x14ac:dyDescent="0.3">
      <c r="A80" s="265"/>
      <c r="B80" s="406"/>
      <c r="C80" s="224" t="s">
        <v>66</v>
      </c>
      <c r="D80" s="225">
        <f>D52*$B$51/$P$51</f>
        <v>2.0000000000000001E-4</v>
      </c>
      <c r="E80" s="225">
        <f t="shared" ref="E80:O80" si="26">E52*$B$51/$P$51</f>
        <v>3.0000000000000001E-3</v>
      </c>
      <c r="F80" s="225">
        <f t="shared" si="26"/>
        <v>0</v>
      </c>
      <c r="G80" s="225">
        <f t="shared" si="26"/>
        <v>0</v>
      </c>
      <c r="H80" s="225">
        <f t="shared" si="26"/>
        <v>0</v>
      </c>
      <c r="I80" s="225">
        <f t="shared" si="26"/>
        <v>0</v>
      </c>
      <c r="J80" s="225">
        <f t="shared" si="26"/>
        <v>0</v>
      </c>
      <c r="K80" s="225">
        <f t="shared" si="26"/>
        <v>0</v>
      </c>
      <c r="L80" s="225">
        <f t="shared" si="26"/>
        <v>0</v>
      </c>
      <c r="M80" s="225">
        <f t="shared" si="26"/>
        <v>0</v>
      </c>
      <c r="N80" s="225">
        <f t="shared" si="26"/>
        <v>0</v>
      </c>
      <c r="O80" s="225">
        <f t="shared" si="26"/>
        <v>0</v>
      </c>
      <c r="P80" s="226">
        <f t="shared" si="24"/>
        <v>3.2000000000000002E-3</v>
      </c>
      <c r="Q80" s="227">
        <f>+P80</f>
        <v>3.2000000000000002E-3</v>
      </c>
      <c r="R80" s="223">
        <f t="shared" si="25"/>
        <v>0</v>
      </c>
      <c r="S80" s="216"/>
      <c r="T80" s="216"/>
      <c r="U80" s="216"/>
      <c r="V80" s="216"/>
      <c r="W80" s="216"/>
      <c r="X80" s="216"/>
      <c r="Y80" s="216"/>
      <c r="Z80" s="216"/>
      <c r="AA80" s="216"/>
      <c r="AB80" s="216"/>
      <c r="AC80" s="216"/>
      <c r="AD80" s="216"/>
    </row>
    <row r="81" spans="1:30" ht="18" customHeight="1" x14ac:dyDescent="0.3">
      <c r="A81" s="264" t="str">
        <f t="shared" ref="A81:B81" si="27">A53</f>
        <v xml:space="preserve">11.   Implementar la Fase I y II de la EDCM. Espacios EMAA mujeres en sus diferencias y diversidad; hombres trans y personas no binarias. Jornadas de Dignidad Menstrual. </v>
      </c>
      <c r="B81" s="405">
        <f t="shared" si="27"/>
        <v>0.02</v>
      </c>
      <c r="C81" s="219" t="s">
        <v>65</v>
      </c>
      <c r="D81" s="220">
        <f>D53*$B$53/$P$53</f>
        <v>0</v>
      </c>
      <c r="E81" s="220">
        <f t="shared" ref="E81:O81" si="28">E53*$B$53/$P$53</f>
        <v>2E-3</v>
      </c>
      <c r="F81" s="220">
        <f t="shared" si="28"/>
        <v>6.0000000000000001E-3</v>
      </c>
      <c r="G81" s="220">
        <f t="shared" si="28"/>
        <v>6.0000000000000001E-3</v>
      </c>
      <c r="H81" s="220">
        <f t="shared" si="28"/>
        <v>6.0000000000000001E-3</v>
      </c>
      <c r="I81" s="220">
        <f t="shared" si="28"/>
        <v>0</v>
      </c>
      <c r="J81" s="220">
        <f t="shared" si="28"/>
        <v>0</v>
      </c>
      <c r="K81" s="220">
        <f t="shared" si="28"/>
        <v>0</v>
      </c>
      <c r="L81" s="220">
        <f t="shared" si="28"/>
        <v>0</v>
      </c>
      <c r="M81" s="220">
        <f t="shared" si="28"/>
        <v>0</v>
      </c>
      <c r="N81" s="220">
        <f t="shared" si="28"/>
        <v>0</v>
      </c>
      <c r="O81" s="220">
        <f t="shared" si="28"/>
        <v>0</v>
      </c>
      <c r="P81" s="221">
        <f t="shared" si="24"/>
        <v>0.02</v>
      </c>
      <c r="Q81" s="222">
        <v>2.5000000000000001E-2</v>
      </c>
      <c r="R81" s="223">
        <f t="shared" si="25"/>
        <v>-5.000000000000001E-3</v>
      </c>
      <c r="S81" s="216"/>
      <c r="T81" s="216"/>
      <c r="U81" s="216"/>
      <c r="V81" s="216"/>
      <c r="W81" s="216"/>
      <c r="X81" s="216"/>
      <c r="Y81" s="216"/>
      <c r="Z81" s="216"/>
      <c r="AA81" s="216"/>
      <c r="AB81" s="216"/>
      <c r="AC81" s="216"/>
      <c r="AD81" s="216"/>
    </row>
    <row r="82" spans="1:30" ht="18" customHeight="1" x14ac:dyDescent="0.3">
      <c r="A82" s="265"/>
      <c r="B82" s="406"/>
      <c r="C82" s="224" t="s">
        <v>66</v>
      </c>
      <c r="D82" s="220">
        <f>D54*$B$53/$P$53</f>
        <v>0</v>
      </c>
      <c r="E82" s="220">
        <f t="shared" ref="E82:O82" si="29">E54*$B$53/$P$53</f>
        <v>1E-3</v>
      </c>
      <c r="F82" s="220">
        <f t="shared" si="29"/>
        <v>0</v>
      </c>
      <c r="G82" s="220">
        <f t="shared" si="29"/>
        <v>0</v>
      </c>
      <c r="H82" s="220">
        <f t="shared" si="29"/>
        <v>0</v>
      </c>
      <c r="I82" s="220">
        <f t="shared" si="29"/>
        <v>0</v>
      </c>
      <c r="J82" s="220">
        <f t="shared" si="29"/>
        <v>0</v>
      </c>
      <c r="K82" s="220">
        <f t="shared" si="29"/>
        <v>0</v>
      </c>
      <c r="L82" s="220">
        <f t="shared" si="29"/>
        <v>0</v>
      </c>
      <c r="M82" s="220">
        <f t="shared" si="29"/>
        <v>0</v>
      </c>
      <c r="N82" s="220">
        <f t="shared" si="29"/>
        <v>0</v>
      </c>
      <c r="O82" s="220">
        <f t="shared" si="29"/>
        <v>0</v>
      </c>
      <c r="P82" s="226">
        <f t="shared" si="24"/>
        <v>1E-3</v>
      </c>
      <c r="Q82" s="227">
        <f>+P82</f>
        <v>1E-3</v>
      </c>
      <c r="R82" s="223">
        <f t="shared" si="25"/>
        <v>0</v>
      </c>
      <c r="S82" s="216"/>
      <c r="T82" s="216"/>
      <c r="U82" s="216"/>
      <c r="V82" s="216"/>
      <c r="W82" s="216"/>
      <c r="X82" s="216"/>
      <c r="Y82" s="216"/>
      <c r="Z82" s="216"/>
      <c r="AA82" s="216"/>
      <c r="AB82" s="216"/>
      <c r="AC82" s="216"/>
      <c r="AD82" s="216"/>
    </row>
    <row r="83" spans="1:30" ht="18" customHeight="1" x14ac:dyDescent="0.3">
      <c r="A83" s="264" t="str">
        <f t="shared" ref="A83:B83" si="30">A55</f>
        <v xml:space="preserve">12. Realizar la Mesa Interinstitucional activa, implementando Plan de Trabajo  </v>
      </c>
      <c r="B83" s="405">
        <f t="shared" si="30"/>
        <v>0.02</v>
      </c>
      <c r="C83" s="219" t="s">
        <v>65</v>
      </c>
      <c r="D83" s="220">
        <f>D55*$B$55/$P$55</f>
        <v>0</v>
      </c>
      <c r="E83" s="220">
        <f t="shared" ref="E83:O83" si="31">E55*$B$55/$P$55</f>
        <v>5.0000000000000001E-3</v>
      </c>
      <c r="F83" s="220">
        <f t="shared" si="31"/>
        <v>5.0000000000000001E-3</v>
      </c>
      <c r="G83" s="220">
        <f t="shared" si="31"/>
        <v>5.0000000000000001E-3</v>
      </c>
      <c r="H83" s="220">
        <f t="shared" si="31"/>
        <v>5.0000000000000001E-3</v>
      </c>
      <c r="I83" s="220">
        <f t="shared" si="31"/>
        <v>0</v>
      </c>
      <c r="J83" s="220">
        <f t="shared" si="31"/>
        <v>0</v>
      </c>
      <c r="K83" s="220">
        <f t="shared" si="31"/>
        <v>0</v>
      </c>
      <c r="L83" s="220">
        <f t="shared" si="31"/>
        <v>0</v>
      </c>
      <c r="M83" s="220">
        <f t="shared" si="31"/>
        <v>0</v>
      </c>
      <c r="N83" s="220">
        <f t="shared" si="31"/>
        <v>0</v>
      </c>
      <c r="O83" s="220">
        <f t="shared" si="31"/>
        <v>0</v>
      </c>
      <c r="P83" s="221">
        <f t="shared" ref="P83:P88" si="32">SUM(D83:O83)</f>
        <v>0.02</v>
      </c>
      <c r="Q83" s="222">
        <v>2.5000000000000001E-2</v>
      </c>
      <c r="R83" s="223">
        <f t="shared" si="6"/>
        <v>-5.000000000000001E-3</v>
      </c>
      <c r="S83" s="216"/>
      <c r="T83" s="216"/>
      <c r="U83" s="216"/>
      <c r="V83" s="216"/>
      <c r="W83" s="216"/>
      <c r="X83" s="216"/>
      <c r="Y83" s="216"/>
      <c r="Z83" s="216"/>
      <c r="AA83" s="216"/>
      <c r="AB83" s="216"/>
      <c r="AC83" s="216"/>
      <c r="AD83" s="216"/>
    </row>
    <row r="84" spans="1:30" ht="18" customHeight="1" x14ac:dyDescent="0.3">
      <c r="A84" s="265"/>
      <c r="B84" s="406"/>
      <c r="C84" s="224" t="s">
        <v>66</v>
      </c>
      <c r="D84" s="225">
        <f>D56*$B$55/$P$55</f>
        <v>0</v>
      </c>
      <c r="E84" s="225">
        <f t="shared" ref="E84:O84" si="33">E56*$B$55/$P$55</f>
        <v>5.0000000000000001E-3</v>
      </c>
      <c r="F84" s="225">
        <f t="shared" si="33"/>
        <v>0</v>
      </c>
      <c r="G84" s="225">
        <f t="shared" si="33"/>
        <v>0</v>
      </c>
      <c r="H84" s="225">
        <f t="shared" si="33"/>
        <v>0</v>
      </c>
      <c r="I84" s="225">
        <f t="shared" si="33"/>
        <v>0</v>
      </c>
      <c r="J84" s="225">
        <f t="shared" si="33"/>
        <v>0</v>
      </c>
      <c r="K84" s="225">
        <f t="shared" si="33"/>
        <v>0</v>
      </c>
      <c r="L84" s="225">
        <f t="shared" si="33"/>
        <v>0</v>
      </c>
      <c r="M84" s="225">
        <f t="shared" si="33"/>
        <v>0</v>
      </c>
      <c r="N84" s="225">
        <f t="shared" si="33"/>
        <v>0</v>
      </c>
      <c r="O84" s="225">
        <f t="shared" si="33"/>
        <v>0</v>
      </c>
      <c r="P84" s="226">
        <f t="shared" si="32"/>
        <v>5.0000000000000001E-3</v>
      </c>
      <c r="Q84" s="227">
        <f>+P84</f>
        <v>5.0000000000000001E-3</v>
      </c>
      <c r="R84" s="223">
        <f t="shared" si="6"/>
        <v>0</v>
      </c>
      <c r="S84" s="216"/>
      <c r="T84" s="216"/>
      <c r="U84" s="216"/>
      <c r="V84" s="216"/>
      <c r="W84" s="216"/>
      <c r="X84" s="216"/>
      <c r="Y84" s="216"/>
      <c r="Z84" s="216"/>
      <c r="AA84" s="216"/>
      <c r="AB84" s="216"/>
      <c r="AC84" s="216"/>
      <c r="AD84" s="216"/>
    </row>
    <row r="85" spans="1:30" ht="18" customHeight="1" x14ac:dyDescent="0.3">
      <c r="A85" s="264" t="str">
        <f t="shared" ref="A85:B85" si="34">A57</f>
        <v xml:space="preserve">13. Definir e implementar acciones de las fases III y IV de la Estrategia de Cuidado Menstrual dirigidas a mujeres y personas con experiencias menstruales en sus diferencias y diversidad, según priorización y pertinencia. </v>
      </c>
      <c r="B85" s="405">
        <f t="shared" si="34"/>
        <v>0.02</v>
      </c>
      <c r="C85" s="219" t="s">
        <v>65</v>
      </c>
      <c r="D85" s="220">
        <f>D57*$B$57/$P$57</f>
        <v>2.0000000000000001E-4</v>
      </c>
      <c r="E85" s="220">
        <f t="shared" ref="E85:O85" si="35">E57*$B$57/$P$57</f>
        <v>5.0000000000000001E-3</v>
      </c>
      <c r="F85" s="220">
        <f t="shared" si="35"/>
        <v>5.0000000000000001E-3</v>
      </c>
      <c r="G85" s="220">
        <f t="shared" si="35"/>
        <v>5.0000000000000001E-3</v>
      </c>
      <c r="H85" s="220">
        <f t="shared" si="35"/>
        <v>4.7999999999999996E-3</v>
      </c>
      <c r="I85" s="220">
        <f t="shared" si="35"/>
        <v>0</v>
      </c>
      <c r="J85" s="220">
        <f t="shared" si="35"/>
        <v>0</v>
      </c>
      <c r="K85" s="220">
        <f t="shared" si="35"/>
        <v>0</v>
      </c>
      <c r="L85" s="220">
        <f t="shared" si="35"/>
        <v>0</v>
      </c>
      <c r="M85" s="220">
        <f t="shared" si="35"/>
        <v>0</v>
      </c>
      <c r="N85" s="220">
        <f t="shared" si="35"/>
        <v>0</v>
      </c>
      <c r="O85" s="220">
        <f t="shared" si="35"/>
        <v>0</v>
      </c>
      <c r="P85" s="221">
        <f t="shared" si="32"/>
        <v>0.02</v>
      </c>
      <c r="Q85" s="222">
        <v>2.5000000000000001E-2</v>
      </c>
      <c r="R85" s="223">
        <f t="shared" si="6"/>
        <v>-5.000000000000001E-3</v>
      </c>
      <c r="S85" s="216"/>
      <c r="T85" s="216"/>
      <c r="U85" s="216"/>
      <c r="V85" s="216"/>
      <c r="W85" s="216"/>
      <c r="X85" s="216"/>
      <c r="Y85" s="216"/>
      <c r="Z85" s="216"/>
      <c r="AA85" s="216"/>
      <c r="AB85" s="216"/>
      <c r="AC85" s="216"/>
      <c r="AD85" s="216"/>
    </row>
    <row r="86" spans="1:30" ht="18" customHeight="1" x14ac:dyDescent="0.3">
      <c r="A86" s="265"/>
      <c r="B86" s="406"/>
      <c r="C86" s="224" t="s">
        <v>66</v>
      </c>
      <c r="D86" s="225">
        <f>D58*$B$57/$P$57</f>
        <v>2.0000000000000001E-4</v>
      </c>
      <c r="E86" s="225">
        <f t="shared" ref="E86:O86" si="36">E58*$B$57/$P$57</f>
        <v>3.0000000000000001E-3</v>
      </c>
      <c r="F86" s="225">
        <f t="shared" si="36"/>
        <v>0</v>
      </c>
      <c r="G86" s="225">
        <f t="shared" si="36"/>
        <v>0</v>
      </c>
      <c r="H86" s="225">
        <f t="shared" si="36"/>
        <v>0</v>
      </c>
      <c r="I86" s="225">
        <f t="shared" si="36"/>
        <v>0</v>
      </c>
      <c r="J86" s="225">
        <f t="shared" si="36"/>
        <v>0</v>
      </c>
      <c r="K86" s="225">
        <f t="shared" si="36"/>
        <v>0</v>
      </c>
      <c r="L86" s="225">
        <f t="shared" si="36"/>
        <v>0</v>
      </c>
      <c r="M86" s="225">
        <f t="shared" si="36"/>
        <v>0</v>
      </c>
      <c r="N86" s="225">
        <f t="shared" si="36"/>
        <v>0</v>
      </c>
      <c r="O86" s="225">
        <f t="shared" si="36"/>
        <v>0</v>
      </c>
      <c r="P86" s="226">
        <f t="shared" si="32"/>
        <v>3.2000000000000002E-3</v>
      </c>
      <c r="Q86" s="227">
        <f>+P86</f>
        <v>3.2000000000000002E-3</v>
      </c>
      <c r="R86" s="223">
        <f t="shared" si="6"/>
        <v>0</v>
      </c>
      <c r="S86" s="216"/>
      <c r="T86" s="216"/>
      <c r="U86" s="216"/>
      <c r="V86" s="216"/>
      <c r="W86" s="216"/>
      <c r="X86" s="216"/>
      <c r="Y86" s="216"/>
      <c r="Z86" s="216"/>
      <c r="AA86" s="216"/>
      <c r="AB86" s="216"/>
      <c r="AC86" s="216"/>
      <c r="AD86" s="216"/>
    </row>
    <row r="87" spans="1:30" ht="18" customHeight="1" x14ac:dyDescent="0.3">
      <c r="A87" s="264" t="str">
        <f t="shared" ref="A87:B87" si="37">A59</f>
        <v>14. Diseñar y poner en acción el Plan Estratégico de Comunicaciones de la EDCM</v>
      </c>
      <c r="B87" s="405">
        <f t="shared" si="37"/>
        <v>0.02</v>
      </c>
      <c r="C87" s="219" t="s">
        <v>65</v>
      </c>
      <c r="D87" s="220">
        <f>D59*$B$59/$P$59</f>
        <v>0</v>
      </c>
      <c r="E87" s="220">
        <f t="shared" ref="E87:O87" si="38">E59*$B$59/$P$59</f>
        <v>0</v>
      </c>
      <c r="F87" s="220">
        <f t="shared" si="38"/>
        <v>6.6000000000000008E-3</v>
      </c>
      <c r="G87" s="220">
        <f t="shared" si="38"/>
        <v>6.6000000000000008E-3</v>
      </c>
      <c r="H87" s="220">
        <f t="shared" si="38"/>
        <v>6.8000000000000005E-3</v>
      </c>
      <c r="I87" s="220">
        <f t="shared" si="38"/>
        <v>0</v>
      </c>
      <c r="J87" s="220">
        <f t="shared" si="38"/>
        <v>0</v>
      </c>
      <c r="K87" s="220">
        <f t="shared" si="38"/>
        <v>0</v>
      </c>
      <c r="L87" s="220">
        <f t="shared" si="38"/>
        <v>0</v>
      </c>
      <c r="M87" s="220">
        <f t="shared" si="38"/>
        <v>0</v>
      </c>
      <c r="N87" s="220">
        <f t="shared" si="38"/>
        <v>0</v>
      </c>
      <c r="O87" s="220">
        <f t="shared" si="38"/>
        <v>0</v>
      </c>
      <c r="P87" s="221">
        <f t="shared" si="32"/>
        <v>2.0000000000000004E-2</v>
      </c>
      <c r="Q87" s="222">
        <v>0.02</v>
      </c>
      <c r="R87" s="223">
        <f t="shared" si="6"/>
        <v>0</v>
      </c>
      <c r="S87" s="216"/>
      <c r="T87" s="216"/>
      <c r="U87" s="216"/>
      <c r="V87" s="216"/>
      <c r="W87" s="216"/>
      <c r="X87" s="216"/>
      <c r="Y87" s="216"/>
      <c r="Z87" s="216"/>
      <c r="AA87" s="216"/>
      <c r="AB87" s="216"/>
      <c r="AC87" s="216"/>
      <c r="AD87" s="216"/>
    </row>
    <row r="88" spans="1:30" ht="18" customHeight="1" thickBot="1" x14ac:dyDescent="0.35">
      <c r="A88" s="265"/>
      <c r="B88" s="406"/>
      <c r="C88" s="228" t="s">
        <v>66</v>
      </c>
      <c r="D88" s="220">
        <f>D60*$B$59/$P$59</f>
        <v>0</v>
      </c>
      <c r="E88" s="220">
        <f t="shared" ref="E88:O88" si="39">E60*$B$59/$P$59</f>
        <v>0</v>
      </c>
      <c r="F88" s="220">
        <f t="shared" si="39"/>
        <v>0</v>
      </c>
      <c r="G88" s="220">
        <f t="shared" si="39"/>
        <v>0</v>
      </c>
      <c r="H88" s="220">
        <f t="shared" si="39"/>
        <v>0</v>
      </c>
      <c r="I88" s="220">
        <f t="shared" si="39"/>
        <v>0</v>
      </c>
      <c r="J88" s="220">
        <f t="shared" si="39"/>
        <v>0</v>
      </c>
      <c r="K88" s="220">
        <f t="shared" si="39"/>
        <v>0</v>
      </c>
      <c r="L88" s="220">
        <f t="shared" si="39"/>
        <v>0</v>
      </c>
      <c r="M88" s="220">
        <f t="shared" si="39"/>
        <v>0</v>
      </c>
      <c r="N88" s="220">
        <f t="shared" si="39"/>
        <v>0</v>
      </c>
      <c r="O88" s="220">
        <f t="shared" si="39"/>
        <v>0</v>
      </c>
      <c r="P88" s="230">
        <f t="shared" si="32"/>
        <v>0</v>
      </c>
      <c r="Q88" s="227">
        <f>+P88</f>
        <v>0</v>
      </c>
      <c r="R88" s="223">
        <f t="shared" si="6"/>
        <v>0</v>
      </c>
      <c r="S88" s="216"/>
      <c r="T88" s="216"/>
      <c r="U88" s="216"/>
      <c r="V88" s="216"/>
      <c r="W88" s="216"/>
      <c r="X88" s="216"/>
      <c r="Y88" s="216"/>
      <c r="Z88" s="216"/>
      <c r="AA88" s="216"/>
      <c r="AB88" s="216"/>
      <c r="AC88" s="216"/>
      <c r="AD88" s="216"/>
    </row>
    <row r="89" spans="1:30" x14ac:dyDescent="0.3">
      <c r="A89" s="260"/>
      <c r="B89" s="262"/>
      <c r="C89" s="231"/>
      <c r="D89" s="220"/>
      <c r="E89" s="220"/>
      <c r="F89" s="220"/>
      <c r="G89" s="220"/>
      <c r="H89" s="220"/>
      <c r="I89" s="220"/>
      <c r="J89" s="220"/>
      <c r="K89" s="220"/>
      <c r="L89" s="220"/>
      <c r="M89" s="220"/>
      <c r="N89" s="220"/>
      <c r="O89" s="220"/>
      <c r="P89" s="232"/>
      <c r="Q89" s="222">
        <v>0.02</v>
      </c>
      <c r="R89" s="223">
        <f t="shared" si="6"/>
        <v>-0.02</v>
      </c>
      <c r="S89" s="216"/>
      <c r="T89" s="216"/>
      <c r="U89" s="216"/>
      <c r="V89" s="216"/>
      <c r="W89" s="216"/>
      <c r="X89" s="216"/>
      <c r="Y89" s="216"/>
      <c r="Z89" s="216"/>
      <c r="AA89" s="216"/>
      <c r="AB89" s="216"/>
      <c r="AC89" s="216"/>
      <c r="AD89" s="216"/>
    </row>
    <row r="90" spans="1:30" x14ac:dyDescent="0.3">
      <c r="A90" s="261"/>
      <c r="B90" s="263"/>
      <c r="C90" s="231"/>
      <c r="D90" s="233"/>
      <c r="E90" s="233"/>
      <c r="F90" s="233"/>
      <c r="G90" s="233"/>
      <c r="H90" s="233"/>
      <c r="I90" s="233"/>
      <c r="J90" s="233"/>
      <c r="K90" s="233"/>
      <c r="L90" s="233"/>
      <c r="M90" s="233"/>
      <c r="N90" s="233"/>
      <c r="O90" s="233"/>
      <c r="P90" s="232"/>
      <c r="Q90" s="227">
        <f>+P90</f>
        <v>0</v>
      </c>
      <c r="R90" s="223">
        <f t="shared" si="6"/>
        <v>0</v>
      </c>
      <c r="S90" s="216"/>
      <c r="T90" s="216"/>
      <c r="U90" s="216"/>
      <c r="V90" s="216"/>
      <c r="W90" s="216"/>
      <c r="X90" s="216"/>
      <c r="Y90" s="216"/>
      <c r="Z90" s="216"/>
      <c r="AA90" s="216"/>
      <c r="AB90" s="216"/>
      <c r="AC90" s="216"/>
      <c r="AD90" s="216"/>
    </row>
    <row r="91" spans="1:30" x14ac:dyDescent="0.3">
      <c r="A91" s="260"/>
      <c r="B91" s="262"/>
      <c r="C91" s="231"/>
      <c r="D91" s="220"/>
      <c r="E91" s="220"/>
      <c r="F91" s="220"/>
      <c r="G91" s="220"/>
      <c r="H91" s="220"/>
      <c r="I91" s="220"/>
      <c r="J91" s="220"/>
      <c r="K91" s="220"/>
      <c r="L91" s="220"/>
      <c r="M91" s="220"/>
      <c r="N91" s="220"/>
      <c r="O91" s="220"/>
      <c r="P91" s="232"/>
      <c r="Q91" s="222">
        <v>0.02</v>
      </c>
      <c r="R91" s="223">
        <f t="shared" si="6"/>
        <v>-0.02</v>
      </c>
      <c r="S91" s="216"/>
      <c r="T91" s="216"/>
      <c r="U91" s="216"/>
      <c r="V91" s="216"/>
      <c r="W91" s="216"/>
      <c r="X91" s="216"/>
      <c r="Y91" s="216"/>
      <c r="Z91" s="216"/>
      <c r="AA91" s="216"/>
      <c r="AB91" s="216"/>
      <c r="AC91" s="216"/>
      <c r="AD91" s="216"/>
    </row>
    <row r="92" spans="1:30" x14ac:dyDescent="0.3">
      <c r="A92" s="261"/>
      <c r="B92" s="263"/>
      <c r="C92" s="231"/>
      <c r="D92" s="233"/>
      <c r="E92" s="233"/>
      <c r="F92" s="233"/>
      <c r="G92" s="233"/>
      <c r="H92" s="233"/>
      <c r="I92" s="233"/>
      <c r="J92" s="233"/>
      <c r="K92" s="233"/>
      <c r="L92" s="233"/>
      <c r="M92" s="233"/>
      <c r="N92" s="233"/>
      <c r="O92" s="233"/>
      <c r="P92" s="232"/>
      <c r="Q92" s="227">
        <f>+P92</f>
        <v>0</v>
      </c>
      <c r="R92" s="223">
        <f t="shared" si="6"/>
        <v>0</v>
      </c>
      <c r="S92" s="216"/>
      <c r="T92" s="216"/>
      <c r="U92" s="216"/>
      <c r="V92" s="216"/>
      <c r="W92" s="216"/>
      <c r="X92" s="216"/>
      <c r="Y92" s="216"/>
      <c r="Z92" s="216"/>
      <c r="AA92" s="216"/>
      <c r="AB92" s="216"/>
      <c r="AC92" s="216"/>
      <c r="AD92" s="216"/>
    </row>
    <row r="93" spans="1:30" x14ac:dyDescent="0.3">
      <c r="A93" s="260"/>
      <c r="B93" s="262"/>
      <c r="C93" s="231"/>
      <c r="D93" s="220"/>
      <c r="E93" s="220"/>
      <c r="F93" s="220"/>
      <c r="G93" s="220"/>
      <c r="H93" s="220"/>
      <c r="I93" s="220"/>
      <c r="J93" s="220"/>
      <c r="K93" s="220"/>
      <c r="L93" s="220"/>
      <c r="M93" s="220"/>
      <c r="N93" s="220"/>
      <c r="O93" s="220"/>
      <c r="P93" s="232"/>
      <c r="Q93" s="222"/>
      <c r="R93" s="223"/>
      <c r="S93" s="216"/>
      <c r="T93" s="216"/>
      <c r="U93" s="216"/>
      <c r="V93" s="216"/>
      <c r="W93" s="216"/>
      <c r="X93" s="216"/>
      <c r="Y93" s="216"/>
      <c r="Z93" s="216"/>
      <c r="AA93" s="216"/>
      <c r="AB93" s="216"/>
      <c r="AC93" s="216"/>
      <c r="AD93" s="216"/>
    </row>
    <row r="94" spans="1:30" x14ac:dyDescent="0.3">
      <c r="A94" s="261"/>
      <c r="B94" s="263"/>
      <c r="C94" s="231"/>
      <c r="D94" s="233"/>
      <c r="E94" s="233"/>
      <c r="F94" s="233"/>
      <c r="G94" s="233"/>
      <c r="H94" s="233"/>
      <c r="I94" s="233"/>
      <c r="J94" s="233"/>
      <c r="K94" s="233"/>
      <c r="L94" s="233"/>
      <c r="M94" s="233"/>
      <c r="N94" s="233"/>
      <c r="O94" s="233"/>
      <c r="P94" s="232"/>
      <c r="Q94" s="227"/>
      <c r="R94" s="223"/>
      <c r="S94" s="216"/>
      <c r="T94" s="216"/>
      <c r="U94" s="216"/>
      <c r="V94" s="216"/>
      <c r="W94" s="216"/>
      <c r="X94" s="216"/>
      <c r="Y94" s="216"/>
      <c r="Z94" s="216"/>
      <c r="AA94" s="216"/>
      <c r="AB94" s="216"/>
      <c r="AC94" s="216"/>
      <c r="AD94" s="216"/>
    </row>
    <row r="95" spans="1:30" x14ac:dyDescent="0.3">
      <c r="A95" s="215"/>
      <c r="B95" s="234"/>
      <c r="C95" s="235"/>
      <c r="D95" s="236">
        <f>+D70+D72+D74+D76+D78+D80+D82+D84+D86+D88</f>
        <v>1.4000000000000002E-3</v>
      </c>
      <c r="E95" s="236">
        <f t="shared" ref="E95:O95" si="40">+E70+E72+E74+E76+E78+E80+E82+E84+E86+E88</f>
        <v>3.04E-2</v>
      </c>
      <c r="F95" s="236">
        <f t="shared" si="40"/>
        <v>0</v>
      </c>
      <c r="G95" s="236">
        <f t="shared" si="40"/>
        <v>0</v>
      </c>
      <c r="H95" s="236">
        <f t="shared" si="40"/>
        <v>0</v>
      </c>
      <c r="I95" s="236">
        <f t="shared" si="40"/>
        <v>0</v>
      </c>
      <c r="J95" s="236">
        <f t="shared" si="40"/>
        <v>0</v>
      </c>
      <c r="K95" s="236">
        <f t="shared" si="40"/>
        <v>0</v>
      </c>
      <c r="L95" s="236">
        <f t="shared" si="40"/>
        <v>0</v>
      </c>
      <c r="M95" s="236">
        <f t="shared" si="40"/>
        <v>0</v>
      </c>
      <c r="N95" s="236">
        <f t="shared" si="40"/>
        <v>0</v>
      </c>
      <c r="O95" s="236">
        <f t="shared" si="40"/>
        <v>0</v>
      </c>
      <c r="P95" s="236">
        <f>+P70+P72+P74+P76+P78+P80+P82+P84+P86+P88</f>
        <v>3.1800000000000002E-2</v>
      </c>
      <c r="Q95" s="215"/>
      <c r="R95" s="223">
        <f t="shared" si="6"/>
        <v>3.1800000000000002E-2</v>
      </c>
      <c r="S95" s="216"/>
      <c r="T95" s="216"/>
      <c r="U95" s="216"/>
      <c r="V95" s="216"/>
      <c r="W95" s="216"/>
      <c r="X95" s="216"/>
      <c r="Y95" s="216"/>
      <c r="Z95" s="216"/>
      <c r="AA95" s="216"/>
      <c r="AB95" s="216"/>
      <c r="AC95" s="216"/>
      <c r="AD95" s="216"/>
    </row>
    <row r="96" spans="1:30" x14ac:dyDescent="0.3">
      <c r="A96" s="215"/>
      <c r="B96" s="237"/>
      <c r="C96" s="238" t="s">
        <v>66</v>
      </c>
      <c r="D96" s="239">
        <f t="shared" ref="D96:O96" si="41">D95*0.32/$B$35</f>
        <v>2.2400000000000002E-3</v>
      </c>
      <c r="E96" s="239">
        <f t="shared" si="41"/>
        <v>4.8640000000000003E-2</v>
      </c>
      <c r="F96" s="239">
        <f t="shared" si="41"/>
        <v>0</v>
      </c>
      <c r="G96" s="239">
        <f t="shared" si="41"/>
        <v>0</v>
      </c>
      <c r="H96" s="239">
        <f t="shared" si="41"/>
        <v>0</v>
      </c>
      <c r="I96" s="239">
        <f t="shared" si="41"/>
        <v>0</v>
      </c>
      <c r="J96" s="239">
        <f t="shared" si="41"/>
        <v>0</v>
      </c>
      <c r="K96" s="239">
        <f t="shared" si="41"/>
        <v>0</v>
      </c>
      <c r="L96" s="239">
        <f t="shared" si="41"/>
        <v>0</v>
      </c>
      <c r="M96" s="239">
        <f t="shared" si="41"/>
        <v>0</v>
      </c>
      <c r="N96" s="239">
        <f t="shared" si="41"/>
        <v>0</v>
      </c>
      <c r="O96" s="239">
        <f t="shared" si="41"/>
        <v>0</v>
      </c>
      <c r="P96" s="240">
        <f>SUM(D96:O96)</f>
        <v>5.0880000000000002E-2</v>
      </c>
      <c r="Q96" s="241"/>
      <c r="R96" s="215"/>
      <c r="S96" s="216"/>
      <c r="T96" s="216"/>
      <c r="U96" s="216"/>
      <c r="V96" s="216"/>
      <c r="W96" s="216"/>
      <c r="X96" s="216"/>
      <c r="Y96" s="216"/>
      <c r="Z96" s="216"/>
      <c r="AA96" s="216"/>
      <c r="AB96" s="216"/>
      <c r="AC96" s="216"/>
      <c r="AD96" s="216"/>
    </row>
    <row r="97" spans="1:30" x14ac:dyDescent="0.3">
      <c r="A97" s="241"/>
      <c r="B97" s="242"/>
      <c r="C97" s="242"/>
      <c r="D97" s="242"/>
      <c r="E97" s="242"/>
      <c r="F97" s="242"/>
      <c r="G97" s="242"/>
      <c r="H97" s="242"/>
      <c r="I97" s="242"/>
      <c r="J97" s="242"/>
      <c r="K97" s="242"/>
      <c r="L97" s="242"/>
      <c r="M97" s="242"/>
      <c r="N97" s="242"/>
      <c r="O97" s="242"/>
      <c r="P97" s="242"/>
      <c r="Q97" s="241"/>
      <c r="R97" s="241"/>
      <c r="S97" s="216"/>
      <c r="T97" s="216"/>
      <c r="U97" s="216"/>
      <c r="V97" s="216"/>
      <c r="W97" s="216"/>
      <c r="X97" s="216"/>
      <c r="Y97" s="216"/>
      <c r="Z97" s="216"/>
      <c r="AA97" s="216"/>
      <c r="AB97" s="216"/>
      <c r="AC97" s="216"/>
      <c r="AD97" s="216"/>
    </row>
    <row r="98" spans="1:30" x14ac:dyDescent="0.3">
      <c r="A98" s="222"/>
      <c r="B98" s="33"/>
      <c r="C98" s="33"/>
      <c r="D98" s="236">
        <f>D69+D71+D73+D75+D77+D79+D81+D83+D85+D87</f>
        <v>1.4000000000000002E-3</v>
      </c>
      <c r="E98" s="236">
        <f t="shared" ref="E98:P98" si="42">E69+E71+E73+E75+E77+E79+E81+E83+E85+E87</f>
        <v>3.3399999999999999E-2</v>
      </c>
      <c r="F98" s="236">
        <f t="shared" si="42"/>
        <v>5.2799999999999993E-2</v>
      </c>
      <c r="G98" s="236">
        <f t="shared" si="42"/>
        <v>5.7000000000000002E-2</v>
      </c>
      <c r="H98" s="236">
        <f t="shared" si="42"/>
        <v>5.5399999999999991E-2</v>
      </c>
      <c r="I98" s="236">
        <f t="shared" si="42"/>
        <v>0</v>
      </c>
      <c r="J98" s="236">
        <f t="shared" si="42"/>
        <v>0</v>
      </c>
      <c r="K98" s="236">
        <f t="shared" si="42"/>
        <v>0</v>
      </c>
      <c r="L98" s="236">
        <f t="shared" si="42"/>
        <v>0</v>
      </c>
      <c r="M98" s="236">
        <f t="shared" si="42"/>
        <v>0</v>
      </c>
      <c r="N98" s="236">
        <f t="shared" si="42"/>
        <v>0</v>
      </c>
      <c r="O98" s="236">
        <f t="shared" si="42"/>
        <v>0</v>
      </c>
      <c r="P98" s="236">
        <f t="shared" si="42"/>
        <v>0.2</v>
      </c>
      <c r="Q98" s="222"/>
      <c r="R98" s="222"/>
      <c r="S98" s="216"/>
      <c r="T98" s="216"/>
      <c r="U98" s="216"/>
      <c r="V98" s="216"/>
      <c r="W98" s="216"/>
      <c r="X98" s="216"/>
      <c r="Y98" s="216"/>
      <c r="Z98" s="216"/>
      <c r="AA98" s="216"/>
      <c r="AB98" s="216"/>
      <c r="AC98" s="216"/>
      <c r="AD98" s="216"/>
    </row>
    <row r="99" spans="1:30" x14ac:dyDescent="0.3">
      <c r="A99" s="222"/>
      <c r="B99" s="33"/>
      <c r="C99" s="238" t="s">
        <v>65</v>
      </c>
      <c r="D99" s="239">
        <f t="shared" ref="D99:O99" si="43">D98*0.32/$B$35</f>
        <v>2.2400000000000002E-3</v>
      </c>
      <c r="E99" s="239">
        <f t="shared" si="43"/>
        <v>5.3439999999999994E-2</v>
      </c>
      <c r="F99" s="239">
        <f t="shared" si="43"/>
        <v>8.4479999999999986E-2</v>
      </c>
      <c r="G99" s="239">
        <f t="shared" si="43"/>
        <v>9.1200000000000003E-2</v>
      </c>
      <c r="H99" s="239">
        <f t="shared" si="43"/>
        <v>8.8639999999999983E-2</v>
      </c>
      <c r="I99" s="239">
        <f t="shared" si="43"/>
        <v>0</v>
      </c>
      <c r="J99" s="239">
        <f t="shared" si="43"/>
        <v>0</v>
      </c>
      <c r="K99" s="239">
        <f t="shared" si="43"/>
        <v>0</v>
      </c>
      <c r="L99" s="239">
        <f t="shared" si="43"/>
        <v>0</v>
      </c>
      <c r="M99" s="239">
        <f t="shared" si="43"/>
        <v>0</v>
      </c>
      <c r="N99" s="239">
        <f t="shared" si="43"/>
        <v>0</v>
      </c>
      <c r="O99" s="239">
        <f t="shared" si="43"/>
        <v>0</v>
      </c>
      <c r="P99" s="240">
        <f>SUM(D99:O99)</f>
        <v>0.31999999999999995</v>
      </c>
      <c r="Q99" s="222"/>
      <c r="R99" s="222"/>
      <c r="S99" s="216"/>
      <c r="T99" s="216"/>
      <c r="U99" s="216"/>
      <c r="V99" s="216"/>
      <c r="W99" s="216"/>
      <c r="X99" s="216"/>
      <c r="Y99" s="216"/>
      <c r="Z99" s="216"/>
      <c r="AA99" s="216"/>
      <c r="AB99" s="216"/>
      <c r="AC99" s="216"/>
      <c r="AD99" s="216"/>
    </row>
    <row r="100" spans="1:30" x14ac:dyDescent="0.3">
      <c r="A100" s="216"/>
      <c r="Q100" s="216"/>
      <c r="R100" s="216"/>
      <c r="S100" s="216"/>
      <c r="T100" s="216"/>
      <c r="U100" s="216"/>
      <c r="V100" s="216"/>
      <c r="W100" s="216"/>
      <c r="X100" s="216"/>
      <c r="Y100" s="216"/>
      <c r="Z100" s="216"/>
      <c r="AA100" s="216"/>
      <c r="AB100" s="216"/>
      <c r="AC100" s="216"/>
      <c r="AD100" s="216"/>
    </row>
  </sheetData>
  <mergeCells count="136">
    <mergeCell ref="A1:A4"/>
    <mergeCell ref="B1:AA1"/>
    <mergeCell ref="AB1:AE1"/>
    <mergeCell ref="B2:AA2"/>
    <mergeCell ref="AB2:AE2"/>
    <mergeCell ref="B3:AA4"/>
    <mergeCell ref="AB3:AE3"/>
    <mergeCell ref="AB4:AE4"/>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B30:C30"/>
    <mergeCell ref="Q30:X30"/>
    <mergeCell ref="Y30:AE30"/>
    <mergeCell ref="A32:AE32"/>
    <mergeCell ref="A33:A34"/>
    <mergeCell ref="B33:B34"/>
    <mergeCell ref="C33:C34"/>
    <mergeCell ref="D33:P33"/>
    <mergeCell ref="Q33:AE33"/>
    <mergeCell ref="Q34:T34"/>
    <mergeCell ref="A38:AE38"/>
    <mergeCell ref="A39:A40"/>
    <mergeCell ref="B39:B40"/>
    <mergeCell ref="C39:C40"/>
    <mergeCell ref="D39:P39"/>
    <mergeCell ref="Q39:AE39"/>
    <mergeCell ref="Q40:X40"/>
    <mergeCell ref="Y40:AE40"/>
    <mergeCell ref="U34:X34"/>
    <mergeCell ref="Y34:AB34"/>
    <mergeCell ref="AC34:AE34"/>
    <mergeCell ref="A35:A36"/>
    <mergeCell ref="B35:B36"/>
    <mergeCell ref="Q35:T36"/>
    <mergeCell ref="U35:X36"/>
    <mergeCell ref="Y35:AB36"/>
    <mergeCell ref="AC35:AE36"/>
    <mergeCell ref="A41:A42"/>
    <mergeCell ref="B41:B42"/>
    <mergeCell ref="Q41:X42"/>
    <mergeCell ref="Y41:AE42"/>
    <mergeCell ref="A43:A44"/>
    <mergeCell ref="B43:B44"/>
    <mergeCell ref="Q43:X44"/>
    <mergeCell ref="Y43:AE44"/>
    <mergeCell ref="A53:A54"/>
    <mergeCell ref="B53:B54"/>
    <mergeCell ref="Q53:X54"/>
    <mergeCell ref="Y53:AE54"/>
    <mergeCell ref="A49:A50"/>
    <mergeCell ref="B49:B50"/>
    <mergeCell ref="Q49:X50"/>
    <mergeCell ref="Y49:AE50"/>
    <mergeCell ref="A51:A52"/>
    <mergeCell ref="B51:B52"/>
    <mergeCell ref="Q51:X52"/>
    <mergeCell ref="Y51:AE52"/>
    <mergeCell ref="Y57:AE58"/>
    <mergeCell ref="Y59:AE60"/>
    <mergeCell ref="A57:A58"/>
    <mergeCell ref="B57:B58"/>
    <mergeCell ref="A59:A60"/>
    <mergeCell ref="B59:B60"/>
    <mergeCell ref="Q57:X58"/>
    <mergeCell ref="Q59:X60"/>
    <mergeCell ref="A45:A46"/>
    <mergeCell ref="B45:B46"/>
    <mergeCell ref="Q45:X46"/>
    <mergeCell ref="Y45:AE46"/>
    <mergeCell ref="A47:A48"/>
    <mergeCell ref="B47:B48"/>
    <mergeCell ref="Q47:X48"/>
    <mergeCell ref="Y47:AE48"/>
    <mergeCell ref="A55:A56"/>
    <mergeCell ref="B55:B56"/>
    <mergeCell ref="Q55:X56"/>
    <mergeCell ref="Y55:AE56"/>
    <mergeCell ref="A67:A68"/>
    <mergeCell ref="B67:B68"/>
    <mergeCell ref="C67:P67"/>
    <mergeCell ref="A69:A70"/>
    <mergeCell ref="B69:B70"/>
    <mergeCell ref="A83:A84"/>
    <mergeCell ref="B83:B84"/>
    <mergeCell ref="A85:A86"/>
    <mergeCell ref="B85:B86"/>
    <mergeCell ref="A71:A72"/>
    <mergeCell ref="B71:B72"/>
    <mergeCell ref="A73:A74"/>
    <mergeCell ref="B73:B74"/>
    <mergeCell ref="A75:A76"/>
    <mergeCell ref="B75:B76"/>
    <mergeCell ref="A77:A78"/>
    <mergeCell ref="B77:B78"/>
    <mergeCell ref="A87:A88"/>
    <mergeCell ref="B87:B88"/>
    <mergeCell ref="A89:A90"/>
    <mergeCell ref="B89:B90"/>
    <mergeCell ref="A91:A92"/>
    <mergeCell ref="B91:B92"/>
    <mergeCell ref="A93:A94"/>
    <mergeCell ref="B93:B94"/>
    <mergeCell ref="A79:A80"/>
    <mergeCell ref="B79:B80"/>
    <mergeCell ref="A81:A82"/>
    <mergeCell ref="B81:B82"/>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Y35 AC35 Q45 Q53 Q59 Q55 Q35 Q43 Q41 Q49" xr:uid="{00000000-0002-0000-0100-000002000000}">
      <formula1>2000</formula1>
    </dataValidation>
  </dataValidations>
  <hyperlinks>
    <hyperlink ref="Y53" r:id="rId1" xr:uid="{8111B4AF-D4A2-44EA-BCA7-AE5E333E585B}"/>
    <hyperlink ref="Y55" r:id="rId2" xr:uid="{B8C16376-AA71-4BEA-A7C8-52CFDB9E2504}"/>
    <hyperlink ref="Y57" r:id="rId3" xr:uid="{733DEF39-9899-4536-AC39-64245F444F26}"/>
    <hyperlink ref="Y43" r:id="rId4" xr:uid="{7A9B05E7-5019-4A44-8282-E83B0C1B1667}"/>
    <hyperlink ref="Y45" r:id="rId5" xr:uid="{BD97A975-772F-48D0-A04B-D7D50C2068BB}"/>
    <hyperlink ref="Y51" r:id="rId6" xr:uid="{240418BB-754D-4AAC-A66D-D9D4C1BC89A5}"/>
    <hyperlink ref="Y49" r:id="rId7" xr:uid="{611A8E7E-16E0-4717-B89E-42C5E6614DD2}"/>
    <hyperlink ref="Y47" r:id="rId8" xr:uid="{D4436208-8BAB-4547-A472-BB0D8C1AC7E1}"/>
  </hyperlinks>
  <printOptions horizontalCentered="1" verticalCentered="1"/>
  <pageMargins left="0.23622047244094491" right="0.23622047244094491" top="0.74803149606299213" bottom="0.74803149606299213" header="0.31496062992125984" footer="0.31496062992125984"/>
  <pageSetup scale="20" orientation="landscape" r:id="rId9"/>
  <drawing r:id="rId10"/>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94"/>
  <sheetViews>
    <sheetView showGridLines="0" view="pageBreakPreview" topLeftCell="J33" zoomScale="59" zoomScaleNormal="60" zoomScaleSheetLayoutView="59" workbookViewId="0">
      <selection activeCell="Q47" sqref="Q47:X48"/>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379"/>
      <c r="B1" s="382"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4"/>
      <c r="AB1" s="391" t="s">
        <v>1</v>
      </c>
      <c r="AC1" s="392"/>
      <c r="AD1" s="392"/>
      <c r="AE1" s="393"/>
    </row>
    <row r="2" spans="1:31" ht="30.75" customHeight="1" thickBot="1" x14ac:dyDescent="0.35">
      <c r="A2" s="380"/>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391" t="s">
        <v>3</v>
      </c>
      <c r="AC2" s="392"/>
      <c r="AD2" s="392"/>
      <c r="AE2" s="393"/>
    </row>
    <row r="3" spans="1:31" ht="24" customHeight="1" thickBot="1" x14ac:dyDescent="0.35">
      <c r="A3" s="380"/>
      <c r="B3" s="385" t="s">
        <v>4</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91" t="s">
        <v>5</v>
      </c>
      <c r="AC3" s="392"/>
      <c r="AD3" s="392"/>
      <c r="AE3" s="393"/>
    </row>
    <row r="4" spans="1:31" ht="21.75" customHeight="1" thickBot="1" x14ac:dyDescent="0.35">
      <c r="A4" s="381"/>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6</v>
      </c>
      <c r="AC4" s="392"/>
      <c r="AD4" s="392"/>
      <c r="AE4" s="393"/>
    </row>
    <row r="5" spans="1:31" ht="9" customHeight="1" thickBot="1" x14ac:dyDescent="0.35">
      <c r="A5" s="3"/>
      <c r="B5" s="101"/>
      <c r="C5" s="102"/>
      <c r="D5" s="4"/>
      <c r="E5" s="4"/>
      <c r="F5" s="4"/>
      <c r="G5" s="4"/>
      <c r="H5" s="4"/>
      <c r="I5" s="4"/>
      <c r="J5" s="4"/>
      <c r="K5" s="4"/>
      <c r="L5" s="4"/>
      <c r="M5" s="4"/>
      <c r="N5" s="4"/>
      <c r="O5" s="4"/>
      <c r="P5" s="4"/>
      <c r="Q5" s="4"/>
      <c r="R5" s="4"/>
      <c r="S5" s="4"/>
      <c r="T5" s="4"/>
      <c r="U5" s="4"/>
      <c r="V5" s="4"/>
      <c r="W5" s="4"/>
      <c r="X5" s="4"/>
      <c r="Y5" s="4"/>
      <c r="Z5" s="4"/>
      <c r="AA5" s="4"/>
      <c r="AB5" s="4"/>
      <c r="AC5" s="171"/>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4"/>
      <c r="AA6" s="4"/>
      <c r="AB6" s="4"/>
      <c r="AC6" s="171"/>
      <c r="AD6" s="7"/>
      <c r="AE6" s="8"/>
    </row>
    <row r="7" spans="1:31" x14ac:dyDescent="0.3">
      <c r="A7" s="336" t="s">
        <v>7</v>
      </c>
      <c r="B7" s="337"/>
      <c r="C7" s="374" t="s">
        <v>29</v>
      </c>
      <c r="D7" s="336" t="s">
        <v>8</v>
      </c>
      <c r="E7" s="342"/>
      <c r="F7" s="342"/>
      <c r="G7" s="342"/>
      <c r="H7" s="337"/>
      <c r="I7" s="366">
        <v>45357</v>
      </c>
      <c r="J7" s="367"/>
      <c r="K7" s="336" t="s">
        <v>9</v>
      </c>
      <c r="L7" s="337"/>
      <c r="M7" s="358" t="s">
        <v>10</v>
      </c>
      <c r="N7" s="359"/>
      <c r="O7" s="347"/>
      <c r="P7" s="348"/>
      <c r="Q7" s="4"/>
      <c r="R7" s="4"/>
      <c r="S7" s="4"/>
      <c r="T7" s="4"/>
      <c r="U7" s="4"/>
      <c r="V7" s="4"/>
      <c r="W7" s="4"/>
      <c r="X7" s="4"/>
      <c r="Y7" s="4"/>
      <c r="Z7" s="4"/>
      <c r="AA7" s="4"/>
      <c r="AB7" s="4"/>
      <c r="AC7" s="171"/>
      <c r="AD7" s="7"/>
      <c r="AE7" s="8"/>
    </row>
    <row r="8" spans="1:31" x14ac:dyDescent="0.3">
      <c r="A8" s="338"/>
      <c r="B8" s="339"/>
      <c r="C8" s="375"/>
      <c r="D8" s="338"/>
      <c r="E8" s="343"/>
      <c r="F8" s="343"/>
      <c r="G8" s="343"/>
      <c r="H8" s="339"/>
      <c r="I8" s="368"/>
      <c r="J8" s="369"/>
      <c r="K8" s="338"/>
      <c r="L8" s="339"/>
      <c r="M8" s="377" t="s">
        <v>11</v>
      </c>
      <c r="N8" s="378"/>
      <c r="O8" s="360"/>
      <c r="P8" s="361"/>
      <c r="Q8" s="4"/>
      <c r="R8" s="4"/>
      <c r="S8" s="4"/>
      <c r="T8" s="4"/>
      <c r="U8" s="4"/>
      <c r="V8" s="4"/>
      <c r="W8" s="4"/>
      <c r="X8" s="4"/>
      <c r="Y8" s="4"/>
      <c r="Z8" s="4"/>
      <c r="AA8" s="4"/>
      <c r="AB8" s="4"/>
      <c r="AC8" s="171"/>
      <c r="AD8" s="7"/>
      <c r="AE8" s="8"/>
    </row>
    <row r="9" spans="1:31" ht="15" thickBot="1" x14ac:dyDescent="0.35">
      <c r="A9" s="340"/>
      <c r="B9" s="341"/>
      <c r="C9" s="376"/>
      <c r="D9" s="340"/>
      <c r="E9" s="344"/>
      <c r="F9" s="344"/>
      <c r="G9" s="344"/>
      <c r="H9" s="341"/>
      <c r="I9" s="370"/>
      <c r="J9" s="371"/>
      <c r="K9" s="340"/>
      <c r="L9" s="341"/>
      <c r="M9" s="362" t="s">
        <v>13</v>
      </c>
      <c r="N9" s="363"/>
      <c r="O9" s="364" t="s">
        <v>12</v>
      </c>
      <c r="P9" s="365"/>
      <c r="Q9" s="4"/>
      <c r="R9" s="4"/>
      <c r="S9" s="4"/>
      <c r="T9" s="4"/>
      <c r="U9" s="4"/>
      <c r="V9" s="4"/>
      <c r="W9" s="4"/>
      <c r="X9" s="4"/>
      <c r="Y9" s="4"/>
      <c r="Z9" s="4"/>
      <c r="AA9" s="4"/>
      <c r="AB9" s="4"/>
      <c r="AC9" s="171"/>
      <c r="AD9" s="7"/>
      <c r="AE9" s="8"/>
    </row>
    <row r="10" spans="1:31" ht="15" customHeight="1" thickBot="1" x14ac:dyDescent="0.35">
      <c r="A10" s="75"/>
      <c r="B10" s="76"/>
      <c r="C10" s="76"/>
      <c r="D10" s="9"/>
      <c r="E10" s="9"/>
      <c r="F10" s="9"/>
      <c r="G10" s="9"/>
      <c r="H10" s="9"/>
      <c r="I10" s="172"/>
      <c r="J10" s="172"/>
      <c r="K10" s="9"/>
      <c r="L10" s="9"/>
      <c r="M10" s="173"/>
      <c r="N10" s="173"/>
      <c r="O10" s="174"/>
      <c r="P10" s="174"/>
      <c r="Q10" s="76"/>
      <c r="R10" s="76"/>
      <c r="S10" s="76"/>
      <c r="T10" s="76"/>
      <c r="U10" s="76"/>
      <c r="V10" s="76"/>
      <c r="W10" s="76"/>
      <c r="X10" s="76"/>
      <c r="Y10" s="76"/>
      <c r="Z10" s="76"/>
      <c r="AA10" s="76"/>
      <c r="AB10" s="76"/>
      <c r="AC10" s="171"/>
      <c r="AD10" s="78"/>
      <c r="AE10" s="79"/>
    </row>
    <row r="11" spans="1:31" ht="15" customHeight="1" x14ac:dyDescent="0.3">
      <c r="A11" s="336" t="s">
        <v>14</v>
      </c>
      <c r="B11" s="337"/>
      <c r="C11" s="308" t="s">
        <v>15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ht="15" customHeight="1" x14ac:dyDescent="0.3">
      <c r="A12" s="338"/>
      <c r="B12" s="339"/>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15" customHeight="1" thickBot="1" x14ac:dyDescent="0.35">
      <c r="A13" s="340"/>
      <c r="B13" s="341"/>
      <c r="C13" s="352"/>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C14" s="171"/>
      <c r="AD14" s="9"/>
      <c r="AE14" s="10"/>
    </row>
    <row r="15" spans="1:31" ht="45" customHeight="1" thickBot="1" x14ac:dyDescent="0.35">
      <c r="A15" s="345" t="s">
        <v>16</v>
      </c>
      <c r="B15" s="346"/>
      <c r="C15" s="355" t="s">
        <v>17</v>
      </c>
      <c r="D15" s="356"/>
      <c r="E15" s="356"/>
      <c r="F15" s="356"/>
      <c r="G15" s="356"/>
      <c r="H15" s="356"/>
      <c r="I15" s="356"/>
      <c r="J15" s="356"/>
      <c r="K15" s="357"/>
      <c r="L15" s="372" t="s">
        <v>18</v>
      </c>
      <c r="M15" s="399"/>
      <c r="N15" s="399"/>
      <c r="O15" s="399"/>
      <c r="P15" s="399"/>
      <c r="Q15" s="373"/>
      <c r="R15" s="400" t="s">
        <v>19</v>
      </c>
      <c r="S15" s="401"/>
      <c r="T15" s="401"/>
      <c r="U15" s="401"/>
      <c r="V15" s="401"/>
      <c r="W15" s="401"/>
      <c r="X15" s="402"/>
      <c r="Y15" s="372" t="s">
        <v>20</v>
      </c>
      <c r="Z15" s="373"/>
      <c r="AA15" s="355" t="s">
        <v>21</v>
      </c>
      <c r="AB15" s="356"/>
      <c r="AC15" s="356"/>
      <c r="AD15" s="356"/>
      <c r="AE15" s="357"/>
    </row>
    <row r="16" spans="1:31" ht="9" customHeight="1" thickBot="1" x14ac:dyDescent="0.35">
      <c r="A16" s="6"/>
      <c r="B16" s="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171"/>
      <c r="AD16" s="7"/>
      <c r="AE16" s="8"/>
    </row>
    <row r="17" spans="1:32" s="16" customFormat="1" ht="37.5" customHeight="1" thickBot="1" x14ac:dyDescent="0.35">
      <c r="A17" s="345" t="s">
        <v>22</v>
      </c>
      <c r="B17" s="346"/>
      <c r="C17" s="355" t="s">
        <v>103</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7"/>
    </row>
    <row r="18" spans="1:32" ht="16.5" customHeight="1" thickBot="1" x14ac:dyDescent="0.35">
      <c r="A18" s="175"/>
      <c r="B18" s="176"/>
      <c r="C18" s="176"/>
      <c r="D18" s="176"/>
      <c r="E18" s="176"/>
      <c r="F18" s="197"/>
      <c r="G18" s="176"/>
      <c r="H18" s="176"/>
      <c r="I18" s="197"/>
      <c r="J18" s="176"/>
      <c r="K18" s="176"/>
      <c r="L18" s="176"/>
      <c r="M18" s="176"/>
      <c r="N18" s="176"/>
      <c r="O18" s="176"/>
      <c r="P18" s="176"/>
      <c r="Q18" s="176"/>
      <c r="R18" s="176"/>
      <c r="S18" s="176"/>
      <c r="T18" s="176"/>
      <c r="U18" s="176"/>
      <c r="V18" s="176"/>
      <c r="W18" s="176"/>
      <c r="X18" s="176"/>
      <c r="Y18" s="213"/>
      <c r="Z18" s="197"/>
      <c r="AA18" s="197"/>
      <c r="AB18" s="200"/>
      <c r="AC18" s="198"/>
      <c r="AD18" s="197"/>
      <c r="AE18" s="177"/>
    </row>
    <row r="19" spans="1:32" ht="32.1" customHeight="1" thickBot="1" x14ac:dyDescent="0.35">
      <c r="A19" s="372" t="s">
        <v>24</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73"/>
      <c r="AF19" s="20"/>
    </row>
    <row r="20" spans="1:32" ht="32.1" customHeight="1" thickBot="1" x14ac:dyDescent="0.35">
      <c r="A20" s="104" t="s">
        <v>25</v>
      </c>
      <c r="B20" s="396" t="s">
        <v>26</v>
      </c>
      <c r="C20" s="397"/>
      <c r="D20" s="397"/>
      <c r="E20" s="397"/>
      <c r="F20" s="397"/>
      <c r="G20" s="397"/>
      <c r="H20" s="397"/>
      <c r="I20" s="397"/>
      <c r="J20" s="397"/>
      <c r="K20" s="397"/>
      <c r="L20" s="397"/>
      <c r="M20" s="397"/>
      <c r="N20" s="397"/>
      <c r="O20" s="398"/>
      <c r="P20" s="372" t="s">
        <v>27</v>
      </c>
      <c r="Q20" s="399"/>
      <c r="R20" s="399"/>
      <c r="S20" s="399"/>
      <c r="T20" s="399"/>
      <c r="U20" s="399"/>
      <c r="V20" s="399"/>
      <c r="W20" s="399"/>
      <c r="X20" s="399"/>
      <c r="Y20" s="399"/>
      <c r="Z20" s="399"/>
      <c r="AA20" s="399"/>
      <c r="AB20" s="399"/>
      <c r="AC20" s="399"/>
      <c r="AD20" s="399"/>
      <c r="AE20" s="373"/>
      <c r="AF20" s="20"/>
    </row>
    <row r="21" spans="1:32" ht="32.1" customHeight="1" thickBot="1" x14ac:dyDescent="0.35">
      <c r="A21" s="178">
        <f>134492522</f>
        <v>134492522</v>
      </c>
      <c r="B21" s="114" t="s">
        <v>28</v>
      </c>
      <c r="C21" s="115" t="s">
        <v>29</v>
      </c>
      <c r="D21" s="115" t="s">
        <v>30</v>
      </c>
      <c r="E21" s="115" t="s">
        <v>31</v>
      </c>
      <c r="F21" s="115" t="s">
        <v>32</v>
      </c>
      <c r="G21" s="115" t="s">
        <v>33</v>
      </c>
      <c r="H21" s="115" t="s">
        <v>34</v>
      </c>
      <c r="I21" s="115" t="s">
        <v>35</v>
      </c>
      <c r="J21" s="115" t="s">
        <v>36</v>
      </c>
      <c r="K21" s="115" t="s">
        <v>37</v>
      </c>
      <c r="L21" s="115" t="s">
        <v>38</v>
      </c>
      <c r="M21" s="115" t="s">
        <v>39</v>
      </c>
      <c r="N21" s="115" t="s">
        <v>40</v>
      </c>
      <c r="O21" s="116" t="s">
        <v>41</v>
      </c>
      <c r="P21" s="143"/>
      <c r="Q21" s="104" t="s">
        <v>28</v>
      </c>
      <c r="R21" s="105" t="s">
        <v>29</v>
      </c>
      <c r="S21" s="105" t="s">
        <v>30</v>
      </c>
      <c r="T21" s="105" t="s">
        <v>31</v>
      </c>
      <c r="U21" s="105" t="s">
        <v>32</v>
      </c>
      <c r="V21" s="105" t="s">
        <v>33</v>
      </c>
      <c r="W21" s="105" t="s">
        <v>34</v>
      </c>
      <c r="X21" s="105" t="s">
        <v>35</v>
      </c>
      <c r="Y21" s="105" t="s">
        <v>36</v>
      </c>
      <c r="Z21" s="105" t="s">
        <v>37</v>
      </c>
      <c r="AA21" s="105" t="s">
        <v>38</v>
      </c>
      <c r="AB21" s="105" t="s">
        <v>39</v>
      </c>
      <c r="AC21" s="105" t="s">
        <v>40</v>
      </c>
      <c r="AD21" s="142" t="s">
        <v>42</v>
      </c>
      <c r="AE21" s="142" t="s">
        <v>43</v>
      </c>
      <c r="AF21" s="1"/>
    </row>
    <row r="22" spans="1:32" ht="32.1" customHeight="1" x14ac:dyDescent="0.3">
      <c r="A22" s="139" t="s">
        <v>44</v>
      </c>
      <c r="B22" s="179"/>
      <c r="C22" s="178">
        <f>34094641+28844724+2158601+11407860+313000</f>
        <v>76818826</v>
      </c>
      <c r="D22" s="178">
        <f>2158601+5056721+500000+899738+10000000</f>
        <v>18615060</v>
      </c>
      <c r="E22" s="178">
        <f>2158601+10000000</f>
        <v>12158601</v>
      </c>
      <c r="F22" s="178">
        <v>11308072</v>
      </c>
      <c r="G22" s="178">
        <v>16000297</v>
      </c>
      <c r="H22" s="178"/>
      <c r="I22" s="178"/>
      <c r="J22" s="178"/>
      <c r="K22" s="178"/>
      <c r="L22" s="178"/>
      <c r="M22" s="178"/>
      <c r="N22" s="178">
        <f>SUM(B22:M22)</f>
        <v>134900856</v>
      </c>
      <c r="O22" s="180"/>
      <c r="P22" s="139" t="s">
        <v>45</v>
      </c>
      <c r="Q22" s="181">
        <v>361759000</v>
      </c>
      <c r="R22" s="182">
        <f>560000000-9000</f>
        <v>559991000</v>
      </c>
      <c r="S22" s="182"/>
      <c r="T22" s="182">
        <f>22534856</f>
        <v>22534856</v>
      </c>
      <c r="U22" s="182">
        <v>38689000</v>
      </c>
      <c r="V22" s="182">
        <f>89020878+118901233+64953858</f>
        <v>272875969</v>
      </c>
      <c r="W22" s="182"/>
      <c r="X22" s="182">
        <f>545192891-157478969+58675253-48322000</f>
        <v>398067175</v>
      </c>
      <c r="Y22" s="182"/>
      <c r="Z22" s="182"/>
      <c r="AA22" s="182"/>
      <c r="AB22" s="182"/>
      <c r="AC22" s="182">
        <f>SUM(Q22:AB22)</f>
        <v>1653917000</v>
      </c>
      <c r="AD22" s="171"/>
      <c r="AE22" s="183"/>
      <c r="AF22" s="1"/>
    </row>
    <row r="23" spans="1:32" ht="32.1" customHeight="1" x14ac:dyDescent="0.3">
      <c r="A23" s="140" t="s">
        <v>46</v>
      </c>
      <c r="B23" s="184"/>
      <c r="C23" s="185"/>
      <c r="D23" s="185"/>
      <c r="E23" s="185"/>
      <c r="F23" s="185"/>
      <c r="G23" s="185"/>
      <c r="H23" s="185"/>
      <c r="I23" s="185"/>
      <c r="J23" s="185"/>
      <c r="K23" s="185"/>
      <c r="L23" s="185"/>
      <c r="M23" s="185"/>
      <c r="N23" s="185">
        <f>SUM(B23:M23)</f>
        <v>0</v>
      </c>
      <c r="O23" s="186"/>
      <c r="P23" s="140" t="s">
        <v>47</v>
      </c>
      <c r="Q23" s="184">
        <f>277196390</f>
        <v>277196390</v>
      </c>
      <c r="R23" s="185">
        <f>687744800-Q23</f>
        <v>410548410</v>
      </c>
      <c r="S23" s="185"/>
      <c r="T23" s="185"/>
      <c r="U23" s="185"/>
      <c r="V23" s="185"/>
      <c r="W23" s="185"/>
      <c r="X23" s="185"/>
      <c r="Y23" s="185"/>
      <c r="Z23" s="185"/>
      <c r="AA23" s="185"/>
      <c r="AB23" s="185"/>
      <c r="AC23" s="185">
        <f>SUM(Q23:AB23)</f>
        <v>687744800</v>
      </c>
      <c r="AD23" s="185">
        <f>AC23/SUM(Q22:AB22)</f>
        <v>0.41582788011732147</v>
      </c>
      <c r="AE23" s="187">
        <f>AC23/AC22</f>
        <v>0.41582788011732147</v>
      </c>
      <c r="AF23" s="1"/>
    </row>
    <row r="24" spans="1:32" ht="32.1" customHeight="1" x14ac:dyDescent="0.3">
      <c r="A24" s="140" t="s">
        <v>48</v>
      </c>
      <c r="B24" s="184"/>
      <c r="C24" s="185"/>
      <c r="D24" s="185"/>
      <c r="E24" s="185"/>
      <c r="F24" s="185"/>
      <c r="G24" s="185"/>
      <c r="H24" s="185"/>
      <c r="I24" s="185"/>
      <c r="J24" s="185"/>
      <c r="K24" s="185"/>
      <c r="L24" s="185"/>
      <c r="M24" s="185"/>
      <c r="N24" s="185">
        <f>SUM(B24:M24)</f>
        <v>0</v>
      </c>
      <c r="O24" s="188"/>
      <c r="P24" s="140" t="s">
        <v>44</v>
      </c>
      <c r="Q24" s="184">
        <v>706500</v>
      </c>
      <c r="R24" s="185">
        <v>30694988.192349918</v>
      </c>
      <c r="S24" s="185">
        <v>143604977.19234991</v>
      </c>
      <c r="T24" s="185">
        <v>148493518.78917098</v>
      </c>
      <c r="U24" s="185">
        <v>153411183.83947134</v>
      </c>
      <c r="V24" s="185">
        <v>151197749.90534326</v>
      </c>
      <c r="W24" s="185">
        <v>169177916.57200992</v>
      </c>
      <c r="X24" s="185">
        <f>152703427.502164-3000000</f>
        <v>149703427.50216401</v>
      </c>
      <c r="Y24" s="185">
        <f>152334982+243161</f>
        <v>152578143</v>
      </c>
      <c r="Z24" s="185">
        <v>150667649.3045485</v>
      </c>
      <c r="AA24" s="185">
        <v>150667648.3045485</v>
      </c>
      <c r="AB24" s="185">
        <f>298577778-158752253+75000000+86509772-48322000</f>
        <v>253013297</v>
      </c>
      <c r="AC24" s="185">
        <f>SUM(Q24:AB24)</f>
        <v>1653916999.6019564</v>
      </c>
      <c r="AD24" s="185"/>
      <c r="AE24" s="189"/>
      <c r="AF24" s="1"/>
    </row>
    <row r="25" spans="1:32" ht="32.1" customHeight="1" thickBot="1" x14ac:dyDescent="0.35">
      <c r="A25" s="141" t="s">
        <v>49</v>
      </c>
      <c r="B25" s="190">
        <v>22981077</v>
      </c>
      <c r="C25" s="190">
        <f>78933366-B25</f>
        <v>55952289</v>
      </c>
      <c r="D25" s="191"/>
      <c r="E25" s="191"/>
      <c r="F25" s="191"/>
      <c r="G25" s="191"/>
      <c r="H25" s="191"/>
      <c r="I25" s="191"/>
      <c r="J25" s="191"/>
      <c r="K25" s="191"/>
      <c r="L25" s="191"/>
      <c r="M25" s="191"/>
      <c r="N25" s="191">
        <f>SUM(B25:M25)</f>
        <v>78933366</v>
      </c>
      <c r="O25" s="192" t="str">
        <f>IFERROR(N25/(SUMIF(B25:M25,"&gt;0",B24:M24))," ")</f>
        <v xml:space="preserve"> </v>
      </c>
      <c r="P25" s="141" t="s">
        <v>49</v>
      </c>
      <c r="Q25" s="190">
        <v>652960</v>
      </c>
      <c r="R25" s="191">
        <f>1247230-Q25</f>
        <v>594270</v>
      </c>
      <c r="S25" s="191"/>
      <c r="T25" s="191"/>
      <c r="U25" s="191"/>
      <c r="V25" s="191"/>
      <c r="W25" s="191"/>
      <c r="X25" s="191"/>
      <c r="Y25" s="191"/>
      <c r="Z25" s="191"/>
      <c r="AA25" s="191"/>
      <c r="AB25" s="191"/>
      <c r="AC25" s="191">
        <f>SUM(Q25:AB25)</f>
        <v>1247230</v>
      </c>
      <c r="AD25" s="191">
        <f>AC25/SUM(Q24:AB24)</f>
        <v>7.5410676611956183E-4</v>
      </c>
      <c r="AE25" s="193">
        <f>AC25/AC24</f>
        <v>7.5410676611956183E-4</v>
      </c>
      <c r="AF25" s="1"/>
    </row>
    <row r="26" spans="1:32" customFormat="1" ht="16.5" customHeight="1" thickBot="1" x14ac:dyDescent="0.3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row>
    <row r="27" spans="1:32" ht="33.9" customHeight="1" x14ac:dyDescent="0.3">
      <c r="A27" s="329" t="s">
        <v>50</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1"/>
    </row>
    <row r="28" spans="1:32" ht="15" customHeight="1" x14ac:dyDescent="0.3">
      <c r="A28" s="305" t="s">
        <v>51</v>
      </c>
      <c r="B28" s="307" t="s">
        <v>52</v>
      </c>
      <c r="C28" s="307"/>
      <c r="D28" s="307" t="s">
        <v>53</v>
      </c>
      <c r="E28" s="307"/>
      <c r="F28" s="307"/>
      <c r="G28" s="307"/>
      <c r="H28" s="307"/>
      <c r="I28" s="307"/>
      <c r="J28" s="307"/>
      <c r="K28" s="307"/>
      <c r="L28" s="307"/>
      <c r="M28" s="307"/>
      <c r="N28" s="307"/>
      <c r="O28" s="307"/>
      <c r="P28" s="307" t="s">
        <v>40</v>
      </c>
      <c r="Q28" s="307" t="s">
        <v>54</v>
      </c>
      <c r="R28" s="307"/>
      <c r="S28" s="307"/>
      <c r="T28" s="307"/>
      <c r="U28" s="307"/>
      <c r="V28" s="307"/>
      <c r="W28" s="307"/>
      <c r="X28" s="307"/>
      <c r="Y28" s="307" t="s">
        <v>55</v>
      </c>
      <c r="Z28" s="307"/>
      <c r="AA28" s="307"/>
      <c r="AB28" s="307"/>
      <c r="AC28" s="307"/>
      <c r="AD28" s="307"/>
      <c r="AE28" s="332"/>
    </row>
    <row r="29" spans="1:32" ht="27" customHeight="1" x14ac:dyDescent="0.3">
      <c r="A29" s="305"/>
      <c r="B29" s="307"/>
      <c r="C29" s="307"/>
      <c r="D29" s="100" t="s">
        <v>28</v>
      </c>
      <c r="E29" s="100" t="s">
        <v>29</v>
      </c>
      <c r="F29" s="100" t="s">
        <v>30</v>
      </c>
      <c r="G29" s="100" t="s">
        <v>31</v>
      </c>
      <c r="H29" s="100" t="s">
        <v>32</v>
      </c>
      <c r="I29" s="100" t="s">
        <v>33</v>
      </c>
      <c r="J29" s="100" t="s">
        <v>34</v>
      </c>
      <c r="K29" s="100" t="s">
        <v>35</v>
      </c>
      <c r="L29" s="100" t="s">
        <v>36</v>
      </c>
      <c r="M29" s="100" t="s">
        <v>37</v>
      </c>
      <c r="N29" s="100" t="s">
        <v>38</v>
      </c>
      <c r="O29" s="100" t="s">
        <v>39</v>
      </c>
      <c r="P29" s="307"/>
      <c r="Q29" s="307"/>
      <c r="R29" s="307"/>
      <c r="S29" s="307"/>
      <c r="T29" s="307"/>
      <c r="U29" s="307"/>
      <c r="V29" s="307"/>
      <c r="W29" s="307"/>
      <c r="X29" s="307"/>
      <c r="Y29" s="307"/>
      <c r="Z29" s="307"/>
      <c r="AA29" s="307"/>
      <c r="AB29" s="307"/>
      <c r="AC29" s="307"/>
      <c r="AD29" s="307"/>
      <c r="AE29" s="332"/>
    </row>
    <row r="30" spans="1:32" ht="61.95" customHeight="1" thickBot="1" x14ac:dyDescent="0.35">
      <c r="A30" s="110" t="s">
        <v>103</v>
      </c>
      <c r="B30" s="403"/>
      <c r="C30" s="403"/>
      <c r="D30" s="103"/>
      <c r="E30" s="103"/>
      <c r="F30" s="103"/>
      <c r="G30" s="103"/>
      <c r="H30" s="103"/>
      <c r="I30" s="103"/>
      <c r="J30" s="103"/>
      <c r="K30" s="103"/>
      <c r="L30" s="103"/>
      <c r="M30" s="103"/>
      <c r="N30" s="103"/>
      <c r="O30" s="103"/>
      <c r="P30" s="111">
        <f>SUM(D30:O30)</f>
        <v>0</v>
      </c>
      <c r="Q30" s="394" t="s">
        <v>484</v>
      </c>
      <c r="R30" s="394"/>
      <c r="S30" s="394"/>
      <c r="T30" s="394"/>
      <c r="U30" s="394"/>
      <c r="V30" s="394"/>
      <c r="W30" s="394"/>
      <c r="X30" s="394"/>
      <c r="Y30" s="394" t="s">
        <v>114</v>
      </c>
      <c r="Z30" s="394"/>
      <c r="AA30" s="394"/>
      <c r="AB30" s="394"/>
      <c r="AC30" s="394"/>
      <c r="AD30" s="394"/>
      <c r="AE30" s="395"/>
    </row>
    <row r="31" spans="1:32" ht="12" customHeight="1" thickBot="1" x14ac:dyDescent="0.35">
      <c r="A31" s="121"/>
      <c r="B31" s="122"/>
      <c r="C31" s="122"/>
      <c r="D31" s="9"/>
      <c r="E31" s="9"/>
      <c r="F31" s="9"/>
      <c r="G31" s="9"/>
      <c r="H31" s="9"/>
      <c r="I31" s="9"/>
      <c r="J31" s="9"/>
      <c r="K31" s="9"/>
      <c r="L31" s="9"/>
      <c r="M31" s="9"/>
      <c r="N31" s="9"/>
      <c r="O31" s="9"/>
      <c r="P31" s="123"/>
      <c r="Q31" s="195"/>
      <c r="R31" s="195"/>
      <c r="S31" s="195"/>
      <c r="T31" s="195"/>
      <c r="U31" s="195"/>
      <c r="V31" s="195"/>
      <c r="W31" s="195"/>
      <c r="X31" s="195"/>
      <c r="Y31" s="195"/>
      <c r="Z31" s="195"/>
      <c r="AA31" s="195"/>
      <c r="AB31" s="195"/>
      <c r="AC31" s="195"/>
      <c r="AD31" s="195"/>
      <c r="AE31" s="196"/>
    </row>
    <row r="32" spans="1:32" ht="45" customHeight="1" x14ac:dyDescent="0.3">
      <c r="A32" s="308" t="s">
        <v>56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10"/>
    </row>
    <row r="33" spans="1:41" ht="23.1" customHeight="1" x14ac:dyDescent="0.3">
      <c r="A33" s="305" t="s">
        <v>57</v>
      </c>
      <c r="B33" s="307" t="s">
        <v>58</v>
      </c>
      <c r="C33" s="307" t="s">
        <v>52</v>
      </c>
      <c r="D33" s="307" t="s">
        <v>59</v>
      </c>
      <c r="E33" s="307"/>
      <c r="F33" s="307"/>
      <c r="G33" s="307"/>
      <c r="H33" s="307"/>
      <c r="I33" s="307"/>
      <c r="J33" s="307"/>
      <c r="K33" s="307"/>
      <c r="L33" s="307"/>
      <c r="M33" s="307"/>
      <c r="N33" s="307"/>
      <c r="O33" s="307"/>
      <c r="P33" s="307"/>
      <c r="Q33" s="307" t="s">
        <v>60</v>
      </c>
      <c r="R33" s="307"/>
      <c r="S33" s="307"/>
      <c r="T33" s="307"/>
      <c r="U33" s="307"/>
      <c r="V33" s="307"/>
      <c r="W33" s="307"/>
      <c r="X33" s="307"/>
      <c r="Y33" s="307"/>
      <c r="Z33" s="307"/>
      <c r="AA33" s="307"/>
      <c r="AB33" s="307"/>
      <c r="AC33" s="307"/>
      <c r="AD33" s="307"/>
      <c r="AE33" s="332"/>
      <c r="AG33" s="21"/>
      <c r="AH33" s="21"/>
      <c r="AI33" s="21"/>
      <c r="AJ33" s="21"/>
      <c r="AK33" s="21"/>
      <c r="AL33" s="21"/>
      <c r="AM33" s="21"/>
      <c r="AN33" s="21"/>
      <c r="AO33" s="21"/>
    </row>
    <row r="34" spans="1:41" ht="27" customHeight="1" x14ac:dyDescent="0.3">
      <c r="A34" s="305"/>
      <c r="B34" s="307"/>
      <c r="C34" s="333"/>
      <c r="D34" s="100" t="s">
        <v>28</v>
      </c>
      <c r="E34" s="100" t="s">
        <v>29</v>
      </c>
      <c r="F34" s="100" t="s">
        <v>30</v>
      </c>
      <c r="G34" s="100" t="s">
        <v>31</v>
      </c>
      <c r="H34" s="100" t="s">
        <v>32</v>
      </c>
      <c r="I34" s="100" t="s">
        <v>33</v>
      </c>
      <c r="J34" s="100" t="s">
        <v>34</v>
      </c>
      <c r="K34" s="100" t="s">
        <v>35</v>
      </c>
      <c r="L34" s="100" t="s">
        <v>36</v>
      </c>
      <c r="M34" s="100" t="s">
        <v>37</v>
      </c>
      <c r="N34" s="100" t="s">
        <v>38</v>
      </c>
      <c r="O34" s="100" t="s">
        <v>39</v>
      </c>
      <c r="P34" s="100" t="s">
        <v>40</v>
      </c>
      <c r="Q34" s="287" t="s">
        <v>61</v>
      </c>
      <c r="R34" s="288"/>
      <c r="S34" s="288"/>
      <c r="T34" s="311"/>
      <c r="U34" s="307" t="s">
        <v>62</v>
      </c>
      <c r="V34" s="307"/>
      <c r="W34" s="307"/>
      <c r="X34" s="307"/>
      <c r="Y34" s="307" t="s">
        <v>63</v>
      </c>
      <c r="Z34" s="307"/>
      <c r="AA34" s="307"/>
      <c r="AB34" s="307"/>
      <c r="AC34" s="307" t="s">
        <v>64</v>
      </c>
      <c r="AD34" s="307"/>
      <c r="AE34" s="332"/>
      <c r="AG34" s="21"/>
      <c r="AH34" s="21"/>
      <c r="AI34" s="21"/>
      <c r="AJ34" s="21"/>
      <c r="AK34" s="21"/>
      <c r="AL34" s="21"/>
      <c r="AM34" s="21"/>
      <c r="AN34" s="21"/>
      <c r="AO34" s="21"/>
    </row>
    <row r="35" spans="1:41" ht="75.900000000000006" customHeight="1" x14ac:dyDescent="0.3">
      <c r="A35" s="300" t="s">
        <v>103</v>
      </c>
      <c r="B35" s="430">
        <v>0.32</v>
      </c>
      <c r="C35" s="23" t="s">
        <v>65</v>
      </c>
      <c r="D35" s="249">
        <f>D75</f>
        <v>0.11875000000000002</v>
      </c>
      <c r="E35" s="249">
        <f t="shared" ref="E35:O35" si="0">E75</f>
        <v>0.20312500000000006</v>
      </c>
      <c r="F35" s="249">
        <f t="shared" si="0"/>
        <v>0.22375000000000003</v>
      </c>
      <c r="G35" s="249">
        <f t="shared" si="0"/>
        <v>0.22375000000000003</v>
      </c>
      <c r="H35" s="249">
        <f t="shared" si="0"/>
        <v>0.23062500000000005</v>
      </c>
      <c r="I35" s="249">
        <f t="shared" si="0"/>
        <v>0</v>
      </c>
      <c r="J35" s="249">
        <f t="shared" si="0"/>
        <v>0</v>
      </c>
      <c r="K35" s="249">
        <f t="shared" si="0"/>
        <v>0</v>
      </c>
      <c r="L35" s="249">
        <f t="shared" si="0"/>
        <v>0</v>
      </c>
      <c r="M35" s="249">
        <f t="shared" si="0"/>
        <v>0</v>
      </c>
      <c r="N35" s="249">
        <f t="shared" si="0"/>
        <v>0</v>
      </c>
      <c r="O35" s="249">
        <f t="shared" si="0"/>
        <v>0</v>
      </c>
      <c r="P35" s="250">
        <f>SUM(D35:O35)</f>
        <v>1.0000000000000002</v>
      </c>
      <c r="Q35" s="432" t="s">
        <v>477</v>
      </c>
      <c r="R35" s="433"/>
      <c r="S35" s="433"/>
      <c r="T35" s="434"/>
      <c r="U35" s="432" t="s">
        <v>476</v>
      </c>
      <c r="V35" s="433"/>
      <c r="W35" s="433"/>
      <c r="X35" s="434"/>
      <c r="Y35" s="451" t="s">
        <v>469</v>
      </c>
      <c r="Z35" s="451"/>
      <c r="AA35" s="451"/>
      <c r="AB35" s="451"/>
      <c r="AC35" s="451" t="s">
        <v>459</v>
      </c>
      <c r="AD35" s="451"/>
      <c r="AE35" s="452"/>
      <c r="AG35" s="21"/>
      <c r="AH35" s="21"/>
      <c r="AI35" s="21"/>
      <c r="AJ35" s="21"/>
      <c r="AK35" s="21"/>
      <c r="AL35" s="21"/>
      <c r="AM35" s="21"/>
      <c r="AN35" s="21"/>
      <c r="AO35" s="21"/>
    </row>
    <row r="36" spans="1:41" ht="75.900000000000006" customHeight="1" thickBot="1" x14ac:dyDescent="0.35">
      <c r="A36" s="301"/>
      <c r="B36" s="431"/>
      <c r="C36" s="24" t="s">
        <v>66</v>
      </c>
      <c r="D36" s="252">
        <f>D72</f>
        <v>0.11875000000000002</v>
      </c>
      <c r="E36" s="252">
        <f t="shared" ref="E36:O36" si="1">E72</f>
        <v>0.20312500000000006</v>
      </c>
      <c r="F36" s="252">
        <f t="shared" si="1"/>
        <v>0</v>
      </c>
      <c r="G36" s="252">
        <f t="shared" si="1"/>
        <v>0</v>
      </c>
      <c r="H36" s="252">
        <f t="shared" si="1"/>
        <v>0</v>
      </c>
      <c r="I36" s="252">
        <f t="shared" si="1"/>
        <v>0</v>
      </c>
      <c r="J36" s="252">
        <f t="shared" si="1"/>
        <v>0</v>
      </c>
      <c r="K36" s="252">
        <f t="shared" si="1"/>
        <v>0</v>
      </c>
      <c r="L36" s="252">
        <f t="shared" si="1"/>
        <v>0</v>
      </c>
      <c r="M36" s="252">
        <f t="shared" si="1"/>
        <v>0</v>
      </c>
      <c r="N36" s="252">
        <f t="shared" si="1"/>
        <v>0</v>
      </c>
      <c r="O36" s="252">
        <f t="shared" si="1"/>
        <v>0</v>
      </c>
      <c r="P36" s="251">
        <f>SUM(D36:O36)</f>
        <v>0.32187500000000008</v>
      </c>
      <c r="Q36" s="435"/>
      <c r="R36" s="436"/>
      <c r="S36" s="436"/>
      <c r="T36" s="437"/>
      <c r="U36" s="435"/>
      <c r="V36" s="436"/>
      <c r="W36" s="436"/>
      <c r="X36" s="437"/>
      <c r="Y36" s="453"/>
      <c r="Z36" s="453"/>
      <c r="AA36" s="453"/>
      <c r="AB36" s="453"/>
      <c r="AC36" s="453"/>
      <c r="AD36" s="453"/>
      <c r="AE36" s="454"/>
      <c r="AG36" s="21"/>
      <c r="AH36" s="21"/>
      <c r="AI36" s="21"/>
      <c r="AJ36" s="21"/>
      <c r="AK36" s="21"/>
      <c r="AL36" s="21"/>
      <c r="AM36" s="21"/>
      <c r="AN36" s="21"/>
      <c r="AO36" s="21"/>
    </row>
    <row r="37" spans="1:41" customFormat="1" ht="17.25" customHeight="1" thickBot="1" x14ac:dyDescent="0.35">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row>
    <row r="38" spans="1:41" ht="45" customHeight="1" thickBot="1" x14ac:dyDescent="0.35">
      <c r="A38" s="308" t="s">
        <v>67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G38" s="21"/>
      <c r="AH38" s="21"/>
      <c r="AI38" s="21"/>
      <c r="AJ38" s="21"/>
      <c r="AK38" s="21"/>
      <c r="AL38" s="21"/>
      <c r="AM38" s="21"/>
      <c r="AN38" s="21"/>
      <c r="AO38" s="21"/>
    </row>
    <row r="39" spans="1:41" ht="26.1" customHeight="1" x14ac:dyDescent="0.3">
      <c r="A39" s="304" t="s">
        <v>68</v>
      </c>
      <c r="B39" s="306" t="s">
        <v>69</v>
      </c>
      <c r="C39" s="312" t="s">
        <v>70</v>
      </c>
      <c r="D39" s="314" t="s">
        <v>71</v>
      </c>
      <c r="E39" s="315"/>
      <c r="F39" s="315"/>
      <c r="G39" s="315"/>
      <c r="H39" s="315"/>
      <c r="I39" s="315"/>
      <c r="J39" s="315"/>
      <c r="K39" s="315"/>
      <c r="L39" s="315"/>
      <c r="M39" s="315"/>
      <c r="N39" s="315"/>
      <c r="O39" s="315"/>
      <c r="P39" s="316"/>
      <c r="Q39" s="306" t="s">
        <v>72</v>
      </c>
      <c r="R39" s="306"/>
      <c r="S39" s="306"/>
      <c r="T39" s="306"/>
      <c r="U39" s="306"/>
      <c r="V39" s="306"/>
      <c r="W39" s="306"/>
      <c r="X39" s="306"/>
      <c r="Y39" s="306"/>
      <c r="Z39" s="306"/>
      <c r="AA39" s="306"/>
      <c r="AB39" s="306"/>
      <c r="AC39" s="306"/>
      <c r="AD39" s="306"/>
      <c r="AE39" s="328"/>
      <c r="AG39" s="21"/>
      <c r="AH39" s="21"/>
      <c r="AI39" s="21"/>
      <c r="AJ39" s="21"/>
      <c r="AK39" s="21"/>
      <c r="AL39" s="21"/>
      <c r="AM39" s="21"/>
      <c r="AN39" s="21"/>
      <c r="AO39" s="21"/>
    </row>
    <row r="40" spans="1:41" ht="26.1" customHeight="1" x14ac:dyDescent="0.3">
      <c r="A40" s="305"/>
      <c r="B40" s="307"/>
      <c r="C40" s="313"/>
      <c r="D40" s="100" t="s">
        <v>73</v>
      </c>
      <c r="E40" s="100" t="s">
        <v>74</v>
      </c>
      <c r="F40" s="100" t="s">
        <v>75</v>
      </c>
      <c r="G40" s="100" t="s">
        <v>76</v>
      </c>
      <c r="H40" s="100" t="s">
        <v>77</v>
      </c>
      <c r="I40" s="100" t="s">
        <v>78</v>
      </c>
      <c r="J40" s="100" t="s">
        <v>79</v>
      </c>
      <c r="K40" s="100" t="s">
        <v>80</v>
      </c>
      <c r="L40" s="100" t="s">
        <v>81</v>
      </c>
      <c r="M40" s="100" t="s">
        <v>82</v>
      </c>
      <c r="N40" s="100" t="s">
        <v>83</v>
      </c>
      <c r="O40" s="100" t="s">
        <v>84</v>
      </c>
      <c r="P40" s="100" t="s">
        <v>85</v>
      </c>
      <c r="Q40" s="287" t="s">
        <v>86</v>
      </c>
      <c r="R40" s="288"/>
      <c r="S40" s="288"/>
      <c r="T40" s="288"/>
      <c r="U40" s="288"/>
      <c r="V40" s="288"/>
      <c r="W40" s="288"/>
      <c r="X40" s="311"/>
      <c r="Y40" s="287" t="s">
        <v>87</v>
      </c>
      <c r="Z40" s="288"/>
      <c r="AA40" s="288"/>
      <c r="AB40" s="288"/>
      <c r="AC40" s="288"/>
      <c r="AD40" s="288"/>
      <c r="AE40" s="289"/>
      <c r="AG40" s="26"/>
      <c r="AH40" s="26"/>
      <c r="AI40" s="26"/>
      <c r="AJ40" s="26"/>
      <c r="AK40" s="26"/>
      <c r="AL40" s="26"/>
      <c r="AM40" s="26"/>
      <c r="AN40" s="26"/>
      <c r="AO40" s="26"/>
    </row>
    <row r="41" spans="1:41" ht="63" customHeight="1" x14ac:dyDescent="0.3">
      <c r="A41" s="424" t="s">
        <v>104</v>
      </c>
      <c r="B41" s="442">
        <v>0.1</v>
      </c>
      <c r="C41" s="30" t="s">
        <v>65</v>
      </c>
      <c r="D41" s="31">
        <v>0.12</v>
      </c>
      <c r="E41" s="31">
        <v>0.22</v>
      </c>
      <c r="F41" s="31">
        <v>0.22</v>
      </c>
      <c r="G41" s="31">
        <v>0.22</v>
      </c>
      <c r="H41" s="31">
        <v>0.22</v>
      </c>
      <c r="I41" s="31">
        <v>0</v>
      </c>
      <c r="J41" s="31"/>
      <c r="K41" s="31"/>
      <c r="L41" s="31"/>
      <c r="M41" s="31"/>
      <c r="N41" s="31"/>
      <c r="O41" s="31"/>
      <c r="P41" s="112">
        <f t="shared" ref="P41:P48" si="2">SUM(D41:O41)</f>
        <v>0.99999999999999989</v>
      </c>
      <c r="Q41" s="443" t="s">
        <v>551</v>
      </c>
      <c r="R41" s="444"/>
      <c r="S41" s="444"/>
      <c r="T41" s="444"/>
      <c r="U41" s="444"/>
      <c r="V41" s="444"/>
      <c r="W41" s="444"/>
      <c r="X41" s="445"/>
      <c r="Y41" s="281" t="s">
        <v>470</v>
      </c>
      <c r="Z41" s="290"/>
      <c r="AA41" s="290"/>
      <c r="AB41" s="290"/>
      <c r="AC41" s="290"/>
      <c r="AD41" s="290"/>
      <c r="AE41" s="291"/>
      <c r="AG41" s="27"/>
      <c r="AH41" s="27"/>
      <c r="AI41" s="27"/>
      <c r="AJ41" s="27"/>
      <c r="AK41" s="27"/>
      <c r="AL41" s="27"/>
      <c r="AM41" s="27"/>
      <c r="AN41" s="27"/>
      <c r="AO41" s="27"/>
    </row>
    <row r="42" spans="1:41" ht="63" customHeight="1" x14ac:dyDescent="0.3">
      <c r="A42" s="295"/>
      <c r="B42" s="442"/>
      <c r="C42" s="28" t="s">
        <v>66</v>
      </c>
      <c r="D42" s="29">
        <v>0.12</v>
      </c>
      <c r="E42" s="29">
        <v>0.22</v>
      </c>
      <c r="F42" s="29"/>
      <c r="G42" s="29"/>
      <c r="H42" s="29"/>
      <c r="I42" s="29"/>
      <c r="J42" s="29"/>
      <c r="K42" s="29"/>
      <c r="L42" s="29"/>
      <c r="M42" s="29"/>
      <c r="N42" s="29"/>
      <c r="O42" s="29"/>
      <c r="P42" s="112">
        <f t="shared" si="2"/>
        <v>0.33999999999999997</v>
      </c>
      <c r="Q42" s="446"/>
      <c r="R42" s="447"/>
      <c r="S42" s="447"/>
      <c r="T42" s="447"/>
      <c r="U42" s="447"/>
      <c r="V42" s="447"/>
      <c r="W42" s="447"/>
      <c r="X42" s="448"/>
      <c r="Y42" s="292"/>
      <c r="Z42" s="293"/>
      <c r="AA42" s="293"/>
      <c r="AB42" s="293"/>
      <c r="AC42" s="293"/>
      <c r="AD42" s="293"/>
      <c r="AE42" s="294"/>
    </row>
    <row r="43" spans="1:41" ht="63" customHeight="1" x14ac:dyDescent="0.3">
      <c r="A43" s="295" t="s">
        <v>105</v>
      </c>
      <c r="B43" s="442">
        <v>0.1</v>
      </c>
      <c r="C43" s="30" t="s">
        <v>65</v>
      </c>
      <c r="D43" s="31">
        <v>0.15</v>
      </c>
      <c r="E43" s="31">
        <v>0.21</v>
      </c>
      <c r="F43" s="31">
        <v>0.21</v>
      </c>
      <c r="G43" s="31">
        <v>0.21</v>
      </c>
      <c r="H43" s="31">
        <v>0.22</v>
      </c>
      <c r="I43" s="31">
        <v>0</v>
      </c>
      <c r="J43" s="31"/>
      <c r="K43" s="31"/>
      <c r="L43" s="31"/>
      <c r="M43" s="31"/>
      <c r="N43" s="31"/>
      <c r="O43" s="31"/>
      <c r="P43" s="112">
        <f t="shared" si="2"/>
        <v>0.99999999999999989</v>
      </c>
      <c r="Q43" s="443" t="s">
        <v>552</v>
      </c>
      <c r="R43" s="444"/>
      <c r="S43" s="444"/>
      <c r="T43" s="444"/>
      <c r="U43" s="444"/>
      <c r="V43" s="444"/>
      <c r="W43" s="444"/>
      <c r="X43" s="445"/>
      <c r="Y43" s="281" t="s">
        <v>471</v>
      </c>
      <c r="Z43" s="290"/>
      <c r="AA43" s="290"/>
      <c r="AB43" s="290"/>
      <c r="AC43" s="290"/>
      <c r="AD43" s="290"/>
      <c r="AE43" s="291"/>
    </row>
    <row r="44" spans="1:41" ht="63" customHeight="1" x14ac:dyDescent="0.3">
      <c r="A44" s="295"/>
      <c r="B44" s="442"/>
      <c r="C44" s="28" t="s">
        <v>66</v>
      </c>
      <c r="D44" s="29">
        <v>0.15</v>
      </c>
      <c r="E44" s="29">
        <v>0.21</v>
      </c>
      <c r="F44" s="29"/>
      <c r="G44" s="29"/>
      <c r="H44" s="29"/>
      <c r="I44" s="29"/>
      <c r="J44" s="29"/>
      <c r="K44" s="29"/>
      <c r="L44" s="29"/>
      <c r="M44" s="29"/>
      <c r="N44" s="29"/>
      <c r="O44" s="29"/>
      <c r="P44" s="112">
        <f t="shared" si="2"/>
        <v>0.36</v>
      </c>
      <c r="Q44" s="446"/>
      <c r="R44" s="447"/>
      <c r="S44" s="447"/>
      <c r="T44" s="447"/>
      <c r="U44" s="447"/>
      <c r="V44" s="447"/>
      <c r="W44" s="447"/>
      <c r="X44" s="448"/>
      <c r="Y44" s="292"/>
      <c r="Z44" s="293"/>
      <c r="AA44" s="293"/>
      <c r="AB44" s="293"/>
      <c r="AC44" s="293"/>
      <c r="AD44" s="293"/>
      <c r="AE44" s="294"/>
    </row>
    <row r="45" spans="1:41" ht="63" customHeight="1" x14ac:dyDescent="0.3">
      <c r="A45" s="295" t="s">
        <v>106</v>
      </c>
      <c r="B45" s="442">
        <v>0.1</v>
      </c>
      <c r="C45" s="30" t="s">
        <v>65</v>
      </c>
      <c r="D45" s="31">
        <v>0.11</v>
      </c>
      <c r="E45" s="31">
        <v>0.22</v>
      </c>
      <c r="F45" s="31">
        <v>0.22</v>
      </c>
      <c r="G45" s="31">
        <v>0.22</v>
      </c>
      <c r="H45" s="31">
        <v>0.23</v>
      </c>
      <c r="I45" s="31">
        <v>0</v>
      </c>
      <c r="J45" s="31"/>
      <c r="K45" s="31"/>
      <c r="L45" s="31"/>
      <c r="M45" s="31"/>
      <c r="N45" s="31"/>
      <c r="O45" s="31"/>
      <c r="P45" s="112">
        <f t="shared" si="2"/>
        <v>1</v>
      </c>
      <c r="Q45" s="443" t="s">
        <v>553</v>
      </c>
      <c r="R45" s="444"/>
      <c r="S45" s="444"/>
      <c r="T45" s="444"/>
      <c r="U45" s="444"/>
      <c r="V45" s="444"/>
      <c r="W45" s="444"/>
      <c r="X45" s="445"/>
      <c r="Y45" s="281" t="s">
        <v>472</v>
      </c>
      <c r="Z45" s="290"/>
      <c r="AA45" s="290"/>
      <c r="AB45" s="290"/>
      <c r="AC45" s="290"/>
      <c r="AD45" s="290"/>
      <c r="AE45" s="291"/>
    </row>
    <row r="46" spans="1:41" ht="63" customHeight="1" x14ac:dyDescent="0.3">
      <c r="A46" s="295"/>
      <c r="B46" s="442"/>
      <c r="C46" s="28" t="s">
        <v>66</v>
      </c>
      <c r="D46" s="29">
        <v>0.11</v>
      </c>
      <c r="E46" s="29">
        <v>0.22</v>
      </c>
      <c r="F46" s="29"/>
      <c r="G46" s="29"/>
      <c r="H46" s="29"/>
      <c r="I46" s="29"/>
      <c r="J46" s="29"/>
      <c r="K46" s="29"/>
      <c r="L46" s="29"/>
      <c r="M46" s="29"/>
      <c r="N46" s="29"/>
      <c r="O46" s="29"/>
      <c r="P46" s="112">
        <f t="shared" si="2"/>
        <v>0.33</v>
      </c>
      <c r="Q46" s="446"/>
      <c r="R46" s="447"/>
      <c r="S46" s="447"/>
      <c r="T46" s="447"/>
      <c r="U46" s="447"/>
      <c r="V46" s="447"/>
      <c r="W46" s="447"/>
      <c r="X46" s="448"/>
      <c r="Y46" s="292"/>
      <c r="Z46" s="293"/>
      <c r="AA46" s="293"/>
      <c r="AB46" s="293"/>
      <c r="AC46" s="293"/>
      <c r="AD46" s="293"/>
      <c r="AE46" s="294"/>
    </row>
    <row r="47" spans="1:41" ht="63" customHeight="1" x14ac:dyDescent="0.3">
      <c r="A47" s="295" t="s">
        <v>107</v>
      </c>
      <c r="B47" s="442">
        <v>0.02</v>
      </c>
      <c r="C47" s="30" t="s">
        <v>65</v>
      </c>
      <c r="D47" s="31">
        <v>0</v>
      </c>
      <c r="E47" s="31">
        <v>0</v>
      </c>
      <c r="F47" s="31">
        <v>0.33</v>
      </c>
      <c r="G47" s="31">
        <v>0.33</v>
      </c>
      <c r="H47" s="31">
        <v>0.34</v>
      </c>
      <c r="I47" s="31">
        <v>0</v>
      </c>
      <c r="J47" s="31"/>
      <c r="K47" s="31"/>
      <c r="L47" s="31"/>
      <c r="M47" s="31"/>
      <c r="N47" s="31"/>
      <c r="O47" s="31"/>
      <c r="P47" s="112">
        <f t="shared" si="2"/>
        <v>1</v>
      </c>
      <c r="Q47" s="417" t="s">
        <v>468</v>
      </c>
      <c r="R47" s="418"/>
      <c r="S47" s="418"/>
      <c r="T47" s="418"/>
      <c r="U47" s="418"/>
      <c r="V47" s="418"/>
      <c r="W47" s="418"/>
      <c r="X47" s="419"/>
      <c r="Y47" s="413" t="s">
        <v>457</v>
      </c>
      <c r="Z47" s="282"/>
      <c r="AA47" s="282"/>
      <c r="AB47" s="282"/>
      <c r="AC47" s="282"/>
      <c r="AD47" s="282"/>
      <c r="AE47" s="283"/>
    </row>
    <row r="48" spans="1:41" ht="63" customHeight="1" thickBot="1" x14ac:dyDescent="0.35">
      <c r="A48" s="449"/>
      <c r="B48" s="450"/>
      <c r="C48" s="24" t="s">
        <v>66</v>
      </c>
      <c r="D48" s="32">
        <v>0</v>
      </c>
      <c r="E48" s="32">
        <v>0</v>
      </c>
      <c r="F48" s="32"/>
      <c r="G48" s="32"/>
      <c r="H48" s="32"/>
      <c r="I48" s="32"/>
      <c r="J48" s="32"/>
      <c r="K48" s="32"/>
      <c r="L48" s="32"/>
      <c r="M48" s="32"/>
      <c r="N48" s="32"/>
      <c r="O48" s="32"/>
      <c r="P48" s="113">
        <f t="shared" si="2"/>
        <v>0</v>
      </c>
      <c r="Q48" s="420"/>
      <c r="R48" s="421"/>
      <c r="S48" s="421"/>
      <c r="T48" s="421"/>
      <c r="U48" s="421"/>
      <c r="V48" s="421"/>
      <c r="W48" s="421"/>
      <c r="X48" s="422"/>
      <c r="Y48" s="284"/>
      <c r="Z48" s="285"/>
      <c r="AA48" s="285"/>
      <c r="AB48" s="285"/>
      <c r="AC48" s="285"/>
      <c r="AD48" s="285"/>
      <c r="AE48" s="286"/>
    </row>
    <row r="49" spans="1:30" ht="15" customHeight="1" x14ac:dyDescent="0.3">
      <c r="A49" s="254" t="s">
        <v>92</v>
      </c>
    </row>
    <row r="50" spans="1:30" x14ac:dyDescent="0.3">
      <c r="A50" s="254"/>
    </row>
    <row r="51" spans="1:30" x14ac:dyDescent="0.3">
      <c r="A51" s="254"/>
    </row>
    <row r="52" spans="1:30" x14ac:dyDescent="0.3">
      <c r="A52" s="254"/>
    </row>
    <row r="53" spans="1:30" x14ac:dyDescent="0.3">
      <c r="A53" s="254"/>
    </row>
    <row r="54" spans="1:30" ht="15" thickBot="1" x14ac:dyDescent="0.35">
      <c r="A54" s="254"/>
    </row>
    <row r="55" spans="1:30" x14ac:dyDescent="0.3">
      <c r="A55" s="268" t="s">
        <v>68</v>
      </c>
      <c r="B55" s="270" t="s">
        <v>69</v>
      </c>
      <c r="C55" s="272" t="s">
        <v>71</v>
      </c>
      <c r="D55" s="273"/>
      <c r="E55" s="273"/>
      <c r="F55" s="273"/>
      <c r="G55" s="273"/>
      <c r="H55" s="273"/>
      <c r="I55" s="273"/>
      <c r="J55" s="273"/>
      <c r="K55" s="273"/>
      <c r="L55" s="273"/>
      <c r="M55" s="273"/>
      <c r="N55" s="273"/>
      <c r="O55" s="273"/>
      <c r="P55" s="274"/>
      <c r="Q55" s="215"/>
      <c r="R55" s="215"/>
      <c r="S55" s="216"/>
      <c r="T55" s="216"/>
      <c r="U55" s="216"/>
      <c r="V55" s="216"/>
      <c r="W55" s="216"/>
      <c r="X55" s="216"/>
      <c r="Y55" s="216"/>
      <c r="Z55" s="216"/>
      <c r="AA55" s="216"/>
      <c r="AB55" s="216"/>
      <c r="AC55" s="216"/>
      <c r="AD55" s="216"/>
    </row>
    <row r="56" spans="1:30" x14ac:dyDescent="0.3">
      <c r="A56" s="269"/>
      <c r="B56" s="271"/>
      <c r="C56" s="217" t="s">
        <v>70</v>
      </c>
      <c r="D56" s="217" t="s">
        <v>73</v>
      </c>
      <c r="E56" s="217" t="s">
        <v>74</v>
      </c>
      <c r="F56" s="217" t="s">
        <v>75</v>
      </c>
      <c r="G56" s="217" t="s">
        <v>76</v>
      </c>
      <c r="H56" s="217" t="s">
        <v>77</v>
      </c>
      <c r="I56" s="217" t="s">
        <v>78</v>
      </c>
      <c r="J56" s="217" t="s">
        <v>79</v>
      </c>
      <c r="K56" s="217" t="s">
        <v>80</v>
      </c>
      <c r="L56" s="217" t="s">
        <v>81</v>
      </c>
      <c r="M56" s="217" t="s">
        <v>82</v>
      </c>
      <c r="N56" s="217" t="s">
        <v>83</v>
      </c>
      <c r="O56" s="217" t="s">
        <v>84</v>
      </c>
      <c r="P56" s="218" t="s">
        <v>85</v>
      </c>
      <c r="Q56" s="215"/>
      <c r="R56" s="215"/>
      <c r="S56" s="216"/>
      <c r="T56" s="216"/>
      <c r="U56" s="216"/>
      <c r="V56" s="216"/>
      <c r="W56" s="216"/>
      <c r="X56" s="216"/>
      <c r="Y56" s="216"/>
      <c r="Z56" s="216"/>
      <c r="AA56" s="216"/>
      <c r="AB56" s="216"/>
      <c r="AC56" s="216"/>
      <c r="AD56" s="216"/>
    </row>
    <row r="57" spans="1:30" ht="18" customHeight="1" x14ac:dyDescent="0.3">
      <c r="A57" s="264" t="str">
        <f>A41</f>
        <v>15. Realizar atenciones en intervención de trabajo  social que comprenden plan de intervención, valoraciones iniciales, intervenciones, seguimiento y cierres  a mujeres que realizan actividades sexuales pagadas.</v>
      </c>
      <c r="B57" s="266">
        <f>B41</f>
        <v>0.1</v>
      </c>
      <c r="C57" s="219" t="s">
        <v>65</v>
      </c>
      <c r="D57" s="220">
        <f>D41*$B$41/$P$41</f>
        <v>1.2000000000000002E-2</v>
      </c>
      <c r="E57" s="220">
        <f t="shared" ref="E57:J58" si="3">E41*$B$41/$P$41</f>
        <v>2.2000000000000006E-2</v>
      </c>
      <c r="F57" s="220">
        <f t="shared" si="3"/>
        <v>2.2000000000000006E-2</v>
      </c>
      <c r="G57" s="220">
        <f t="shared" si="3"/>
        <v>2.2000000000000006E-2</v>
      </c>
      <c r="H57" s="220">
        <f t="shared" si="3"/>
        <v>2.2000000000000006E-2</v>
      </c>
      <c r="I57" s="220">
        <f t="shared" si="3"/>
        <v>0</v>
      </c>
      <c r="J57" s="220">
        <f t="shared" si="3"/>
        <v>0</v>
      </c>
      <c r="K57" s="220"/>
      <c r="L57" s="220"/>
      <c r="M57" s="220"/>
      <c r="N57" s="220"/>
      <c r="O57" s="220"/>
      <c r="P57" s="221">
        <f t="shared" ref="P57:P64" si="4">SUM(D57:O57)</f>
        <v>0.10000000000000002</v>
      </c>
      <c r="Q57" s="222">
        <v>0.05</v>
      </c>
      <c r="R57" s="223">
        <f t="shared" ref="R57:R71" si="5">+P57-Q57</f>
        <v>5.0000000000000017E-2</v>
      </c>
      <c r="S57" s="216"/>
      <c r="T57" s="216"/>
      <c r="U57" s="216"/>
      <c r="V57" s="216"/>
      <c r="W57" s="216"/>
      <c r="X57" s="216"/>
      <c r="Y57" s="216"/>
      <c r="Z57" s="216"/>
      <c r="AA57" s="216"/>
      <c r="AB57" s="216"/>
      <c r="AC57" s="216"/>
      <c r="AD57" s="216"/>
    </row>
    <row r="58" spans="1:30" ht="18" customHeight="1" x14ac:dyDescent="0.3">
      <c r="A58" s="265"/>
      <c r="B58" s="267"/>
      <c r="C58" s="224" t="s">
        <v>66</v>
      </c>
      <c r="D58" s="225">
        <f>D42*$B$41/$P$41</f>
        <v>1.2000000000000002E-2</v>
      </c>
      <c r="E58" s="225">
        <f t="shared" si="3"/>
        <v>2.2000000000000006E-2</v>
      </c>
      <c r="F58" s="225">
        <f t="shared" si="3"/>
        <v>0</v>
      </c>
      <c r="G58" s="225">
        <f t="shared" si="3"/>
        <v>0</v>
      </c>
      <c r="H58" s="225">
        <f t="shared" si="3"/>
        <v>0</v>
      </c>
      <c r="I58" s="225">
        <f t="shared" si="3"/>
        <v>0</v>
      </c>
      <c r="J58" s="225"/>
      <c r="K58" s="225"/>
      <c r="L58" s="225"/>
      <c r="M58" s="225"/>
      <c r="N58" s="225"/>
      <c r="O58" s="225"/>
      <c r="P58" s="226">
        <f t="shared" si="4"/>
        <v>3.4000000000000009E-2</v>
      </c>
      <c r="Q58" s="227">
        <f>+P58</f>
        <v>3.4000000000000009E-2</v>
      </c>
      <c r="R58" s="223">
        <f t="shared" si="5"/>
        <v>0</v>
      </c>
      <c r="S58" s="216"/>
      <c r="T58" s="216"/>
      <c r="U58" s="216"/>
      <c r="V58" s="216"/>
      <c r="W58" s="216"/>
      <c r="X58" s="216"/>
      <c r="Y58" s="216"/>
      <c r="Z58" s="216"/>
      <c r="AA58" s="216"/>
      <c r="AB58" s="216"/>
      <c r="AC58" s="216"/>
      <c r="AD58" s="216"/>
    </row>
    <row r="59" spans="1:30" ht="18" customHeight="1" x14ac:dyDescent="0.3">
      <c r="A59" s="264" t="str">
        <f t="shared" ref="A59:B59" si="6">A43</f>
        <v>16.  Realizar atenciones psicosociales  (valoraciones iniciales, asesoría, seguimientos y cierres a mujeres que realizan actividades sexuales pagadas y sus familias</v>
      </c>
      <c r="B59" s="266">
        <f t="shared" si="6"/>
        <v>0.1</v>
      </c>
      <c r="C59" s="219" t="s">
        <v>65</v>
      </c>
      <c r="D59" s="220">
        <f>D43*$B$43/$P$43</f>
        <v>1.5000000000000001E-2</v>
      </c>
      <c r="E59" s="220">
        <f>E43*$B$43/$P$43</f>
        <v>2.1000000000000005E-2</v>
      </c>
      <c r="F59" s="220">
        <f t="shared" ref="F59:I59" si="7">F43*$B$43/$P$43</f>
        <v>2.1000000000000005E-2</v>
      </c>
      <c r="G59" s="220">
        <f t="shared" si="7"/>
        <v>2.1000000000000005E-2</v>
      </c>
      <c r="H59" s="220">
        <f t="shared" si="7"/>
        <v>2.2000000000000006E-2</v>
      </c>
      <c r="I59" s="220">
        <f t="shared" si="7"/>
        <v>0</v>
      </c>
      <c r="J59" s="220"/>
      <c r="K59" s="220"/>
      <c r="L59" s="220"/>
      <c r="M59" s="220"/>
      <c r="N59" s="220"/>
      <c r="O59" s="220"/>
      <c r="P59" s="221">
        <f t="shared" si="4"/>
        <v>0.10000000000000002</v>
      </c>
      <c r="Q59" s="222">
        <v>2.5000000000000001E-2</v>
      </c>
      <c r="R59" s="223">
        <f t="shared" si="5"/>
        <v>7.5000000000000011E-2</v>
      </c>
      <c r="S59" s="216"/>
      <c r="T59" s="216"/>
      <c r="U59" s="216"/>
      <c r="V59" s="216"/>
      <c r="W59" s="216"/>
      <c r="X59" s="216"/>
      <c r="Y59" s="216"/>
      <c r="Z59" s="216"/>
      <c r="AA59" s="216"/>
      <c r="AB59" s="216"/>
      <c r="AC59" s="216"/>
      <c r="AD59" s="216"/>
    </row>
    <row r="60" spans="1:30" ht="18" customHeight="1" x14ac:dyDescent="0.3">
      <c r="A60" s="265"/>
      <c r="B60" s="267"/>
      <c r="C60" s="224" t="s">
        <v>66</v>
      </c>
      <c r="D60" s="225">
        <f>D44*$B$43/$P$43</f>
        <v>1.5000000000000001E-2</v>
      </c>
      <c r="E60" s="225">
        <f t="shared" ref="E60:I60" si="8">E44*$B$43/$P$43</f>
        <v>2.1000000000000005E-2</v>
      </c>
      <c r="F60" s="225">
        <f t="shared" si="8"/>
        <v>0</v>
      </c>
      <c r="G60" s="225">
        <f t="shared" si="8"/>
        <v>0</v>
      </c>
      <c r="H60" s="225">
        <f t="shared" si="8"/>
        <v>0</v>
      </c>
      <c r="I60" s="225">
        <f t="shared" si="8"/>
        <v>0</v>
      </c>
      <c r="J60" s="225"/>
      <c r="K60" s="225"/>
      <c r="L60" s="225"/>
      <c r="M60" s="225"/>
      <c r="N60" s="225"/>
      <c r="O60" s="225"/>
      <c r="P60" s="226">
        <f t="shared" si="4"/>
        <v>3.6000000000000004E-2</v>
      </c>
      <c r="Q60" s="227">
        <f>+P60</f>
        <v>3.6000000000000004E-2</v>
      </c>
      <c r="R60" s="223">
        <f t="shared" si="5"/>
        <v>0</v>
      </c>
      <c r="S60" s="216"/>
      <c r="T60" s="216"/>
      <c r="U60" s="216"/>
      <c r="V60" s="216"/>
      <c r="W60" s="216"/>
      <c r="X60" s="216"/>
      <c r="Y60" s="216"/>
      <c r="Z60" s="216"/>
      <c r="AA60" s="216"/>
      <c r="AB60" s="216"/>
      <c r="AC60" s="216"/>
      <c r="AD60" s="216"/>
    </row>
    <row r="61" spans="1:30" ht="18" customHeight="1" x14ac:dyDescent="0.3">
      <c r="A61" s="264" t="str">
        <f t="shared" ref="A61:B61" si="9">A45</f>
        <v>17. Realizar atenciones jurídicas a mujeres que realizan actividades sexuales pagadas, que consisten en orientación, asesoría y representación jurídica especializada y llevar casos de intervención o representación judicial, con valoraciones iniciales, asesorías u orientaciones, seguimiento y cierres.</v>
      </c>
      <c r="B61" s="266">
        <f t="shared" si="9"/>
        <v>0.1</v>
      </c>
      <c r="C61" s="219" t="s">
        <v>65</v>
      </c>
      <c r="D61" s="220">
        <f>D45*$B$45/$P$45</f>
        <v>1.1000000000000001E-2</v>
      </c>
      <c r="E61" s="220">
        <f t="shared" ref="E61:I62" si="10">E45*$B$45/$P$45</f>
        <v>2.2000000000000002E-2</v>
      </c>
      <c r="F61" s="220">
        <f t="shared" si="10"/>
        <v>2.2000000000000002E-2</v>
      </c>
      <c r="G61" s="220">
        <f t="shared" si="10"/>
        <v>2.2000000000000002E-2</v>
      </c>
      <c r="H61" s="220">
        <f t="shared" si="10"/>
        <v>2.3000000000000003E-2</v>
      </c>
      <c r="I61" s="220">
        <f t="shared" si="10"/>
        <v>0</v>
      </c>
      <c r="J61" s="220"/>
      <c r="K61" s="220"/>
      <c r="L61" s="220"/>
      <c r="M61" s="220"/>
      <c r="N61" s="220"/>
      <c r="O61" s="220"/>
      <c r="P61" s="221">
        <f t="shared" si="4"/>
        <v>0.10000000000000002</v>
      </c>
      <c r="Q61" s="222">
        <v>2.5000000000000001E-2</v>
      </c>
      <c r="R61" s="223">
        <f t="shared" si="5"/>
        <v>7.5000000000000011E-2</v>
      </c>
      <c r="S61" s="216"/>
      <c r="T61" s="216"/>
      <c r="U61" s="216"/>
      <c r="V61" s="216"/>
      <c r="W61" s="216"/>
      <c r="X61" s="216"/>
      <c r="Y61" s="216"/>
      <c r="Z61" s="216"/>
      <c r="AA61" s="216"/>
      <c r="AB61" s="216"/>
      <c r="AC61" s="216"/>
      <c r="AD61" s="216"/>
    </row>
    <row r="62" spans="1:30" ht="18" customHeight="1" x14ac:dyDescent="0.3">
      <c r="A62" s="265"/>
      <c r="B62" s="267"/>
      <c r="C62" s="224" t="s">
        <v>66</v>
      </c>
      <c r="D62" s="243">
        <f>D46*$B$45/$P$45</f>
        <v>1.1000000000000001E-2</v>
      </c>
      <c r="E62" s="243">
        <f t="shared" si="10"/>
        <v>2.2000000000000002E-2</v>
      </c>
      <c r="F62" s="243">
        <f>F46*$B$45/$P$45</f>
        <v>0</v>
      </c>
      <c r="G62" s="243">
        <f>G46*$B$45/$P$45</f>
        <v>0</v>
      </c>
      <c r="H62" s="243">
        <f t="shared" si="10"/>
        <v>0</v>
      </c>
      <c r="I62" s="243">
        <f t="shared" si="10"/>
        <v>0</v>
      </c>
      <c r="J62" s="225"/>
      <c r="K62" s="225"/>
      <c r="L62" s="225"/>
      <c r="M62" s="225"/>
      <c r="N62" s="225"/>
      <c r="O62" s="225"/>
      <c r="P62" s="226">
        <f t="shared" si="4"/>
        <v>3.3000000000000002E-2</v>
      </c>
      <c r="Q62" s="227">
        <f>+P62</f>
        <v>3.3000000000000002E-2</v>
      </c>
      <c r="R62" s="223">
        <f t="shared" si="5"/>
        <v>0</v>
      </c>
      <c r="S62" s="216"/>
      <c r="T62" s="216"/>
      <c r="U62" s="216"/>
      <c r="V62" s="216"/>
      <c r="W62" s="216"/>
      <c r="X62" s="216"/>
      <c r="Y62" s="216"/>
      <c r="Z62" s="216"/>
      <c r="AA62" s="216"/>
      <c r="AB62" s="216"/>
      <c r="AC62" s="216"/>
      <c r="AD62" s="216"/>
    </row>
    <row r="63" spans="1:30" ht="18" customHeight="1" x14ac:dyDescent="0.3">
      <c r="A63" s="264" t="str">
        <f t="shared" ref="A63:B63" si="11">A47</f>
        <v>18. Generar información de los sitios, dinámicas y contextos de las actividades sexuales pagadas en Bogotá</v>
      </c>
      <c r="B63" s="266">
        <f t="shared" si="11"/>
        <v>0.02</v>
      </c>
      <c r="C63" s="219" t="s">
        <v>65</v>
      </c>
      <c r="D63" s="220">
        <f>D47*$B$47/$P$47</f>
        <v>0</v>
      </c>
      <c r="E63" s="220">
        <f t="shared" ref="E63:I64" si="12">E47*$B$47/$P$47</f>
        <v>0</v>
      </c>
      <c r="F63" s="220">
        <f t="shared" si="12"/>
        <v>6.6000000000000008E-3</v>
      </c>
      <c r="G63" s="220">
        <f t="shared" si="12"/>
        <v>6.6000000000000008E-3</v>
      </c>
      <c r="H63" s="220">
        <f t="shared" si="12"/>
        <v>6.8000000000000005E-3</v>
      </c>
      <c r="I63" s="220">
        <f t="shared" si="12"/>
        <v>0</v>
      </c>
      <c r="J63" s="220"/>
      <c r="K63" s="220"/>
      <c r="L63" s="220"/>
      <c r="M63" s="220"/>
      <c r="N63" s="220"/>
      <c r="O63" s="220"/>
      <c r="P63" s="221">
        <f t="shared" si="4"/>
        <v>2.0000000000000004E-2</v>
      </c>
      <c r="Q63" s="222">
        <v>0.02</v>
      </c>
      <c r="R63" s="223">
        <f t="shared" si="5"/>
        <v>0</v>
      </c>
      <c r="S63" s="216"/>
      <c r="T63" s="216"/>
      <c r="U63" s="216"/>
      <c r="V63" s="216"/>
      <c r="W63" s="216"/>
      <c r="X63" s="216"/>
      <c r="Y63" s="216"/>
      <c r="Z63" s="216"/>
      <c r="AA63" s="216"/>
      <c r="AB63" s="216"/>
      <c r="AC63" s="216"/>
      <c r="AD63" s="216"/>
    </row>
    <row r="64" spans="1:30" ht="18" customHeight="1" thickBot="1" x14ac:dyDescent="0.35">
      <c r="A64" s="265"/>
      <c r="B64" s="267"/>
      <c r="C64" s="228" t="s">
        <v>66</v>
      </c>
      <c r="D64" s="229">
        <f>D48*$B$47/$P$47</f>
        <v>0</v>
      </c>
      <c r="E64" s="229">
        <f t="shared" si="12"/>
        <v>0</v>
      </c>
      <c r="F64" s="229">
        <f t="shared" si="12"/>
        <v>0</v>
      </c>
      <c r="G64" s="229">
        <f t="shared" si="12"/>
        <v>0</v>
      </c>
      <c r="H64" s="229">
        <f t="shared" si="12"/>
        <v>0</v>
      </c>
      <c r="I64" s="229">
        <f t="shared" si="12"/>
        <v>0</v>
      </c>
      <c r="J64" s="229"/>
      <c r="K64" s="229"/>
      <c r="L64" s="229"/>
      <c r="M64" s="229"/>
      <c r="N64" s="229"/>
      <c r="O64" s="229"/>
      <c r="P64" s="230">
        <f t="shared" si="4"/>
        <v>0</v>
      </c>
      <c r="Q64" s="227">
        <f>+P64</f>
        <v>0</v>
      </c>
      <c r="R64" s="223">
        <f t="shared" si="5"/>
        <v>0</v>
      </c>
      <c r="S64" s="216"/>
      <c r="T64" s="216"/>
      <c r="U64" s="216"/>
      <c r="V64" s="216"/>
      <c r="W64" s="216"/>
      <c r="X64" s="216"/>
      <c r="Y64" s="216"/>
      <c r="Z64" s="216"/>
      <c r="AA64" s="216"/>
      <c r="AB64" s="216"/>
      <c r="AC64" s="216"/>
      <c r="AD64" s="216"/>
    </row>
    <row r="65" spans="1:30" x14ac:dyDescent="0.3">
      <c r="A65" s="260"/>
      <c r="B65" s="262"/>
      <c r="C65" s="231"/>
      <c r="D65" s="220"/>
      <c r="E65" s="220"/>
      <c r="F65" s="220"/>
      <c r="G65" s="220"/>
      <c r="H65" s="220"/>
      <c r="I65" s="220"/>
      <c r="J65" s="220"/>
      <c r="K65" s="220"/>
      <c r="L65" s="220"/>
      <c r="M65" s="220"/>
      <c r="N65" s="220"/>
      <c r="O65" s="220"/>
      <c r="P65" s="232"/>
      <c r="Q65" s="222">
        <v>0.02</v>
      </c>
      <c r="R65" s="223">
        <f t="shared" si="5"/>
        <v>-0.02</v>
      </c>
      <c r="S65" s="216"/>
      <c r="T65" s="216"/>
      <c r="U65" s="216"/>
      <c r="V65" s="216"/>
      <c r="W65" s="216"/>
      <c r="X65" s="216"/>
      <c r="Y65" s="216"/>
      <c r="Z65" s="216"/>
      <c r="AA65" s="216"/>
      <c r="AB65" s="216"/>
      <c r="AC65" s="216"/>
      <c r="AD65" s="216"/>
    </row>
    <row r="66" spans="1:30" x14ac:dyDescent="0.3">
      <c r="A66" s="261"/>
      <c r="B66" s="263"/>
      <c r="C66" s="231"/>
      <c r="D66" s="233"/>
      <c r="E66" s="233"/>
      <c r="F66" s="233"/>
      <c r="G66" s="233"/>
      <c r="H66" s="233"/>
      <c r="I66" s="233"/>
      <c r="J66" s="233"/>
      <c r="K66" s="233"/>
      <c r="L66" s="233"/>
      <c r="M66" s="233"/>
      <c r="N66" s="233"/>
      <c r="O66" s="233"/>
      <c r="P66" s="232"/>
      <c r="Q66" s="227">
        <f>+P66</f>
        <v>0</v>
      </c>
      <c r="R66" s="223">
        <f t="shared" si="5"/>
        <v>0</v>
      </c>
      <c r="S66" s="216"/>
      <c r="T66" s="216"/>
      <c r="U66" s="216"/>
      <c r="V66" s="216"/>
      <c r="W66" s="216"/>
      <c r="X66" s="216"/>
      <c r="Y66" s="216"/>
      <c r="Z66" s="216"/>
      <c r="AA66" s="216"/>
      <c r="AB66" s="216"/>
      <c r="AC66" s="216"/>
      <c r="AD66" s="216"/>
    </row>
    <row r="67" spans="1:30" x14ac:dyDescent="0.3">
      <c r="A67" s="260"/>
      <c r="B67" s="262"/>
      <c r="C67" s="231"/>
      <c r="D67" s="220"/>
      <c r="E67" s="220"/>
      <c r="F67" s="220"/>
      <c r="G67" s="220"/>
      <c r="H67" s="220"/>
      <c r="I67" s="220"/>
      <c r="J67" s="220"/>
      <c r="K67" s="220"/>
      <c r="L67" s="220"/>
      <c r="M67" s="220"/>
      <c r="N67" s="220"/>
      <c r="O67" s="220"/>
      <c r="P67" s="232"/>
      <c r="Q67" s="222">
        <v>0.02</v>
      </c>
      <c r="R67" s="223">
        <f t="shared" si="5"/>
        <v>-0.02</v>
      </c>
      <c r="S67" s="216"/>
      <c r="T67" s="216"/>
      <c r="U67" s="216"/>
      <c r="V67" s="216"/>
      <c r="W67" s="216"/>
      <c r="X67" s="216"/>
      <c r="Y67" s="216"/>
      <c r="Z67" s="216"/>
      <c r="AA67" s="216"/>
      <c r="AB67" s="216"/>
      <c r="AC67" s="216"/>
      <c r="AD67" s="216"/>
    </row>
    <row r="68" spans="1:30" x14ac:dyDescent="0.3">
      <c r="A68" s="261"/>
      <c r="B68" s="263"/>
      <c r="C68" s="231"/>
      <c r="D68" s="233"/>
      <c r="E68" s="233"/>
      <c r="F68" s="233"/>
      <c r="G68" s="233"/>
      <c r="H68" s="233"/>
      <c r="I68" s="233"/>
      <c r="J68" s="233"/>
      <c r="K68" s="233"/>
      <c r="L68" s="233"/>
      <c r="M68" s="233"/>
      <c r="N68" s="233"/>
      <c r="O68" s="233"/>
      <c r="P68" s="232"/>
      <c r="Q68" s="227">
        <f>+P68</f>
        <v>0</v>
      </c>
      <c r="R68" s="223">
        <f t="shared" si="5"/>
        <v>0</v>
      </c>
      <c r="S68" s="216"/>
      <c r="T68" s="216"/>
      <c r="U68" s="216"/>
      <c r="V68" s="216"/>
      <c r="W68" s="216"/>
      <c r="X68" s="216"/>
      <c r="Y68" s="216"/>
      <c r="Z68" s="216"/>
      <c r="AA68" s="216"/>
      <c r="AB68" s="216"/>
      <c r="AC68" s="216"/>
      <c r="AD68" s="216"/>
    </row>
    <row r="69" spans="1:30" x14ac:dyDescent="0.3">
      <c r="A69" s="260"/>
      <c r="B69" s="262"/>
      <c r="C69" s="231"/>
      <c r="D69" s="220"/>
      <c r="E69" s="220"/>
      <c r="F69" s="220"/>
      <c r="G69" s="220"/>
      <c r="H69" s="220"/>
      <c r="I69" s="220"/>
      <c r="J69" s="220"/>
      <c r="K69" s="220"/>
      <c r="L69" s="220"/>
      <c r="M69" s="220"/>
      <c r="N69" s="220"/>
      <c r="O69" s="220"/>
      <c r="P69" s="232"/>
      <c r="Q69" s="222"/>
      <c r="R69" s="223"/>
      <c r="S69" s="216"/>
      <c r="T69" s="216"/>
      <c r="U69" s="216"/>
      <c r="V69" s="216"/>
      <c r="W69" s="216"/>
      <c r="X69" s="216"/>
      <c r="Y69" s="216"/>
      <c r="Z69" s="216"/>
      <c r="AA69" s="216"/>
      <c r="AB69" s="216"/>
      <c r="AC69" s="216"/>
      <c r="AD69" s="216"/>
    </row>
    <row r="70" spans="1:30" x14ac:dyDescent="0.3">
      <c r="A70" s="261"/>
      <c r="B70" s="263"/>
      <c r="C70" s="231"/>
      <c r="D70" s="233"/>
      <c r="E70" s="233"/>
      <c r="F70" s="233"/>
      <c r="G70" s="233"/>
      <c r="H70" s="233"/>
      <c r="I70" s="233"/>
      <c r="J70" s="233"/>
      <c r="K70" s="233"/>
      <c r="L70" s="233"/>
      <c r="M70" s="233"/>
      <c r="N70" s="233"/>
      <c r="O70" s="233"/>
      <c r="P70" s="232"/>
      <c r="Q70" s="227"/>
      <c r="R70" s="223"/>
      <c r="S70" s="216"/>
      <c r="T70" s="216"/>
      <c r="U70" s="216"/>
      <c r="V70" s="216"/>
      <c r="W70" s="216"/>
      <c r="X70" s="216"/>
      <c r="Y70" s="216"/>
      <c r="Z70" s="216"/>
      <c r="AA70" s="216"/>
      <c r="AB70" s="216"/>
      <c r="AC70" s="216"/>
      <c r="AD70" s="216"/>
    </row>
    <row r="71" spans="1:30" x14ac:dyDescent="0.3">
      <c r="A71" s="215"/>
      <c r="B71" s="234"/>
      <c r="C71" s="235"/>
      <c r="D71" s="236">
        <f>D58+D60+D62+D64</f>
        <v>3.8000000000000006E-2</v>
      </c>
      <c r="E71" s="236">
        <f t="shared" ref="E71:O71" si="13">E58+E60+E62+E64</f>
        <v>6.5000000000000016E-2</v>
      </c>
      <c r="F71" s="236">
        <f t="shared" si="13"/>
        <v>0</v>
      </c>
      <c r="G71" s="236">
        <f t="shared" si="13"/>
        <v>0</v>
      </c>
      <c r="H71" s="236">
        <f t="shared" si="13"/>
        <v>0</v>
      </c>
      <c r="I71" s="236">
        <f t="shared" si="13"/>
        <v>0</v>
      </c>
      <c r="J71" s="236">
        <f t="shared" si="13"/>
        <v>0</v>
      </c>
      <c r="K71" s="236">
        <f t="shared" si="13"/>
        <v>0</v>
      </c>
      <c r="L71" s="236">
        <f t="shared" si="13"/>
        <v>0</v>
      </c>
      <c r="M71" s="236">
        <f t="shared" si="13"/>
        <v>0</v>
      </c>
      <c r="N71" s="236">
        <f t="shared" si="13"/>
        <v>0</v>
      </c>
      <c r="O71" s="236">
        <f t="shared" si="13"/>
        <v>0</v>
      </c>
      <c r="P71" s="236">
        <f>P58+P60+P62+P64</f>
        <v>0.10300000000000001</v>
      </c>
      <c r="Q71" s="215"/>
      <c r="R71" s="223">
        <f t="shared" si="5"/>
        <v>0.10300000000000001</v>
      </c>
      <c r="S71" s="216"/>
      <c r="T71" s="216"/>
      <c r="U71" s="216"/>
      <c r="V71" s="216"/>
      <c r="W71" s="216"/>
      <c r="X71" s="216"/>
      <c r="Y71" s="216"/>
      <c r="Z71" s="216"/>
      <c r="AA71" s="216"/>
      <c r="AB71" s="216"/>
      <c r="AC71" s="216"/>
      <c r="AD71" s="216"/>
    </row>
    <row r="72" spans="1:30" x14ac:dyDescent="0.3">
      <c r="A72" s="215"/>
      <c r="B72" s="237"/>
      <c r="C72" s="238" t="s">
        <v>66</v>
      </c>
      <c r="D72" s="239">
        <f>D71*1/$B$35</f>
        <v>0.11875000000000002</v>
      </c>
      <c r="E72" s="239">
        <f t="shared" ref="E72:O72" si="14">E71*1/$B$35</f>
        <v>0.20312500000000006</v>
      </c>
      <c r="F72" s="239">
        <f t="shared" si="14"/>
        <v>0</v>
      </c>
      <c r="G72" s="239">
        <f t="shared" si="14"/>
        <v>0</v>
      </c>
      <c r="H72" s="239">
        <f t="shared" si="14"/>
        <v>0</v>
      </c>
      <c r="I72" s="239">
        <f t="shared" si="14"/>
        <v>0</v>
      </c>
      <c r="J72" s="239">
        <f t="shared" si="14"/>
        <v>0</v>
      </c>
      <c r="K72" s="239">
        <f t="shared" si="14"/>
        <v>0</v>
      </c>
      <c r="L72" s="239">
        <f t="shared" si="14"/>
        <v>0</v>
      </c>
      <c r="M72" s="239">
        <f t="shared" si="14"/>
        <v>0</v>
      </c>
      <c r="N72" s="239">
        <f t="shared" si="14"/>
        <v>0</v>
      </c>
      <c r="O72" s="239">
        <f t="shared" si="14"/>
        <v>0</v>
      </c>
      <c r="P72" s="240">
        <f>SUM(D72:O72)</f>
        <v>0.32187500000000008</v>
      </c>
      <c r="Q72" s="241"/>
      <c r="R72" s="215"/>
      <c r="S72" s="216"/>
      <c r="T72" s="216"/>
      <c r="U72" s="216"/>
      <c r="V72" s="216"/>
      <c r="W72" s="216"/>
      <c r="X72" s="216"/>
      <c r="Y72" s="216"/>
      <c r="Z72" s="216"/>
      <c r="AA72" s="216"/>
      <c r="AB72" s="216"/>
      <c r="AC72" s="216"/>
      <c r="AD72" s="216"/>
    </row>
    <row r="73" spans="1:30" x14ac:dyDescent="0.3">
      <c r="A73" s="241"/>
      <c r="B73" s="242"/>
      <c r="C73" s="242"/>
      <c r="D73" s="242"/>
      <c r="E73" s="242"/>
      <c r="F73" s="242"/>
      <c r="G73" s="242"/>
      <c r="H73" s="242"/>
      <c r="I73" s="242"/>
      <c r="J73" s="242"/>
      <c r="K73" s="242"/>
      <c r="L73" s="242"/>
      <c r="M73" s="242"/>
      <c r="N73" s="242"/>
      <c r="O73" s="242"/>
      <c r="P73" s="242"/>
      <c r="Q73" s="241"/>
      <c r="R73" s="241"/>
      <c r="S73" s="216"/>
      <c r="T73" s="216"/>
      <c r="U73" s="216"/>
      <c r="V73" s="216"/>
      <c r="W73" s="216"/>
      <c r="X73" s="216"/>
      <c r="Y73" s="216"/>
      <c r="Z73" s="216"/>
      <c r="AA73" s="216"/>
      <c r="AB73" s="216"/>
      <c r="AC73" s="216"/>
      <c r="AD73" s="216"/>
    </row>
    <row r="74" spans="1:30" x14ac:dyDescent="0.3">
      <c r="A74" s="222"/>
      <c r="B74" s="33"/>
      <c r="C74" s="33"/>
      <c r="D74" s="236">
        <f>+D57+D59+D61+D63</f>
        <v>3.8000000000000006E-2</v>
      </c>
      <c r="E74" s="236">
        <f t="shared" ref="E74:O74" si="15">+E57+E59+E61+E63</f>
        <v>6.5000000000000016E-2</v>
      </c>
      <c r="F74" s="236">
        <f t="shared" si="15"/>
        <v>7.1600000000000011E-2</v>
      </c>
      <c r="G74" s="236">
        <f t="shared" si="15"/>
        <v>7.1600000000000011E-2</v>
      </c>
      <c r="H74" s="236">
        <f t="shared" si="15"/>
        <v>7.3800000000000018E-2</v>
      </c>
      <c r="I74" s="236">
        <f t="shared" si="15"/>
        <v>0</v>
      </c>
      <c r="J74" s="236">
        <f t="shared" si="15"/>
        <v>0</v>
      </c>
      <c r="K74" s="236">
        <f t="shared" si="15"/>
        <v>0</v>
      </c>
      <c r="L74" s="236">
        <f t="shared" si="15"/>
        <v>0</v>
      </c>
      <c r="M74" s="236">
        <f t="shared" si="15"/>
        <v>0</v>
      </c>
      <c r="N74" s="236">
        <f t="shared" si="15"/>
        <v>0</v>
      </c>
      <c r="O74" s="236">
        <f t="shared" si="15"/>
        <v>0</v>
      </c>
      <c r="P74" s="236">
        <f t="shared" ref="P74" si="16">+P57+P59+P61+P63</f>
        <v>0.32000000000000006</v>
      </c>
      <c r="Q74" s="222"/>
      <c r="R74" s="222"/>
      <c r="S74" s="216"/>
      <c r="T74" s="216"/>
      <c r="U74" s="216"/>
      <c r="V74" s="216"/>
      <c r="W74" s="216"/>
      <c r="X74" s="216"/>
      <c r="Y74" s="216"/>
      <c r="Z74" s="216"/>
      <c r="AA74" s="216"/>
      <c r="AB74" s="216"/>
      <c r="AC74" s="216"/>
      <c r="AD74" s="216"/>
    </row>
    <row r="75" spans="1:30" x14ac:dyDescent="0.3">
      <c r="A75" s="222"/>
      <c r="B75" s="33"/>
      <c r="C75" s="238" t="s">
        <v>65</v>
      </c>
      <c r="D75" s="239">
        <f>D74*1/$B$35</f>
        <v>0.11875000000000002</v>
      </c>
      <c r="E75" s="239">
        <f t="shared" ref="E75:O75" si="17">E74*1/$B$35</f>
        <v>0.20312500000000006</v>
      </c>
      <c r="F75" s="239">
        <f t="shared" si="17"/>
        <v>0.22375000000000003</v>
      </c>
      <c r="G75" s="239">
        <f t="shared" si="17"/>
        <v>0.22375000000000003</v>
      </c>
      <c r="H75" s="239">
        <f t="shared" si="17"/>
        <v>0.23062500000000005</v>
      </c>
      <c r="I75" s="239">
        <f t="shared" si="17"/>
        <v>0</v>
      </c>
      <c r="J75" s="239">
        <f t="shared" si="17"/>
        <v>0</v>
      </c>
      <c r="K75" s="239">
        <f t="shared" si="17"/>
        <v>0</v>
      </c>
      <c r="L75" s="239">
        <f t="shared" si="17"/>
        <v>0</v>
      </c>
      <c r="M75" s="239">
        <f t="shared" si="17"/>
        <v>0</v>
      </c>
      <c r="N75" s="239">
        <f t="shared" si="17"/>
        <v>0</v>
      </c>
      <c r="O75" s="239">
        <f t="shared" si="17"/>
        <v>0</v>
      </c>
      <c r="P75" s="240">
        <f>SUM(D75:O75)</f>
        <v>1.0000000000000002</v>
      </c>
      <c r="Q75" s="222"/>
      <c r="R75" s="222"/>
      <c r="S75" s="216"/>
      <c r="T75" s="216"/>
      <c r="U75" s="216"/>
      <c r="V75" s="216"/>
      <c r="W75" s="216"/>
      <c r="X75" s="216"/>
      <c r="Y75" s="216"/>
      <c r="Z75" s="216"/>
      <c r="AA75" s="216"/>
      <c r="AB75" s="216"/>
      <c r="AC75" s="216"/>
      <c r="AD75" s="216"/>
    </row>
    <row r="76" spans="1:30" x14ac:dyDescent="0.3">
      <c r="A76" s="254"/>
    </row>
    <row r="77" spans="1:30" x14ac:dyDescent="0.3">
      <c r="A77" s="254"/>
    </row>
    <row r="78" spans="1:30" x14ac:dyDescent="0.3">
      <c r="A78" s="254"/>
    </row>
    <row r="79" spans="1:30" x14ac:dyDescent="0.3">
      <c r="A79" s="254"/>
    </row>
    <row r="80" spans="1:30" x14ac:dyDescent="0.3">
      <c r="A80" s="254"/>
    </row>
    <row r="81" spans="1:1" x14ac:dyDescent="0.3">
      <c r="A81" s="254"/>
    </row>
    <row r="82" spans="1:1" x14ac:dyDescent="0.3">
      <c r="A82" s="254"/>
    </row>
    <row r="83" spans="1:1" x14ac:dyDescent="0.3">
      <c r="A83" s="254"/>
    </row>
    <row r="84" spans="1:1" x14ac:dyDescent="0.3">
      <c r="A84" s="254"/>
    </row>
    <row r="85" spans="1:1" x14ac:dyDescent="0.3">
      <c r="A85" s="254"/>
    </row>
    <row r="86" spans="1:1" x14ac:dyDescent="0.3">
      <c r="A86" s="254"/>
    </row>
    <row r="87" spans="1:1" x14ac:dyDescent="0.3">
      <c r="A87" s="254"/>
    </row>
    <row r="88" spans="1:1" x14ac:dyDescent="0.3">
      <c r="A88" s="254"/>
    </row>
    <row r="89" spans="1:1" x14ac:dyDescent="0.3">
      <c r="A89" s="254"/>
    </row>
    <row r="90" spans="1:1" x14ac:dyDescent="0.3">
      <c r="A90" s="254"/>
    </row>
    <row r="91" spans="1:1" x14ac:dyDescent="0.3">
      <c r="A91" s="254"/>
    </row>
    <row r="92" spans="1:1" x14ac:dyDescent="0.3">
      <c r="A92" s="254"/>
    </row>
    <row r="93" spans="1:1" x14ac:dyDescent="0.3">
      <c r="A93" s="254"/>
    </row>
    <row r="94" spans="1:1" x14ac:dyDescent="0.3">
      <c r="A94" s="254"/>
    </row>
  </sheetData>
  <mergeCells count="100">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 ref="A45:A46"/>
    <mergeCell ref="B45:B46"/>
    <mergeCell ref="Q45:X46"/>
    <mergeCell ref="Y45:AE46"/>
    <mergeCell ref="A47:A48"/>
    <mergeCell ref="B47:B48"/>
    <mergeCell ref="Q47:X48"/>
    <mergeCell ref="Y47:AE48"/>
    <mergeCell ref="A55:A56"/>
    <mergeCell ref="B55:B56"/>
    <mergeCell ref="C55:P55"/>
    <mergeCell ref="A57:A58"/>
    <mergeCell ref="B57:B58"/>
    <mergeCell ref="A59:A60"/>
    <mergeCell ref="B59:B60"/>
    <mergeCell ref="A61:A62"/>
    <mergeCell ref="B61:B62"/>
    <mergeCell ref="A63:A64"/>
    <mergeCell ref="B63:B64"/>
    <mergeCell ref="A65:A66"/>
    <mergeCell ref="B65:B66"/>
    <mergeCell ref="A67:A68"/>
    <mergeCell ref="B67:B68"/>
    <mergeCell ref="A69:A70"/>
    <mergeCell ref="B69:B70"/>
  </mergeCells>
  <dataValidations count="3">
    <dataValidation type="list" allowBlank="1" showInputMessage="1" showErrorMessage="1" sqref="C7:C9" xr:uid="{00000000-0002-0000-0200-000000000000}">
      <formula1>$B$21:$M$21</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textLength" operator="lessThanOrEqual" allowBlank="1" showInputMessage="1" showErrorMessage="1" errorTitle="Máximo 2.000 caracteres" error="Máximo 2.000 caracteres" sqref="AC35 Q35 Y35 U35 Q41 Q45 Q47 Q43" xr:uid="{00000000-0002-0000-0200-000002000000}">
      <formula1>2000</formula1>
    </dataValidation>
  </dataValidations>
  <hyperlinks>
    <hyperlink ref="Y41" r:id="rId1" xr:uid="{00000000-0004-0000-0200-000000000000}"/>
    <hyperlink ref="Y43" r:id="rId2" xr:uid="{00000000-0004-0000-0200-000001000000}"/>
    <hyperlink ref="Y45" r:id="rId3" xr:uid="{00000000-0004-0000-0200-000002000000}"/>
  </hyperlinks>
  <printOptions horizontalCentered="1"/>
  <pageMargins left="0.23622047244094491" right="0.23622047244094491" top="0.74803149606299213" bottom="0.74803149606299213" header="0.31496062992125984" footer="0.31496062992125984"/>
  <pageSetup scale="20" orientation="landscape"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94"/>
  <sheetViews>
    <sheetView showGridLines="0" view="pageBreakPreview" topLeftCell="K34" zoomScale="60" zoomScaleNormal="60" workbookViewId="0">
      <selection activeCell="Q45" sqref="Q45:X46"/>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379"/>
      <c r="B1" s="382"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4"/>
      <c r="AB1" s="391" t="s">
        <v>1</v>
      </c>
      <c r="AC1" s="392"/>
      <c r="AD1" s="392"/>
      <c r="AE1" s="393"/>
    </row>
    <row r="2" spans="1:31" ht="30.75" customHeight="1" thickBot="1" x14ac:dyDescent="0.35">
      <c r="A2" s="380"/>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391" t="s">
        <v>3</v>
      </c>
      <c r="AC2" s="392"/>
      <c r="AD2" s="392"/>
      <c r="AE2" s="393"/>
    </row>
    <row r="3" spans="1:31" ht="24" customHeight="1" thickBot="1" x14ac:dyDescent="0.35">
      <c r="A3" s="380"/>
      <c r="B3" s="385" t="s">
        <v>4</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91" t="s">
        <v>5</v>
      </c>
      <c r="AC3" s="392"/>
      <c r="AD3" s="392"/>
      <c r="AE3" s="393"/>
    </row>
    <row r="4" spans="1:31" ht="21.75" customHeight="1" thickBot="1" x14ac:dyDescent="0.35">
      <c r="A4" s="381"/>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483" t="s">
        <v>6</v>
      </c>
      <c r="AC4" s="484"/>
      <c r="AD4" s="484"/>
      <c r="AE4" s="485"/>
    </row>
    <row r="5" spans="1:31" ht="9" customHeight="1" thickBot="1" x14ac:dyDescent="0.35">
      <c r="A5" s="3"/>
      <c r="B5" s="101"/>
      <c r="C5" s="102"/>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336" t="s">
        <v>7</v>
      </c>
      <c r="B7" s="337"/>
      <c r="C7" s="472" t="s">
        <v>29</v>
      </c>
      <c r="D7" s="336" t="s">
        <v>8</v>
      </c>
      <c r="E7" s="342"/>
      <c r="F7" s="342"/>
      <c r="G7" s="342"/>
      <c r="H7" s="337"/>
      <c r="I7" s="475">
        <v>45357</v>
      </c>
      <c r="J7" s="476"/>
      <c r="K7" s="336" t="s">
        <v>9</v>
      </c>
      <c r="L7" s="337"/>
      <c r="M7" s="481" t="s">
        <v>10</v>
      </c>
      <c r="N7" s="482"/>
      <c r="O7" s="462"/>
      <c r="P7" s="463"/>
      <c r="Q7" s="4"/>
      <c r="R7" s="4"/>
      <c r="S7" s="4"/>
      <c r="T7" s="4"/>
      <c r="U7" s="4"/>
      <c r="V7" s="4"/>
      <c r="W7" s="4"/>
      <c r="X7" s="4"/>
      <c r="Y7" s="4"/>
      <c r="Z7" s="5"/>
      <c r="AA7" s="4"/>
      <c r="AB7" s="4"/>
      <c r="AD7" s="7"/>
      <c r="AE7" s="8"/>
    </row>
    <row r="8" spans="1:31" x14ac:dyDescent="0.3">
      <c r="A8" s="338"/>
      <c r="B8" s="339"/>
      <c r="C8" s="473"/>
      <c r="D8" s="338"/>
      <c r="E8" s="343"/>
      <c r="F8" s="343"/>
      <c r="G8" s="343"/>
      <c r="H8" s="339"/>
      <c r="I8" s="477"/>
      <c r="J8" s="478"/>
      <c r="K8" s="338"/>
      <c r="L8" s="339"/>
      <c r="M8" s="464" t="s">
        <v>11</v>
      </c>
      <c r="N8" s="465"/>
      <c r="O8" s="466"/>
      <c r="P8" s="467"/>
      <c r="Q8" s="4"/>
      <c r="R8" s="4"/>
      <c r="S8" s="4"/>
      <c r="T8" s="4"/>
      <c r="U8" s="4"/>
      <c r="V8" s="4"/>
      <c r="W8" s="4"/>
      <c r="X8" s="4"/>
      <c r="Y8" s="4"/>
      <c r="Z8" s="5"/>
      <c r="AA8" s="4"/>
      <c r="AB8" s="4"/>
      <c r="AD8" s="7"/>
      <c r="AE8" s="8"/>
    </row>
    <row r="9" spans="1:31" ht="15" thickBot="1" x14ac:dyDescent="0.35">
      <c r="A9" s="340"/>
      <c r="B9" s="341"/>
      <c r="C9" s="474"/>
      <c r="D9" s="340"/>
      <c r="E9" s="344"/>
      <c r="F9" s="344"/>
      <c r="G9" s="344"/>
      <c r="H9" s="341"/>
      <c r="I9" s="479"/>
      <c r="J9" s="480"/>
      <c r="K9" s="340"/>
      <c r="L9" s="341"/>
      <c r="M9" s="468" t="s">
        <v>13</v>
      </c>
      <c r="N9" s="469"/>
      <c r="O9" s="470" t="s">
        <v>12</v>
      </c>
      <c r="P9" s="471"/>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336" t="s">
        <v>14</v>
      </c>
      <c r="B11" s="337"/>
      <c r="C11" s="308" t="s">
        <v>15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ht="15" customHeight="1" x14ac:dyDescent="0.3">
      <c r="A12" s="338"/>
      <c r="B12" s="339"/>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15" customHeight="1" thickBot="1" x14ac:dyDescent="0.35">
      <c r="A13" s="340"/>
      <c r="B13" s="341"/>
      <c r="C13" s="352"/>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46.5" customHeight="1" thickBot="1" x14ac:dyDescent="0.35">
      <c r="A15" s="345" t="s">
        <v>16</v>
      </c>
      <c r="B15" s="346"/>
      <c r="C15" s="355" t="s">
        <v>17</v>
      </c>
      <c r="D15" s="356"/>
      <c r="E15" s="356"/>
      <c r="F15" s="356"/>
      <c r="G15" s="356"/>
      <c r="H15" s="356"/>
      <c r="I15" s="356"/>
      <c r="J15" s="356"/>
      <c r="K15" s="357"/>
      <c r="L15" s="372" t="s">
        <v>18</v>
      </c>
      <c r="M15" s="399"/>
      <c r="N15" s="399"/>
      <c r="O15" s="399"/>
      <c r="P15" s="399"/>
      <c r="Q15" s="373"/>
      <c r="R15" s="400" t="s">
        <v>19</v>
      </c>
      <c r="S15" s="401"/>
      <c r="T15" s="401"/>
      <c r="U15" s="401"/>
      <c r="V15" s="401"/>
      <c r="W15" s="401"/>
      <c r="X15" s="402"/>
      <c r="Y15" s="372" t="s">
        <v>20</v>
      </c>
      <c r="Z15" s="373"/>
      <c r="AA15" s="355" t="s">
        <v>21</v>
      </c>
      <c r="AB15" s="356"/>
      <c r="AC15" s="356"/>
      <c r="AD15" s="356"/>
      <c r="AE15" s="357"/>
    </row>
    <row r="16" spans="1:31" ht="9" customHeight="1" thickBot="1" x14ac:dyDescent="0.35">
      <c r="A16" s="6"/>
      <c r="B16" s="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D16" s="7"/>
      <c r="AE16" s="8"/>
    </row>
    <row r="17" spans="1:32" s="16" customFormat="1" ht="37.5" customHeight="1" thickBot="1" x14ac:dyDescent="0.35">
      <c r="A17" s="345" t="s">
        <v>22</v>
      </c>
      <c r="B17" s="346"/>
      <c r="C17" s="355" t="s">
        <v>108</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7"/>
    </row>
    <row r="18" spans="1:32" ht="16.5" customHeight="1" thickBot="1" x14ac:dyDescent="0.35">
      <c r="A18" s="17"/>
      <c r="B18" s="18"/>
      <c r="C18" s="199"/>
      <c r="D18" s="199"/>
      <c r="E18" s="18"/>
      <c r="F18" s="199"/>
      <c r="G18" s="18"/>
      <c r="H18" s="18"/>
      <c r="I18" s="18"/>
      <c r="J18" s="18"/>
      <c r="K18" s="18"/>
      <c r="L18" s="18"/>
      <c r="M18" s="18"/>
      <c r="N18" s="18"/>
      <c r="O18" s="18"/>
      <c r="P18" s="18"/>
      <c r="Q18" s="18"/>
      <c r="R18" s="18"/>
      <c r="S18" s="18"/>
      <c r="T18" s="18"/>
      <c r="U18" s="18"/>
      <c r="V18" s="201"/>
      <c r="W18" s="199"/>
      <c r="X18" s="18"/>
      <c r="Y18" s="199"/>
      <c r="Z18" s="18"/>
      <c r="AA18" s="199"/>
      <c r="AB18" s="18"/>
      <c r="AD18" s="18"/>
      <c r="AE18" s="19"/>
    </row>
    <row r="19" spans="1:32" ht="32.1" customHeight="1" thickBot="1" x14ac:dyDescent="0.35">
      <c r="A19" s="372" t="s">
        <v>24</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73"/>
      <c r="AF19" s="20"/>
    </row>
    <row r="20" spans="1:32" ht="32.1" customHeight="1" thickBot="1" x14ac:dyDescent="0.35">
      <c r="A20" s="104" t="s">
        <v>25</v>
      </c>
      <c r="B20" s="396" t="s">
        <v>26</v>
      </c>
      <c r="C20" s="397"/>
      <c r="D20" s="397"/>
      <c r="E20" s="397"/>
      <c r="F20" s="397"/>
      <c r="G20" s="397"/>
      <c r="H20" s="397"/>
      <c r="I20" s="397"/>
      <c r="J20" s="397"/>
      <c r="K20" s="397"/>
      <c r="L20" s="397"/>
      <c r="M20" s="397"/>
      <c r="N20" s="397"/>
      <c r="O20" s="398"/>
      <c r="P20" s="372" t="s">
        <v>27</v>
      </c>
      <c r="Q20" s="399"/>
      <c r="R20" s="399"/>
      <c r="S20" s="399"/>
      <c r="T20" s="399"/>
      <c r="U20" s="399"/>
      <c r="V20" s="399"/>
      <c r="W20" s="399"/>
      <c r="X20" s="399"/>
      <c r="Y20" s="399"/>
      <c r="Z20" s="399"/>
      <c r="AA20" s="399"/>
      <c r="AB20" s="399"/>
      <c r="AC20" s="399"/>
      <c r="AD20" s="399"/>
      <c r="AE20" s="373"/>
      <c r="AF20" s="20"/>
    </row>
    <row r="21" spans="1:32" ht="32.1" customHeight="1" thickBot="1" x14ac:dyDescent="0.35">
      <c r="A21" s="82">
        <f>9886473</f>
        <v>9886473</v>
      </c>
      <c r="B21" s="114" t="s">
        <v>28</v>
      </c>
      <c r="C21" s="115" t="s">
        <v>29</v>
      </c>
      <c r="D21" s="115" t="s">
        <v>30</v>
      </c>
      <c r="E21" s="115" t="s">
        <v>31</v>
      </c>
      <c r="F21" s="115" t="s">
        <v>32</v>
      </c>
      <c r="G21" s="115" t="s">
        <v>33</v>
      </c>
      <c r="H21" s="115" t="s">
        <v>34</v>
      </c>
      <c r="I21" s="115" t="s">
        <v>35</v>
      </c>
      <c r="J21" s="115" t="s">
        <v>36</v>
      </c>
      <c r="K21" s="115" t="s">
        <v>37</v>
      </c>
      <c r="L21" s="115" t="s">
        <v>38</v>
      </c>
      <c r="M21" s="115" t="s">
        <v>39</v>
      </c>
      <c r="N21" s="115" t="s">
        <v>40</v>
      </c>
      <c r="O21" s="116" t="s">
        <v>41</v>
      </c>
      <c r="P21" s="143"/>
      <c r="Q21" s="104" t="s">
        <v>28</v>
      </c>
      <c r="R21" s="105" t="s">
        <v>29</v>
      </c>
      <c r="S21" s="105" t="s">
        <v>30</v>
      </c>
      <c r="T21" s="105" t="s">
        <v>31</v>
      </c>
      <c r="U21" s="105" t="s">
        <v>32</v>
      </c>
      <c r="V21" s="105" t="s">
        <v>33</v>
      </c>
      <c r="W21" s="105" t="s">
        <v>34</v>
      </c>
      <c r="X21" s="105" t="s">
        <v>35</v>
      </c>
      <c r="Y21" s="105" t="s">
        <v>36</v>
      </c>
      <c r="Z21" s="105" t="s">
        <v>37</v>
      </c>
      <c r="AA21" s="105" t="s">
        <v>38</v>
      </c>
      <c r="AB21" s="105" t="s">
        <v>39</v>
      </c>
      <c r="AC21" s="105" t="s">
        <v>40</v>
      </c>
      <c r="AD21" s="142" t="s">
        <v>42</v>
      </c>
      <c r="AE21" s="142" t="s">
        <v>43</v>
      </c>
      <c r="AF21" s="1"/>
    </row>
    <row r="22" spans="1:32" ht="32.1" customHeight="1" x14ac:dyDescent="0.3">
      <c r="A22" s="139" t="s">
        <v>44</v>
      </c>
      <c r="B22" s="84"/>
      <c r="C22" s="82">
        <v>4497000</v>
      </c>
      <c r="D22" s="82">
        <v>1700000</v>
      </c>
      <c r="E22" s="82">
        <f>3689473</f>
        <v>3689473</v>
      </c>
      <c r="F22" s="82"/>
      <c r="G22" s="82"/>
      <c r="H22" s="82"/>
      <c r="I22" s="82"/>
      <c r="J22" s="82"/>
      <c r="K22" s="82"/>
      <c r="L22" s="82"/>
      <c r="M22" s="82"/>
      <c r="N22" s="82">
        <f>SUM(B22:M22)</f>
        <v>9886473</v>
      </c>
      <c r="O22" s="85"/>
      <c r="P22" s="139" t="s">
        <v>45</v>
      </c>
      <c r="Q22" s="106"/>
      <c r="R22" s="107">
        <f>400120000-15853244</f>
        <v>384266756</v>
      </c>
      <c r="S22" s="107"/>
      <c r="T22" s="107"/>
      <c r="U22" s="107"/>
      <c r="V22" s="107"/>
      <c r="W22" s="107"/>
      <c r="X22" s="107">
        <f>24720000+50000000+16399244+14294000</f>
        <v>105413244</v>
      </c>
      <c r="Y22" s="107"/>
      <c r="Z22" s="107"/>
      <c r="AA22" s="107"/>
      <c r="AB22" s="107"/>
      <c r="AC22" s="107">
        <f>SUM(Q22:AB22)</f>
        <v>489680000</v>
      </c>
      <c r="AE22" s="108"/>
      <c r="AF22" s="1"/>
    </row>
    <row r="23" spans="1:32" ht="32.1" customHeight="1" x14ac:dyDescent="0.3">
      <c r="A23" s="140" t="s">
        <v>46</v>
      </c>
      <c r="B23" s="81"/>
      <c r="C23" s="80"/>
      <c r="D23" s="80"/>
      <c r="E23" s="80"/>
      <c r="F23" s="80"/>
      <c r="G23" s="80"/>
      <c r="H23" s="80"/>
      <c r="I23" s="80"/>
      <c r="J23" s="80"/>
      <c r="K23" s="80"/>
      <c r="L23" s="80"/>
      <c r="M23" s="80"/>
      <c r="N23" s="80">
        <f>SUM(B23:M23)</f>
        <v>0</v>
      </c>
      <c r="O23" s="94" t="str">
        <f>IFERROR(N23/(SUMIF(B23:M23,"&gt;0",B22:M22))," ")</f>
        <v xml:space="preserve"> </v>
      </c>
      <c r="P23" s="140" t="s">
        <v>47</v>
      </c>
      <c r="Q23" s="81">
        <f>7177500</f>
        <v>7177500</v>
      </c>
      <c r="R23" s="80">
        <f>180576875-Q23</f>
        <v>173399375</v>
      </c>
      <c r="S23" s="80"/>
      <c r="T23" s="80"/>
      <c r="U23" s="80"/>
      <c r="V23" s="80"/>
      <c r="W23" s="80"/>
      <c r="X23" s="80"/>
      <c r="Y23" s="80"/>
      <c r="Z23" s="80"/>
      <c r="AA23" s="80"/>
      <c r="AB23" s="80"/>
      <c r="AC23" s="80">
        <f>SUM(Q23:AB23)</f>
        <v>180576875</v>
      </c>
      <c r="AD23" s="80"/>
      <c r="AE23" s="86">
        <f>AC23/AC22</f>
        <v>0.36876506085606925</v>
      </c>
      <c r="AF23" s="1"/>
    </row>
    <row r="24" spans="1:32" ht="32.1" customHeight="1" x14ac:dyDescent="0.3">
      <c r="A24" s="140" t="s">
        <v>48</v>
      </c>
      <c r="B24" s="81"/>
      <c r="C24" s="80"/>
      <c r="D24" s="80"/>
      <c r="E24" s="80"/>
      <c r="F24" s="80"/>
      <c r="G24" s="80"/>
      <c r="H24" s="80"/>
      <c r="I24" s="80"/>
      <c r="J24" s="80"/>
      <c r="K24" s="80"/>
      <c r="L24" s="80"/>
      <c r="M24" s="80"/>
      <c r="N24" s="80">
        <f>SUM(B24:M24)</f>
        <v>0</v>
      </c>
      <c r="O24" s="83"/>
      <c r="P24" s="140" t="s">
        <v>44</v>
      </c>
      <c r="Q24" s="81"/>
      <c r="R24" s="80">
        <v>3395000</v>
      </c>
      <c r="S24" s="80">
        <v>34531000</v>
      </c>
      <c r="T24" s="80">
        <v>34553000</v>
      </c>
      <c r="U24" s="80">
        <v>34826000</v>
      </c>
      <c r="V24" s="80">
        <v>34553000</v>
      </c>
      <c r="W24" s="80">
        <v>57354000</v>
      </c>
      <c r="X24" s="80">
        <v>67793000</v>
      </c>
      <c r="Y24" s="80">
        <f>43066000-25000000+16399244+7147000</f>
        <v>41612244</v>
      </c>
      <c r="Z24" s="80">
        <f>34553000+7147000</f>
        <v>41700000</v>
      </c>
      <c r="AA24" s="80">
        <v>59553000</v>
      </c>
      <c r="AB24" s="80">
        <f>71209000-16399244+25000000</f>
        <v>79809756</v>
      </c>
      <c r="AC24" s="80">
        <f>SUM(Q24:AB24)</f>
        <v>489680000</v>
      </c>
      <c r="AD24" s="80"/>
      <c r="AE24" s="109"/>
      <c r="AF24" s="1"/>
    </row>
    <row r="25" spans="1:32" ht="32.1" customHeight="1" thickBot="1" x14ac:dyDescent="0.35">
      <c r="A25" s="141" t="s">
        <v>49</v>
      </c>
      <c r="B25" s="117">
        <f>1608333</f>
        <v>1608333</v>
      </c>
      <c r="C25" s="118">
        <f>4497483-B25</f>
        <v>2889150</v>
      </c>
      <c r="D25" s="118"/>
      <c r="E25" s="118"/>
      <c r="F25" s="118"/>
      <c r="G25" s="118"/>
      <c r="H25" s="118"/>
      <c r="I25" s="118"/>
      <c r="J25" s="118"/>
      <c r="K25" s="118"/>
      <c r="L25" s="118"/>
      <c r="M25" s="118"/>
      <c r="N25" s="118">
        <f>SUM(B25:M25)</f>
        <v>4497483</v>
      </c>
      <c r="O25" s="119" t="str">
        <f>IFERROR(N25/(SUMIF(B25:M25,"&gt;0",B24:M24))," ")</f>
        <v xml:space="preserve"> </v>
      </c>
      <c r="P25" s="141" t="s">
        <v>49</v>
      </c>
      <c r="Q25" s="117">
        <v>0</v>
      </c>
      <c r="R25" s="118">
        <v>0</v>
      </c>
      <c r="S25" s="118"/>
      <c r="T25" s="118"/>
      <c r="U25" s="118"/>
      <c r="V25" s="118"/>
      <c r="W25" s="118"/>
      <c r="X25" s="118"/>
      <c r="Y25" s="118"/>
      <c r="Z25" s="118"/>
      <c r="AA25" s="118"/>
      <c r="AB25" s="118"/>
      <c r="AC25" s="118">
        <f>SUM(Q25:AB25)</f>
        <v>0</v>
      </c>
      <c r="AD25" s="118"/>
      <c r="AE25" s="120">
        <f>AC25/AC24</f>
        <v>0</v>
      </c>
      <c r="AF25" s="1"/>
    </row>
    <row r="26" spans="1:32" customFormat="1" ht="16.5" customHeight="1" thickBot="1" x14ac:dyDescent="0.35"/>
    <row r="27" spans="1:32" ht="33.9" customHeight="1" x14ac:dyDescent="0.3">
      <c r="A27" s="329" t="s">
        <v>50</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1"/>
    </row>
    <row r="28" spans="1:32" ht="15" customHeight="1" x14ac:dyDescent="0.3">
      <c r="A28" s="305" t="s">
        <v>51</v>
      </c>
      <c r="B28" s="307" t="s">
        <v>52</v>
      </c>
      <c r="C28" s="307"/>
      <c r="D28" s="307" t="s">
        <v>53</v>
      </c>
      <c r="E28" s="307"/>
      <c r="F28" s="307"/>
      <c r="G28" s="307"/>
      <c r="H28" s="307"/>
      <c r="I28" s="307"/>
      <c r="J28" s="307"/>
      <c r="K28" s="307"/>
      <c r="L28" s="307"/>
      <c r="M28" s="307"/>
      <c r="N28" s="307"/>
      <c r="O28" s="307"/>
      <c r="P28" s="307" t="s">
        <v>40</v>
      </c>
      <c r="Q28" s="307" t="s">
        <v>54</v>
      </c>
      <c r="R28" s="307"/>
      <c r="S28" s="307"/>
      <c r="T28" s="307"/>
      <c r="U28" s="307"/>
      <c r="V28" s="307"/>
      <c r="W28" s="307"/>
      <c r="X28" s="307"/>
      <c r="Y28" s="307" t="s">
        <v>55</v>
      </c>
      <c r="Z28" s="307"/>
      <c r="AA28" s="307"/>
      <c r="AB28" s="307"/>
      <c r="AC28" s="307"/>
      <c r="AD28" s="307"/>
      <c r="AE28" s="332"/>
    </row>
    <row r="29" spans="1:32" ht="27" customHeight="1" x14ac:dyDescent="0.3">
      <c r="A29" s="305"/>
      <c r="B29" s="307"/>
      <c r="C29" s="307"/>
      <c r="D29" s="100" t="s">
        <v>28</v>
      </c>
      <c r="E29" s="100" t="s">
        <v>29</v>
      </c>
      <c r="F29" s="100" t="s">
        <v>30</v>
      </c>
      <c r="G29" s="100" t="s">
        <v>31</v>
      </c>
      <c r="H29" s="100" t="s">
        <v>32</v>
      </c>
      <c r="I29" s="100" t="s">
        <v>33</v>
      </c>
      <c r="J29" s="100" t="s">
        <v>34</v>
      </c>
      <c r="K29" s="100" t="s">
        <v>35</v>
      </c>
      <c r="L29" s="100" t="s">
        <v>36</v>
      </c>
      <c r="M29" s="100" t="s">
        <v>37</v>
      </c>
      <c r="N29" s="100" t="s">
        <v>38</v>
      </c>
      <c r="O29" s="100" t="s">
        <v>39</v>
      </c>
      <c r="P29" s="307"/>
      <c r="Q29" s="307"/>
      <c r="R29" s="307"/>
      <c r="S29" s="307"/>
      <c r="T29" s="307"/>
      <c r="U29" s="307"/>
      <c r="V29" s="307"/>
      <c r="W29" s="307"/>
      <c r="X29" s="307"/>
      <c r="Y29" s="307"/>
      <c r="Z29" s="307"/>
      <c r="AA29" s="307"/>
      <c r="AB29" s="307"/>
      <c r="AC29" s="307"/>
      <c r="AD29" s="307"/>
      <c r="AE29" s="332"/>
    </row>
    <row r="30" spans="1:32" ht="61.95" customHeight="1" thickBot="1" x14ac:dyDescent="0.35">
      <c r="A30" s="110" t="s">
        <v>108</v>
      </c>
      <c r="B30" s="403"/>
      <c r="C30" s="403"/>
      <c r="D30" s="103"/>
      <c r="E30" s="103"/>
      <c r="F30" s="103"/>
      <c r="G30" s="103"/>
      <c r="H30" s="103"/>
      <c r="I30" s="103"/>
      <c r="J30" s="103"/>
      <c r="K30" s="103"/>
      <c r="L30" s="103"/>
      <c r="M30" s="103"/>
      <c r="N30" s="103"/>
      <c r="O30" s="103"/>
      <c r="P30" s="111">
        <f>SUM(D30:O30)</f>
        <v>0</v>
      </c>
      <c r="Q30" s="394" t="s">
        <v>485</v>
      </c>
      <c r="R30" s="394"/>
      <c r="S30" s="394"/>
      <c r="T30" s="394"/>
      <c r="U30" s="394"/>
      <c r="V30" s="394"/>
      <c r="W30" s="394"/>
      <c r="X30" s="394"/>
      <c r="Y30" s="394" t="s">
        <v>114</v>
      </c>
      <c r="Z30" s="394"/>
      <c r="AA30" s="394"/>
      <c r="AB30" s="394"/>
      <c r="AC30" s="394"/>
      <c r="AD30" s="394"/>
      <c r="AE30" s="395"/>
    </row>
    <row r="31" spans="1:32" ht="12" customHeight="1" thickBot="1" x14ac:dyDescent="0.35">
      <c r="A31" s="121"/>
      <c r="B31" s="122"/>
      <c r="C31" s="122"/>
      <c r="D31" s="9"/>
      <c r="E31" s="9"/>
      <c r="F31" s="9"/>
      <c r="G31" s="9"/>
      <c r="H31" s="9"/>
      <c r="I31" s="9"/>
      <c r="J31" s="9"/>
      <c r="K31" s="9"/>
      <c r="L31" s="9"/>
      <c r="M31" s="9"/>
      <c r="N31" s="9"/>
      <c r="O31" s="9"/>
      <c r="P31" s="123"/>
      <c r="Q31" s="124"/>
      <c r="R31" s="124"/>
      <c r="S31" s="124"/>
      <c r="T31" s="124"/>
      <c r="U31" s="124"/>
      <c r="V31" s="124"/>
      <c r="W31" s="124"/>
      <c r="X31" s="124"/>
      <c r="Y31" s="124"/>
      <c r="Z31" s="124"/>
      <c r="AA31" s="124"/>
      <c r="AB31" s="124"/>
      <c r="AC31" s="124"/>
      <c r="AD31" s="124"/>
      <c r="AE31" s="125"/>
    </row>
    <row r="32" spans="1:32" ht="45" customHeight="1" x14ac:dyDescent="0.3">
      <c r="A32" s="308" t="s">
        <v>56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10"/>
    </row>
    <row r="33" spans="1:41" ht="23.1" customHeight="1" x14ac:dyDescent="0.3">
      <c r="A33" s="305" t="s">
        <v>57</v>
      </c>
      <c r="B33" s="307" t="s">
        <v>58</v>
      </c>
      <c r="C33" s="307" t="s">
        <v>52</v>
      </c>
      <c r="D33" s="307" t="s">
        <v>59</v>
      </c>
      <c r="E33" s="307"/>
      <c r="F33" s="307"/>
      <c r="G33" s="307"/>
      <c r="H33" s="307"/>
      <c r="I33" s="307"/>
      <c r="J33" s="307"/>
      <c r="K33" s="307"/>
      <c r="L33" s="307"/>
      <c r="M33" s="307"/>
      <c r="N33" s="307"/>
      <c r="O33" s="307"/>
      <c r="P33" s="307"/>
      <c r="Q33" s="307" t="s">
        <v>60</v>
      </c>
      <c r="R33" s="307"/>
      <c r="S33" s="307"/>
      <c r="T33" s="307"/>
      <c r="U33" s="307"/>
      <c r="V33" s="307"/>
      <c r="W33" s="307"/>
      <c r="X33" s="307"/>
      <c r="Y33" s="307"/>
      <c r="Z33" s="307"/>
      <c r="AA33" s="307"/>
      <c r="AB33" s="307"/>
      <c r="AC33" s="307"/>
      <c r="AD33" s="307"/>
      <c r="AE33" s="332"/>
      <c r="AG33" s="21"/>
      <c r="AH33" s="21"/>
      <c r="AI33" s="21"/>
      <c r="AJ33" s="21"/>
      <c r="AK33" s="21"/>
      <c r="AL33" s="21"/>
      <c r="AM33" s="21"/>
      <c r="AN33" s="21"/>
      <c r="AO33" s="21"/>
    </row>
    <row r="34" spans="1:41" ht="27" customHeight="1" x14ac:dyDescent="0.3">
      <c r="A34" s="305"/>
      <c r="B34" s="307"/>
      <c r="C34" s="333"/>
      <c r="D34" s="100" t="s">
        <v>28</v>
      </c>
      <c r="E34" s="100" t="s">
        <v>29</v>
      </c>
      <c r="F34" s="100" t="s">
        <v>30</v>
      </c>
      <c r="G34" s="100" t="s">
        <v>31</v>
      </c>
      <c r="H34" s="100" t="s">
        <v>32</v>
      </c>
      <c r="I34" s="100" t="s">
        <v>33</v>
      </c>
      <c r="J34" s="100" t="s">
        <v>34</v>
      </c>
      <c r="K34" s="100" t="s">
        <v>35</v>
      </c>
      <c r="L34" s="100" t="s">
        <v>36</v>
      </c>
      <c r="M34" s="100" t="s">
        <v>37</v>
      </c>
      <c r="N34" s="100" t="s">
        <v>38</v>
      </c>
      <c r="O34" s="100" t="s">
        <v>39</v>
      </c>
      <c r="P34" s="100" t="s">
        <v>40</v>
      </c>
      <c r="Q34" s="287" t="s">
        <v>61</v>
      </c>
      <c r="R34" s="288"/>
      <c r="S34" s="288"/>
      <c r="T34" s="311"/>
      <c r="U34" s="307" t="s">
        <v>62</v>
      </c>
      <c r="V34" s="307"/>
      <c r="W34" s="307"/>
      <c r="X34" s="307"/>
      <c r="Y34" s="307" t="s">
        <v>63</v>
      </c>
      <c r="Z34" s="307"/>
      <c r="AA34" s="307"/>
      <c r="AB34" s="307"/>
      <c r="AC34" s="307" t="s">
        <v>64</v>
      </c>
      <c r="AD34" s="307"/>
      <c r="AE34" s="332"/>
      <c r="AG34" s="21"/>
      <c r="AH34" s="21"/>
      <c r="AI34" s="21"/>
      <c r="AJ34" s="21"/>
      <c r="AK34" s="21"/>
      <c r="AL34" s="21"/>
      <c r="AM34" s="21"/>
      <c r="AN34" s="21"/>
      <c r="AO34" s="21"/>
    </row>
    <row r="35" spans="1:41" ht="66.599999999999994" customHeight="1" x14ac:dyDescent="0.3">
      <c r="A35" s="300" t="s">
        <v>108</v>
      </c>
      <c r="B35" s="460">
        <v>9</v>
      </c>
      <c r="C35" s="23" t="s">
        <v>65</v>
      </c>
      <c r="D35" s="248">
        <f>D73</f>
        <v>6.6666666666666664E-4</v>
      </c>
      <c r="E35" s="248">
        <f t="shared" ref="E35:O35" si="0">E73</f>
        <v>1.5333333333333331E-2</v>
      </c>
      <c r="F35" s="248">
        <f t="shared" si="0"/>
        <v>2.6666666666666665E-2</v>
      </c>
      <c r="G35" s="248">
        <f t="shared" si="0"/>
        <v>2.9999999999999995E-2</v>
      </c>
      <c r="H35" s="248">
        <f t="shared" si="0"/>
        <v>2.7333333333333334E-2</v>
      </c>
      <c r="I35" s="248">
        <f t="shared" si="0"/>
        <v>0</v>
      </c>
      <c r="J35" s="248">
        <f t="shared" si="0"/>
        <v>0</v>
      </c>
      <c r="K35" s="248">
        <f t="shared" si="0"/>
        <v>0</v>
      </c>
      <c r="L35" s="248">
        <f t="shared" si="0"/>
        <v>0</v>
      </c>
      <c r="M35" s="248">
        <f t="shared" si="0"/>
        <v>0</v>
      </c>
      <c r="N35" s="248">
        <f t="shared" si="0"/>
        <v>0</v>
      </c>
      <c r="O35" s="248">
        <f t="shared" si="0"/>
        <v>0</v>
      </c>
      <c r="P35" s="245">
        <f>SUM(D35:O35)</f>
        <v>9.9999999999999992E-2</v>
      </c>
      <c r="Q35" s="432" t="s">
        <v>489</v>
      </c>
      <c r="R35" s="433"/>
      <c r="S35" s="433"/>
      <c r="T35" s="434"/>
      <c r="U35" s="432" t="s">
        <v>508</v>
      </c>
      <c r="V35" s="433"/>
      <c r="W35" s="433"/>
      <c r="X35" s="434"/>
      <c r="Y35" s="432" t="s">
        <v>460</v>
      </c>
      <c r="Z35" s="433"/>
      <c r="AA35" s="433"/>
      <c r="AB35" s="434"/>
      <c r="AC35" s="432" t="s">
        <v>461</v>
      </c>
      <c r="AD35" s="433"/>
      <c r="AE35" s="458"/>
      <c r="AG35" s="21"/>
      <c r="AH35" s="21"/>
      <c r="AI35" s="21"/>
      <c r="AJ35" s="21"/>
      <c r="AK35" s="21"/>
      <c r="AL35" s="21"/>
      <c r="AM35" s="21"/>
      <c r="AN35" s="21"/>
      <c r="AO35" s="21"/>
    </row>
    <row r="36" spans="1:41" ht="66.599999999999994" customHeight="1" thickBot="1" x14ac:dyDescent="0.35">
      <c r="A36" s="301"/>
      <c r="B36" s="461"/>
      <c r="C36" s="24" t="s">
        <v>66</v>
      </c>
      <c r="D36" s="247">
        <f>D70</f>
        <v>6.6666666666666664E-4</v>
      </c>
      <c r="E36" s="247">
        <f t="shared" ref="E36:O36" si="1">E70</f>
        <v>1.5333333333333331E-2</v>
      </c>
      <c r="F36" s="247">
        <f t="shared" si="1"/>
        <v>0</v>
      </c>
      <c r="G36" s="247">
        <f t="shared" si="1"/>
        <v>0</v>
      </c>
      <c r="H36" s="247">
        <f t="shared" si="1"/>
        <v>0</v>
      </c>
      <c r="I36" s="247">
        <f t="shared" si="1"/>
        <v>0</v>
      </c>
      <c r="J36" s="247">
        <f t="shared" si="1"/>
        <v>0</v>
      </c>
      <c r="K36" s="247">
        <f t="shared" si="1"/>
        <v>0</v>
      </c>
      <c r="L36" s="247">
        <f t="shared" si="1"/>
        <v>0</v>
      </c>
      <c r="M36" s="247">
        <f t="shared" si="1"/>
        <v>0</v>
      </c>
      <c r="N36" s="247">
        <f t="shared" si="1"/>
        <v>0</v>
      </c>
      <c r="O36" s="247">
        <f t="shared" si="1"/>
        <v>0</v>
      </c>
      <c r="P36" s="246">
        <f>SUM(D36:O36)</f>
        <v>1.5999999999999997E-2</v>
      </c>
      <c r="Q36" s="435"/>
      <c r="R36" s="436"/>
      <c r="S36" s="436"/>
      <c r="T36" s="437"/>
      <c r="U36" s="435"/>
      <c r="V36" s="436"/>
      <c r="W36" s="436"/>
      <c r="X36" s="437"/>
      <c r="Y36" s="435"/>
      <c r="Z36" s="436"/>
      <c r="AA36" s="436"/>
      <c r="AB36" s="437"/>
      <c r="AC36" s="435"/>
      <c r="AD36" s="436"/>
      <c r="AE36" s="459"/>
      <c r="AG36" s="21"/>
      <c r="AH36" s="21"/>
      <c r="AI36" s="21"/>
      <c r="AJ36" s="21"/>
      <c r="AK36" s="21"/>
      <c r="AL36" s="21"/>
      <c r="AM36" s="21"/>
      <c r="AN36" s="21"/>
      <c r="AO36" s="21"/>
    </row>
    <row r="37" spans="1:41" customFormat="1" ht="35.1" customHeight="1" thickBot="1" x14ac:dyDescent="0.35"/>
    <row r="38" spans="1:41" ht="45" customHeight="1" thickBot="1" x14ac:dyDescent="0.35">
      <c r="A38" s="308" t="s">
        <v>67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G38" s="21"/>
      <c r="AH38" s="21"/>
      <c r="AI38" s="21"/>
      <c r="AJ38" s="21"/>
      <c r="AK38" s="21"/>
      <c r="AL38" s="21"/>
      <c r="AM38" s="21"/>
      <c r="AN38" s="21"/>
      <c r="AO38" s="21"/>
    </row>
    <row r="39" spans="1:41" ht="26.1" customHeight="1" x14ac:dyDescent="0.3">
      <c r="A39" s="304" t="s">
        <v>68</v>
      </c>
      <c r="B39" s="306" t="s">
        <v>69</v>
      </c>
      <c r="C39" s="312" t="s">
        <v>70</v>
      </c>
      <c r="D39" s="314" t="s">
        <v>71</v>
      </c>
      <c r="E39" s="315"/>
      <c r="F39" s="315"/>
      <c r="G39" s="315"/>
      <c r="H39" s="315"/>
      <c r="I39" s="315"/>
      <c r="J39" s="315"/>
      <c r="K39" s="315"/>
      <c r="L39" s="315"/>
      <c r="M39" s="315"/>
      <c r="N39" s="315"/>
      <c r="O39" s="315"/>
      <c r="P39" s="316"/>
      <c r="Q39" s="306" t="s">
        <v>72</v>
      </c>
      <c r="R39" s="306"/>
      <c r="S39" s="306"/>
      <c r="T39" s="306"/>
      <c r="U39" s="306"/>
      <c r="V39" s="306"/>
      <c r="W39" s="306"/>
      <c r="X39" s="306"/>
      <c r="Y39" s="306"/>
      <c r="Z39" s="306"/>
      <c r="AA39" s="306"/>
      <c r="AB39" s="306"/>
      <c r="AC39" s="306"/>
      <c r="AD39" s="306"/>
      <c r="AE39" s="328"/>
      <c r="AG39" s="21"/>
      <c r="AH39" s="21"/>
      <c r="AI39" s="21"/>
      <c r="AJ39" s="21"/>
      <c r="AK39" s="21"/>
      <c r="AL39" s="21"/>
      <c r="AM39" s="21"/>
      <c r="AN39" s="21"/>
      <c r="AO39" s="21"/>
    </row>
    <row r="40" spans="1:41" ht="26.1" customHeight="1" x14ac:dyDescent="0.3">
      <c r="A40" s="305"/>
      <c r="B40" s="307"/>
      <c r="C40" s="313"/>
      <c r="D40" s="100" t="s">
        <v>73</v>
      </c>
      <c r="E40" s="100" t="s">
        <v>74</v>
      </c>
      <c r="F40" s="100" t="s">
        <v>75</v>
      </c>
      <c r="G40" s="100" t="s">
        <v>76</v>
      </c>
      <c r="H40" s="100" t="s">
        <v>77</v>
      </c>
      <c r="I40" s="100" t="s">
        <v>78</v>
      </c>
      <c r="J40" s="100" t="s">
        <v>79</v>
      </c>
      <c r="K40" s="100" t="s">
        <v>80</v>
      </c>
      <c r="L40" s="100" t="s">
        <v>81</v>
      </c>
      <c r="M40" s="100" t="s">
        <v>82</v>
      </c>
      <c r="N40" s="100" t="s">
        <v>83</v>
      </c>
      <c r="O40" s="100" t="s">
        <v>84</v>
      </c>
      <c r="P40" s="100" t="s">
        <v>85</v>
      </c>
      <c r="Q40" s="287" t="s">
        <v>86</v>
      </c>
      <c r="R40" s="288"/>
      <c r="S40" s="288"/>
      <c r="T40" s="288"/>
      <c r="U40" s="288"/>
      <c r="V40" s="288"/>
      <c r="W40" s="288"/>
      <c r="X40" s="311"/>
      <c r="Y40" s="287" t="s">
        <v>87</v>
      </c>
      <c r="Z40" s="288"/>
      <c r="AA40" s="288"/>
      <c r="AB40" s="288"/>
      <c r="AC40" s="288"/>
      <c r="AD40" s="288"/>
      <c r="AE40" s="289"/>
      <c r="AG40" s="26"/>
      <c r="AH40" s="26"/>
      <c r="AI40" s="26"/>
      <c r="AJ40" s="26"/>
      <c r="AK40" s="26"/>
      <c r="AL40" s="26"/>
      <c r="AM40" s="26"/>
      <c r="AN40" s="26"/>
      <c r="AO40" s="26"/>
    </row>
    <row r="41" spans="1:41" ht="77.099999999999994" customHeight="1" x14ac:dyDescent="0.3">
      <c r="A41" s="424" t="s">
        <v>109</v>
      </c>
      <c r="B41" s="457">
        <v>3</v>
      </c>
      <c r="C41" s="30" t="s">
        <v>65</v>
      </c>
      <c r="D41" s="31">
        <v>0.01</v>
      </c>
      <c r="E41" s="31">
        <v>0.09</v>
      </c>
      <c r="F41" s="31">
        <v>0.3</v>
      </c>
      <c r="G41" s="31">
        <v>0.35</v>
      </c>
      <c r="H41" s="31">
        <v>0.25</v>
      </c>
      <c r="I41" s="31">
        <v>0</v>
      </c>
      <c r="J41" s="31"/>
      <c r="K41" s="31"/>
      <c r="L41" s="31"/>
      <c r="M41" s="31"/>
      <c r="N41" s="31"/>
      <c r="O41" s="31"/>
      <c r="P41" s="112">
        <f t="shared" ref="P41:P46" si="2">SUM(D41:O41)</f>
        <v>1</v>
      </c>
      <c r="Q41" s="417" t="s">
        <v>490</v>
      </c>
      <c r="R41" s="418"/>
      <c r="S41" s="418"/>
      <c r="T41" s="418"/>
      <c r="U41" s="418"/>
      <c r="V41" s="418"/>
      <c r="W41" s="418"/>
      <c r="X41" s="419"/>
      <c r="Y41" s="281" t="s">
        <v>491</v>
      </c>
      <c r="Z41" s="290"/>
      <c r="AA41" s="290"/>
      <c r="AB41" s="290"/>
      <c r="AC41" s="290"/>
      <c r="AD41" s="290"/>
      <c r="AE41" s="291"/>
      <c r="AG41" s="27"/>
      <c r="AH41" s="27"/>
      <c r="AI41" s="27"/>
      <c r="AJ41" s="27"/>
      <c r="AK41" s="27"/>
      <c r="AL41" s="27"/>
      <c r="AM41" s="27"/>
      <c r="AN41" s="27"/>
      <c r="AO41" s="27"/>
    </row>
    <row r="42" spans="1:41" ht="77.099999999999994" customHeight="1" x14ac:dyDescent="0.3">
      <c r="A42" s="295"/>
      <c r="B42" s="457"/>
      <c r="C42" s="28" t="s">
        <v>66</v>
      </c>
      <c r="D42" s="29">
        <v>0.01</v>
      </c>
      <c r="E42" s="29">
        <v>0.09</v>
      </c>
      <c r="F42" s="29"/>
      <c r="G42" s="29"/>
      <c r="H42" s="29"/>
      <c r="I42" s="29"/>
      <c r="J42" s="29"/>
      <c r="K42" s="29"/>
      <c r="L42" s="29"/>
      <c r="M42" s="29"/>
      <c r="N42" s="29"/>
      <c r="O42" s="29"/>
      <c r="P42" s="112">
        <f t="shared" si="2"/>
        <v>9.9999999999999992E-2</v>
      </c>
      <c r="Q42" s="420"/>
      <c r="R42" s="421"/>
      <c r="S42" s="421"/>
      <c r="T42" s="421"/>
      <c r="U42" s="421"/>
      <c r="V42" s="421"/>
      <c r="W42" s="421"/>
      <c r="X42" s="422"/>
      <c r="Y42" s="292"/>
      <c r="Z42" s="293"/>
      <c r="AA42" s="293"/>
      <c r="AB42" s="293"/>
      <c r="AC42" s="293"/>
      <c r="AD42" s="293"/>
      <c r="AE42" s="294"/>
    </row>
    <row r="43" spans="1:41" ht="77.099999999999994" customHeight="1" x14ac:dyDescent="0.3">
      <c r="A43" s="295" t="s">
        <v>110</v>
      </c>
      <c r="B43" s="457">
        <v>3</v>
      </c>
      <c r="C43" s="30" t="s">
        <v>65</v>
      </c>
      <c r="D43" s="31">
        <v>0</v>
      </c>
      <c r="E43" s="31">
        <v>0.15</v>
      </c>
      <c r="F43" s="31">
        <v>0.25</v>
      </c>
      <c r="G43" s="31">
        <v>0.3</v>
      </c>
      <c r="H43" s="31">
        <v>0.3</v>
      </c>
      <c r="I43" s="31">
        <v>0</v>
      </c>
      <c r="J43" s="31"/>
      <c r="K43" s="31"/>
      <c r="L43" s="31"/>
      <c r="M43" s="31"/>
      <c r="N43" s="31"/>
      <c r="O43" s="31"/>
      <c r="P43" s="112">
        <f t="shared" si="2"/>
        <v>1</v>
      </c>
      <c r="Q43" s="417" t="s">
        <v>492</v>
      </c>
      <c r="R43" s="418"/>
      <c r="S43" s="418"/>
      <c r="T43" s="418"/>
      <c r="U43" s="418"/>
      <c r="V43" s="418"/>
      <c r="W43" s="418"/>
      <c r="X43" s="419"/>
      <c r="Y43" s="281" t="s">
        <v>493</v>
      </c>
      <c r="Z43" s="282"/>
      <c r="AA43" s="282"/>
      <c r="AB43" s="282"/>
      <c r="AC43" s="282"/>
      <c r="AD43" s="282"/>
      <c r="AE43" s="283"/>
    </row>
    <row r="44" spans="1:41" ht="77.099999999999994" customHeight="1" x14ac:dyDescent="0.3">
      <c r="A44" s="295"/>
      <c r="B44" s="457"/>
      <c r="C44" s="28" t="s">
        <v>66</v>
      </c>
      <c r="D44" s="29">
        <v>0</v>
      </c>
      <c r="E44" s="29">
        <v>0.15</v>
      </c>
      <c r="F44" s="29"/>
      <c r="G44" s="29"/>
      <c r="H44" s="29"/>
      <c r="I44" s="29"/>
      <c r="J44" s="29"/>
      <c r="K44" s="29"/>
      <c r="L44" s="29"/>
      <c r="M44" s="29"/>
      <c r="N44" s="29"/>
      <c r="O44" s="29"/>
      <c r="P44" s="112">
        <f t="shared" si="2"/>
        <v>0.15</v>
      </c>
      <c r="Q44" s="420"/>
      <c r="R44" s="421"/>
      <c r="S44" s="421"/>
      <c r="T44" s="421"/>
      <c r="U44" s="421"/>
      <c r="V44" s="421"/>
      <c r="W44" s="421"/>
      <c r="X44" s="422"/>
      <c r="Y44" s="284"/>
      <c r="Z44" s="285"/>
      <c r="AA44" s="285"/>
      <c r="AB44" s="285"/>
      <c r="AC44" s="285"/>
      <c r="AD44" s="285"/>
      <c r="AE44" s="286"/>
    </row>
    <row r="45" spans="1:41" ht="77.099999999999994" customHeight="1" x14ac:dyDescent="0.3">
      <c r="A45" s="455" t="s">
        <v>111</v>
      </c>
      <c r="B45" s="457">
        <v>3</v>
      </c>
      <c r="C45" s="30" t="s">
        <v>65</v>
      </c>
      <c r="D45" s="31">
        <v>0.01</v>
      </c>
      <c r="E45" s="31">
        <v>0.22</v>
      </c>
      <c r="F45" s="31">
        <v>0.25</v>
      </c>
      <c r="G45" s="31">
        <v>0.25</v>
      </c>
      <c r="H45" s="31">
        <v>0.27</v>
      </c>
      <c r="I45" s="31">
        <v>0</v>
      </c>
      <c r="J45" s="31"/>
      <c r="K45" s="31"/>
      <c r="L45" s="31"/>
      <c r="M45" s="31"/>
      <c r="N45" s="31"/>
      <c r="O45" s="31"/>
      <c r="P45" s="112">
        <f t="shared" si="2"/>
        <v>1</v>
      </c>
      <c r="Q45" s="417" t="s">
        <v>494</v>
      </c>
      <c r="R45" s="418"/>
      <c r="S45" s="418"/>
      <c r="T45" s="418"/>
      <c r="U45" s="418"/>
      <c r="V45" s="418"/>
      <c r="W45" s="418"/>
      <c r="X45" s="419"/>
      <c r="Y45" s="281" t="s">
        <v>495</v>
      </c>
      <c r="Z45" s="290"/>
      <c r="AA45" s="290"/>
      <c r="AB45" s="290"/>
      <c r="AC45" s="290"/>
      <c r="AD45" s="290"/>
      <c r="AE45" s="291"/>
    </row>
    <row r="46" spans="1:41" ht="77.099999999999994" customHeight="1" thickBot="1" x14ac:dyDescent="0.35">
      <c r="A46" s="456"/>
      <c r="B46" s="457"/>
      <c r="C46" s="28" t="s">
        <v>66</v>
      </c>
      <c r="D46" s="29">
        <v>0.01</v>
      </c>
      <c r="E46" s="29">
        <v>0.22</v>
      </c>
      <c r="F46" s="29"/>
      <c r="G46" s="29"/>
      <c r="H46" s="29"/>
      <c r="I46" s="29"/>
      <c r="J46" s="29"/>
      <c r="K46" s="29"/>
      <c r="L46" s="29"/>
      <c r="M46" s="29"/>
      <c r="N46" s="29"/>
      <c r="O46" s="29"/>
      <c r="P46" s="112">
        <f t="shared" si="2"/>
        <v>0.23</v>
      </c>
      <c r="Q46" s="420"/>
      <c r="R46" s="421"/>
      <c r="S46" s="421"/>
      <c r="T46" s="421"/>
      <c r="U46" s="421"/>
      <c r="V46" s="421"/>
      <c r="W46" s="421"/>
      <c r="X46" s="422"/>
      <c r="Y46" s="292"/>
      <c r="Z46" s="293"/>
      <c r="AA46" s="293"/>
      <c r="AB46" s="293"/>
      <c r="AC46" s="293"/>
      <c r="AD46" s="293"/>
      <c r="AE46" s="294"/>
    </row>
    <row r="47" spans="1:41" ht="15" customHeight="1" x14ac:dyDescent="0.3">
      <c r="A47" s="254" t="s">
        <v>92</v>
      </c>
    </row>
    <row r="48" spans="1:41" x14ac:dyDescent="0.3">
      <c r="A48" s="254"/>
    </row>
    <row r="49" spans="1:30" x14ac:dyDescent="0.3">
      <c r="A49" s="254"/>
    </row>
    <row r="50" spans="1:30" x14ac:dyDescent="0.3">
      <c r="A50" s="254"/>
    </row>
    <row r="51" spans="1:30" x14ac:dyDescent="0.3">
      <c r="A51" s="254"/>
    </row>
    <row r="52" spans="1:30" x14ac:dyDescent="0.3">
      <c r="A52" s="254"/>
    </row>
    <row r="53" spans="1:30" x14ac:dyDescent="0.3">
      <c r="A53" s="254"/>
    </row>
    <row r="54" spans="1:30" ht="15" thickBot="1" x14ac:dyDescent="0.35">
      <c r="A54" s="254"/>
    </row>
    <row r="55" spans="1:30" x14ac:dyDescent="0.3">
      <c r="A55" s="268" t="s">
        <v>68</v>
      </c>
      <c r="B55" s="270" t="s">
        <v>69</v>
      </c>
      <c r="C55" s="272" t="s">
        <v>71</v>
      </c>
      <c r="D55" s="273"/>
      <c r="E55" s="273"/>
      <c r="F55" s="273"/>
      <c r="G55" s="273"/>
      <c r="H55" s="273"/>
      <c r="I55" s="273"/>
      <c r="J55" s="273"/>
      <c r="K55" s="273"/>
      <c r="L55" s="273"/>
      <c r="M55" s="273"/>
      <c r="N55" s="273"/>
      <c r="O55" s="273"/>
      <c r="P55" s="274"/>
      <c r="Q55" s="215"/>
      <c r="R55" s="215"/>
      <c r="S55" s="216"/>
      <c r="T55" s="216"/>
      <c r="U55" s="216"/>
      <c r="V55" s="216"/>
      <c r="W55" s="216"/>
      <c r="X55" s="216"/>
      <c r="Y55" s="216"/>
      <c r="Z55" s="216"/>
      <c r="AA55" s="216"/>
      <c r="AB55" s="216"/>
      <c r="AC55" s="216"/>
      <c r="AD55" s="216"/>
    </row>
    <row r="56" spans="1:30" x14ac:dyDescent="0.3">
      <c r="A56" s="269"/>
      <c r="B56" s="271"/>
      <c r="C56" s="217" t="s">
        <v>70</v>
      </c>
      <c r="D56" s="217" t="s">
        <v>73</v>
      </c>
      <c r="E56" s="217" t="s">
        <v>74</v>
      </c>
      <c r="F56" s="217" t="s">
        <v>75</v>
      </c>
      <c r="G56" s="217" t="s">
        <v>76</v>
      </c>
      <c r="H56" s="217" t="s">
        <v>77</v>
      </c>
      <c r="I56" s="217" t="s">
        <v>78</v>
      </c>
      <c r="J56" s="217" t="s">
        <v>79</v>
      </c>
      <c r="K56" s="217" t="s">
        <v>80</v>
      </c>
      <c r="L56" s="217" t="s">
        <v>81</v>
      </c>
      <c r="M56" s="217" t="s">
        <v>82</v>
      </c>
      <c r="N56" s="217" t="s">
        <v>83</v>
      </c>
      <c r="O56" s="217" t="s">
        <v>84</v>
      </c>
      <c r="P56" s="218" t="s">
        <v>85</v>
      </c>
      <c r="Q56" s="215"/>
      <c r="R56" s="215"/>
      <c r="S56" s="216"/>
      <c r="T56" s="216"/>
      <c r="U56" s="216"/>
      <c r="V56" s="216"/>
      <c r="W56" s="216"/>
      <c r="X56" s="216"/>
      <c r="Y56" s="216"/>
      <c r="Z56" s="216"/>
      <c r="AA56" s="216"/>
      <c r="AB56" s="216"/>
      <c r="AC56" s="216"/>
      <c r="AD56" s="216"/>
    </row>
    <row r="57" spans="1:30" ht="18" customHeight="1" x14ac:dyDescent="0.3">
      <c r="A57" s="264" t="str">
        <f>A41</f>
        <v>19.  Promover los apoyos de acceso a educación superior a través del acompañamiento, preparación (PRE ICFES) y financiación del Examen Saber 11°  (ICFES).</v>
      </c>
      <c r="B57" s="266">
        <f>B41</f>
        <v>3</v>
      </c>
      <c r="C57" s="219" t="s">
        <v>65</v>
      </c>
      <c r="D57" s="220">
        <f>D41*$B$41/$P$41</f>
        <v>0.03</v>
      </c>
      <c r="E57" s="220">
        <f t="shared" ref="E57:J58" si="3">E41*$B$41/$P$41</f>
        <v>0.27</v>
      </c>
      <c r="F57" s="220">
        <f t="shared" si="3"/>
        <v>0.89999999999999991</v>
      </c>
      <c r="G57" s="220">
        <f t="shared" si="3"/>
        <v>1.0499999999999998</v>
      </c>
      <c r="H57" s="220">
        <f t="shared" si="3"/>
        <v>0.75</v>
      </c>
      <c r="I57" s="220">
        <f t="shared" si="3"/>
        <v>0</v>
      </c>
      <c r="J57" s="220">
        <f t="shared" si="3"/>
        <v>0</v>
      </c>
      <c r="K57" s="220"/>
      <c r="L57" s="220"/>
      <c r="M57" s="220"/>
      <c r="N57" s="220"/>
      <c r="O57" s="220"/>
      <c r="P57" s="221">
        <f t="shared" ref="P57:P62" si="4">SUM(D57:O57)</f>
        <v>3</v>
      </c>
      <c r="Q57" s="222">
        <v>0.05</v>
      </c>
      <c r="R57" s="223">
        <f t="shared" ref="R57:R69" si="5">+P57-Q57</f>
        <v>2.95</v>
      </c>
      <c r="S57" s="216"/>
      <c r="T57" s="216"/>
      <c r="U57" s="216"/>
      <c r="V57" s="216"/>
      <c r="W57" s="216"/>
      <c r="X57" s="216"/>
      <c r="Y57" s="216"/>
      <c r="Z57" s="216"/>
      <c r="AA57" s="216"/>
      <c r="AB57" s="216"/>
      <c r="AC57" s="216"/>
      <c r="AD57" s="216"/>
    </row>
    <row r="58" spans="1:30" ht="18" customHeight="1" x14ac:dyDescent="0.3">
      <c r="A58" s="265"/>
      <c r="B58" s="267"/>
      <c r="C58" s="224" t="s">
        <v>66</v>
      </c>
      <c r="D58" s="225">
        <f>D42*$B$41/$P$41</f>
        <v>0.03</v>
      </c>
      <c r="E58" s="225">
        <f t="shared" si="3"/>
        <v>0.27</v>
      </c>
      <c r="F58" s="225">
        <f t="shared" si="3"/>
        <v>0</v>
      </c>
      <c r="G58" s="225">
        <f t="shared" si="3"/>
        <v>0</v>
      </c>
      <c r="H58" s="225">
        <f t="shared" si="3"/>
        <v>0</v>
      </c>
      <c r="I58" s="225">
        <f t="shared" si="3"/>
        <v>0</v>
      </c>
      <c r="J58" s="225"/>
      <c r="K58" s="225"/>
      <c r="L58" s="225"/>
      <c r="M58" s="225"/>
      <c r="N58" s="225"/>
      <c r="O58" s="225"/>
      <c r="P58" s="226">
        <f t="shared" si="4"/>
        <v>0.30000000000000004</v>
      </c>
      <c r="Q58" s="227">
        <f>+P58</f>
        <v>0.30000000000000004</v>
      </c>
      <c r="R58" s="223">
        <f t="shared" si="5"/>
        <v>0</v>
      </c>
      <c r="S58" s="216"/>
      <c r="T58" s="216"/>
      <c r="U58" s="216"/>
      <c r="V58" s="216"/>
      <c r="W58" s="216"/>
      <c r="X58" s="216"/>
      <c r="Y58" s="216"/>
      <c r="Z58" s="216"/>
      <c r="AA58" s="216"/>
      <c r="AB58" s="216"/>
      <c r="AC58" s="216"/>
      <c r="AD58" s="216"/>
    </row>
    <row r="59" spans="1:30" ht="18" customHeight="1" x14ac:dyDescent="0.3">
      <c r="A59" s="264" t="str">
        <f t="shared" ref="A59:B59" si="6">A43</f>
        <v>20.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266">
        <f t="shared" si="6"/>
        <v>3</v>
      </c>
      <c r="C59" s="219" t="s">
        <v>65</v>
      </c>
      <c r="D59" s="220">
        <f>D43*$B$43/$P$43</f>
        <v>0</v>
      </c>
      <c r="E59" s="220">
        <f>E43*$B$43/$P$43</f>
        <v>0.44999999999999996</v>
      </c>
      <c r="F59" s="220">
        <f t="shared" ref="F59:I59" si="7">F43*$B$43/$P$43</f>
        <v>0.75</v>
      </c>
      <c r="G59" s="220">
        <f t="shared" si="7"/>
        <v>0.89999999999999991</v>
      </c>
      <c r="H59" s="220">
        <f t="shared" si="7"/>
        <v>0.89999999999999991</v>
      </c>
      <c r="I59" s="220">
        <f t="shared" si="7"/>
        <v>0</v>
      </c>
      <c r="J59" s="220"/>
      <c r="K59" s="220"/>
      <c r="L59" s="220"/>
      <c r="M59" s="220"/>
      <c r="N59" s="220"/>
      <c r="O59" s="220"/>
      <c r="P59" s="221">
        <f t="shared" si="4"/>
        <v>2.9999999999999996</v>
      </c>
      <c r="Q59" s="222">
        <v>2.5000000000000001E-2</v>
      </c>
      <c r="R59" s="223">
        <f t="shared" si="5"/>
        <v>2.9749999999999996</v>
      </c>
      <c r="S59" s="216"/>
      <c r="T59" s="216"/>
      <c r="U59" s="216"/>
      <c r="V59" s="216"/>
      <c r="W59" s="216"/>
      <c r="X59" s="216"/>
      <c r="Y59" s="216"/>
      <c r="Z59" s="216"/>
      <c r="AA59" s="216"/>
      <c r="AB59" s="216"/>
      <c r="AC59" s="216"/>
      <c r="AD59" s="216"/>
    </row>
    <row r="60" spans="1:30" ht="18" customHeight="1" x14ac:dyDescent="0.3">
      <c r="A60" s="265"/>
      <c r="B60" s="267"/>
      <c r="C60" s="224" t="s">
        <v>66</v>
      </c>
      <c r="D60" s="225">
        <f>D44*$B$43/$P$43</f>
        <v>0</v>
      </c>
      <c r="E60" s="225">
        <f t="shared" ref="E60:I60" si="8">E44*$B$43/$P$43</f>
        <v>0.44999999999999996</v>
      </c>
      <c r="F60" s="225">
        <f t="shared" si="8"/>
        <v>0</v>
      </c>
      <c r="G60" s="225">
        <f t="shared" si="8"/>
        <v>0</v>
      </c>
      <c r="H60" s="225">
        <f t="shared" si="8"/>
        <v>0</v>
      </c>
      <c r="I60" s="225">
        <f t="shared" si="8"/>
        <v>0</v>
      </c>
      <c r="J60" s="225"/>
      <c r="K60" s="225"/>
      <c r="L60" s="225"/>
      <c r="M60" s="225"/>
      <c r="N60" s="225"/>
      <c r="O60" s="225"/>
      <c r="P60" s="226">
        <f t="shared" si="4"/>
        <v>0.44999999999999996</v>
      </c>
      <c r="Q60" s="227">
        <f>+P60</f>
        <v>0.44999999999999996</v>
      </c>
      <c r="R60" s="223">
        <f t="shared" si="5"/>
        <v>0</v>
      </c>
      <c r="S60" s="216"/>
      <c r="T60" s="216"/>
      <c r="U60" s="216"/>
      <c r="V60" s="216"/>
      <c r="W60" s="216"/>
      <c r="X60" s="216"/>
      <c r="Y60" s="216"/>
      <c r="Z60" s="216"/>
      <c r="AA60" s="216"/>
      <c r="AB60" s="216"/>
      <c r="AC60" s="216"/>
      <c r="AD60" s="216"/>
    </row>
    <row r="61" spans="1:30" ht="18" customHeight="1" x14ac:dyDescent="0.3">
      <c r="A61" s="264" t="str">
        <f t="shared" ref="A61:B61" si="9">A45</f>
        <v xml:space="preserve">21. Promover y acompañar a las mujeres en toda su diversidad en las estrategias de educación flexible y en los procesos de vinculación a la formación complementaria (cursos cortos) a través de alianzas interinstitucionales públicas y privadas. </v>
      </c>
      <c r="B61" s="266">
        <f t="shared" si="9"/>
        <v>3</v>
      </c>
      <c r="C61" s="219" t="s">
        <v>65</v>
      </c>
      <c r="D61" s="220">
        <f>D45*$B$45/$P$45</f>
        <v>0.03</v>
      </c>
      <c r="E61" s="220">
        <f t="shared" ref="E61:I62" si="10">E45*$B$45/$P$45</f>
        <v>0.66</v>
      </c>
      <c r="F61" s="220">
        <f t="shared" si="10"/>
        <v>0.75</v>
      </c>
      <c r="G61" s="220">
        <f t="shared" si="10"/>
        <v>0.75</v>
      </c>
      <c r="H61" s="220">
        <f t="shared" si="10"/>
        <v>0.81</v>
      </c>
      <c r="I61" s="220">
        <f t="shared" si="10"/>
        <v>0</v>
      </c>
      <c r="J61" s="220"/>
      <c r="K61" s="220"/>
      <c r="L61" s="220"/>
      <c r="M61" s="220"/>
      <c r="N61" s="220"/>
      <c r="O61" s="220"/>
      <c r="P61" s="221">
        <f t="shared" si="4"/>
        <v>3</v>
      </c>
      <c r="Q61" s="222">
        <v>2.5000000000000001E-2</v>
      </c>
      <c r="R61" s="223">
        <f t="shared" si="5"/>
        <v>2.9750000000000001</v>
      </c>
      <c r="S61" s="216"/>
      <c r="T61" s="216"/>
      <c r="U61" s="216"/>
      <c r="V61" s="216"/>
      <c r="W61" s="216"/>
      <c r="X61" s="216"/>
      <c r="Y61" s="216"/>
      <c r="Z61" s="216"/>
      <c r="AA61" s="216"/>
      <c r="AB61" s="216"/>
      <c r="AC61" s="216"/>
      <c r="AD61" s="216"/>
    </row>
    <row r="62" spans="1:30" ht="18" customHeight="1" x14ac:dyDescent="0.3">
      <c r="A62" s="265"/>
      <c r="B62" s="267"/>
      <c r="C62" s="224" t="s">
        <v>66</v>
      </c>
      <c r="D62" s="243">
        <f>D46*$B$45/$P$45</f>
        <v>0.03</v>
      </c>
      <c r="E62" s="243">
        <f t="shared" si="10"/>
        <v>0.66</v>
      </c>
      <c r="F62" s="243">
        <f t="shared" si="10"/>
        <v>0</v>
      </c>
      <c r="G62" s="243">
        <f t="shared" si="10"/>
        <v>0</v>
      </c>
      <c r="H62" s="243">
        <f t="shared" si="10"/>
        <v>0</v>
      </c>
      <c r="I62" s="243">
        <f t="shared" si="10"/>
        <v>0</v>
      </c>
      <c r="J62" s="225"/>
      <c r="K62" s="225"/>
      <c r="L62" s="225"/>
      <c r="M62" s="225"/>
      <c r="N62" s="225"/>
      <c r="O62" s="225"/>
      <c r="P62" s="226">
        <f t="shared" si="4"/>
        <v>0.69000000000000006</v>
      </c>
      <c r="Q62" s="227">
        <f>+P62</f>
        <v>0.69000000000000006</v>
      </c>
      <c r="R62" s="223">
        <f t="shared" si="5"/>
        <v>0</v>
      </c>
      <c r="S62" s="216"/>
      <c r="T62" s="216"/>
      <c r="U62" s="216"/>
      <c r="V62" s="216"/>
      <c r="W62" s="216"/>
      <c r="X62" s="216"/>
      <c r="Y62" s="216"/>
      <c r="Z62" s="216"/>
      <c r="AA62" s="216"/>
      <c r="AB62" s="216"/>
      <c r="AC62" s="216"/>
      <c r="AD62" s="216"/>
    </row>
    <row r="63" spans="1:30" x14ac:dyDescent="0.3">
      <c r="A63" s="260"/>
      <c r="B63" s="262"/>
      <c r="C63" s="231"/>
      <c r="D63" s="220"/>
      <c r="E63" s="220"/>
      <c r="F63" s="220"/>
      <c r="G63" s="220"/>
      <c r="H63" s="220"/>
      <c r="I63" s="220"/>
      <c r="J63" s="220"/>
      <c r="K63" s="220"/>
      <c r="L63" s="220"/>
      <c r="M63" s="220"/>
      <c r="N63" s="220"/>
      <c r="O63" s="220"/>
      <c r="P63" s="232"/>
      <c r="Q63" s="222">
        <v>0.02</v>
      </c>
      <c r="R63" s="223">
        <f t="shared" si="5"/>
        <v>-0.02</v>
      </c>
      <c r="S63" s="216"/>
      <c r="T63" s="216"/>
      <c r="U63" s="216"/>
      <c r="V63" s="216"/>
      <c r="W63" s="216"/>
      <c r="X63" s="216"/>
      <c r="Y63" s="216"/>
      <c r="Z63" s="216"/>
      <c r="AA63" s="216"/>
      <c r="AB63" s="216"/>
      <c r="AC63" s="216"/>
      <c r="AD63" s="216"/>
    </row>
    <row r="64" spans="1:30" x14ac:dyDescent="0.3">
      <c r="A64" s="261"/>
      <c r="B64" s="263"/>
      <c r="C64" s="231"/>
      <c r="D64" s="233"/>
      <c r="E64" s="233"/>
      <c r="F64" s="233"/>
      <c r="G64" s="233"/>
      <c r="H64" s="233"/>
      <c r="I64" s="233"/>
      <c r="J64" s="233"/>
      <c r="K64" s="233"/>
      <c r="L64" s="233"/>
      <c r="M64" s="233"/>
      <c r="N64" s="233"/>
      <c r="O64" s="233"/>
      <c r="P64" s="232"/>
      <c r="Q64" s="227">
        <f>+P64</f>
        <v>0</v>
      </c>
      <c r="R64" s="223">
        <f t="shared" si="5"/>
        <v>0</v>
      </c>
      <c r="S64" s="216"/>
      <c r="T64" s="216"/>
      <c r="U64" s="216"/>
      <c r="V64" s="216"/>
      <c r="W64" s="216"/>
      <c r="X64" s="216"/>
      <c r="Y64" s="216"/>
      <c r="Z64" s="216"/>
      <c r="AA64" s="216"/>
      <c r="AB64" s="216"/>
      <c r="AC64" s="216"/>
      <c r="AD64" s="216"/>
    </row>
    <row r="65" spans="1:30" x14ac:dyDescent="0.3">
      <c r="A65" s="260"/>
      <c r="B65" s="262"/>
      <c r="C65" s="231"/>
      <c r="D65" s="220"/>
      <c r="E65" s="220"/>
      <c r="F65" s="220"/>
      <c r="G65" s="220"/>
      <c r="H65" s="220"/>
      <c r="I65" s="220"/>
      <c r="J65" s="220"/>
      <c r="K65" s="220"/>
      <c r="L65" s="220"/>
      <c r="M65" s="220"/>
      <c r="N65" s="220"/>
      <c r="O65" s="220"/>
      <c r="P65" s="232"/>
      <c r="Q65" s="222">
        <v>0.02</v>
      </c>
      <c r="R65" s="223">
        <f t="shared" si="5"/>
        <v>-0.02</v>
      </c>
      <c r="S65" s="216"/>
      <c r="T65" s="216"/>
      <c r="U65" s="216"/>
      <c r="V65" s="216"/>
      <c r="W65" s="216"/>
      <c r="X65" s="216"/>
      <c r="Y65" s="216"/>
      <c r="Z65" s="216"/>
      <c r="AA65" s="216"/>
      <c r="AB65" s="216"/>
      <c r="AC65" s="216"/>
      <c r="AD65" s="216"/>
    </row>
    <row r="66" spans="1:30" x14ac:dyDescent="0.3">
      <c r="A66" s="261"/>
      <c r="B66" s="263"/>
      <c r="C66" s="231"/>
      <c r="D66" s="233"/>
      <c r="E66" s="233"/>
      <c r="F66" s="233"/>
      <c r="G66" s="233"/>
      <c r="H66" s="233"/>
      <c r="I66" s="233"/>
      <c r="J66" s="233"/>
      <c r="K66" s="233"/>
      <c r="L66" s="233"/>
      <c r="M66" s="233"/>
      <c r="N66" s="233"/>
      <c r="O66" s="233"/>
      <c r="P66" s="232"/>
      <c r="Q66" s="227">
        <f>+P66</f>
        <v>0</v>
      </c>
      <c r="R66" s="223">
        <f t="shared" si="5"/>
        <v>0</v>
      </c>
      <c r="S66" s="216"/>
      <c r="T66" s="216"/>
      <c r="U66" s="216"/>
      <c r="V66" s="216"/>
      <c r="W66" s="216"/>
      <c r="X66" s="216"/>
      <c r="Y66" s="216"/>
      <c r="Z66" s="216"/>
      <c r="AA66" s="216"/>
      <c r="AB66" s="216"/>
      <c r="AC66" s="216"/>
      <c r="AD66" s="216"/>
    </row>
    <row r="67" spans="1:30" x14ac:dyDescent="0.3">
      <c r="A67" s="260"/>
      <c r="B67" s="262"/>
      <c r="C67" s="231"/>
      <c r="D67" s="220"/>
      <c r="E67" s="220"/>
      <c r="F67" s="220"/>
      <c r="G67" s="220"/>
      <c r="H67" s="220"/>
      <c r="I67" s="220"/>
      <c r="J67" s="220"/>
      <c r="K67" s="220"/>
      <c r="L67" s="220"/>
      <c r="M67" s="220"/>
      <c r="N67" s="220"/>
      <c r="O67" s="220"/>
      <c r="P67" s="232"/>
      <c r="Q67" s="222"/>
      <c r="R67" s="223"/>
      <c r="S67" s="216"/>
      <c r="T67" s="216"/>
      <c r="U67" s="216"/>
      <c r="V67" s="216"/>
      <c r="W67" s="216"/>
      <c r="X67" s="216"/>
      <c r="Y67" s="216"/>
      <c r="Z67" s="216"/>
      <c r="AA67" s="216"/>
      <c r="AB67" s="216"/>
      <c r="AC67" s="216"/>
      <c r="AD67" s="216"/>
    </row>
    <row r="68" spans="1:30" x14ac:dyDescent="0.3">
      <c r="A68" s="261"/>
      <c r="B68" s="263"/>
      <c r="C68" s="231"/>
      <c r="D68" s="233"/>
      <c r="E68" s="233"/>
      <c r="F68" s="233"/>
      <c r="G68" s="233"/>
      <c r="H68" s="233"/>
      <c r="I68" s="233"/>
      <c r="J68" s="233"/>
      <c r="K68" s="233"/>
      <c r="L68" s="233"/>
      <c r="M68" s="233"/>
      <c r="N68" s="233"/>
      <c r="O68" s="233"/>
      <c r="P68" s="232"/>
      <c r="Q68" s="227"/>
      <c r="R68" s="223"/>
      <c r="S68" s="216"/>
      <c r="T68" s="216"/>
      <c r="U68" s="216"/>
      <c r="V68" s="216"/>
      <c r="W68" s="216"/>
      <c r="X68" s="216"/>
      <c r="Y68" s="216"/>
      <c r="Z68" s="216"/>
      <c r="AA68" s="216"/>
      <c r="AB68" s="216"/>
      <c r="AC68" s="216"/>
      <c r="AD68" s="216"/>
    </row>
    <row r="69" spans="1:30" x14ac:dyDescent="0.3">
      <c r="A69" s="215"/>
      <c r="B69" s="234"/>
      <c r="C69" s="235"/>
      <c r="D69" s="236">
        <f>D58+D60+D62</f>
        <v>0.06</v>
      </c>
      <c r="E69" s="236">
        <f t="shared" ref="E69:P69" si="11">E58+E60+E62</f>
        <v>1.38</v>
      </c>
      <c r="F69" s="236">
        <f t="shared" si="11"/>
        <v>0</v>
      </c>
      <c r="G69" s="236">
        <f t="shared" si="11"/>
        <v>0</v>
      </c>
      <c r="H69" s="236">
        <f t="shared" si="11"/>
        <v>0</v>
      </c>
      <c r="I69" s="236">
        <f t="shared" si="11"/>
        <v>0</v>
      </c>
      <c r="J69" s="236">
        <f t="shared" si="11"/>
        <v>0</v>
      </c>
      <c r="K69" s="236">
        <f t="shared" si="11"/>
        <v>0</v>
      </c>
      <c r="L69" s="236">
        <f t="shared" si="11"/>
        <v>0</v>
      </c>
      <c r="M69" s="236">
        <f t="shared" si="11"/>
        <v>0</v>
      </c>
      <c r="N69" s="236">
        <f t="shared" si="11"/>
        <v>0</v>
      </c>
      <c r="O69" s="236">
        <f t="shared" si="11"/>
        <v>0</v>
      </c>
      <c r="P69" s="236">
        <f t="shared" si="11"/>
        <v>1.44</v>
      </c>
      <c r="Q69" s="215"/>
      <c r="R69" s="223">
        <f t="shared" si="5"/>
        <v>1.44</v>
      </c>
      <c r="S69" s="216"/>
      <c r="T69" s="216"/>
      <c r="U69" s="216"/>
      <c r="V69" s="216"/>
      <c r="W69" s="216"/>
      <c r="X69" s="216"/>
      <c r="Y69" s="216"/>
      <c r="Z69" s="216"/>
      <c r="AA69" s="216"/>
      <c r="AB69" s="216"/>
      <c r="AC69" s="216"/>
      <c r="AD69" s="216"/>
    </row>
    <row r="70" spans="1:30" x14ac:dyDescent="0.3">
      <c r="A70" s="215"/>
      <c r="B70" s="237"/>
      <c r="C70" s="238" t="s">
        <v>66</v>
      </c>
      <c r="D70" s="239">
        <f t="shared" ref="D70:O70" si="12">D69*0.1/$B$35</f>
        <v>6.6666666666666664E-4</v>
      </c>
      <c r="E70" s="239">
        <f t="shared" si="12"/>
        <v>1.5333333333333331E-2</v>
      </c>
      <c r="F70" s="239">
        <f t="shared" si="12"/>
        <v>0</v>
      </c>
      <c r="G70" s="239">
        <f t="shared" si="12"/>
        <v>0</v>
      </c>
      <c r="H70" s="239">
        <f t="shared" si="12"/>
        <v>0</v>
      </c>
      <c r="I70" s="239">
        <f t="shared" si="12"/>
        <v>0</v>
      </c>
      <c r="J70" s="239">
        <f t="shared" si="12"/>
        <v>0</v>
      </c>
      <c r="K70" s="239">
        <f t="shared" si="12"/>
        <v>0</v>
      </c>
      <c r="L70" s="239">
        <f t="shared" si="12"/>
        <v>0</v>
      </c>
      <c r="M70" s="239">
        <f t="shared" si="12"/>
        <v>0</v>
      </c>
      <c r="N70" s="239">
        <f t="shared" si="12"/>
        <v>0</v>
      </c>
      <c r="O70" s="239">
        <f t="shared" si="12"/>
        <v>0</v>
      </c>
      <c r="P70" s="240">
        <f>SUM(D70:O70)</f>
        <v>1.5999999999999997E-2</v>
      </c>
      <c r="Q70" s="241"/>
      <c r="R70" s="215"/>
      <c r="S70" s="216"/>
      <c r="T70" s="216"/>
      <c r="U70" s="216"/>
      <c r="V70" s="216"/>
      <c r="W70" s="216"/>
      <c r="X70" s="216"/>
      <c r="Y70" s="216"/>
      <c r="Z70" s="216"/>
      <c r="AA70" s="216"/>
      <c r="AB70" s="216"/>
      <c r="AC70" s="216"/>
      <c r="AD70" s="216"/>
    </row>
    <row r="71" spans="1:30" x14ac:dyDescent="0.3">
      <c r="A71" s="241"/>
      <c r="B71" s="242"/>
      <c r="C71" s="242"/>
      <c r="D71" s="242"/>
      <c r="E71" s="242"/>
      <c r="F71" s="242"/>
      <c r="G71" s="242"/>
      <c r="H71" s="242"/>
      <c r="I71" s="242"/>
      <c r="J71" s="242"/>
      <c r="K71" s="242"/>
      <c r="L71" s="242"/>
      <c r="M71" s="242"/>
      <c r="N71" s="242"/>
      <c r="O71" s="242"/>
      <c r="P71" s="242"/>
      <c r="Q71" s="241"/>
      <c r="R71" s="241"/>
      <c r="S71" s="216"/>
      <c r="T71" s="216"/>
      <c r="U71" s="216"/>
      <c r="V71" s="216"/>
      <c r="W71" s="216"/>
      <c r="X71" s="216"/>
      <c r="Y71" s="216"/>
      <c r="Z71" s="216"/>
      <c r="AA71" s="216"/>
      <c r="AB71" s="216"/>
      <c r="AC71" s="216"/>
      <c r="AD71" s="216"/>
    </row>
    <row r="72" spans="1:30" x14ac:dyDescent="0.3">
      <c r="A72" s="222"/>
      <c r="B72" s="33"/>
      <c r="C72" s="33"/>
      <c r="D72" s="236">
        <f>+D57+D59+D61</f>
        <v>0.06</v>
      </c>
      <c r="E72" s="236">
        <f t="shared" ref="E72:P72" si="13">+E57+E59+E61</f>
        <v>1.38</v>
      </c>
      <c r="F72" s="236">
        <f t="shared" si="13"/>
        <v>2.4</v>
      </c>
      <c r="G72" s="236">
        <f t="shared" si="13"/>
        <v>2.6999999999999997</v>
      </c>
      <c r="H72" s="236">
        <f t="shared" si="13"/>
        <v>2.46</v>
      </c>
      <c r="I72" s="236">
        <f t="shared" si="13"/>
        <v>0</v>
      </c>
      <c r="J72" s="236">
        <f t="shared" si="13"/>
        <v>0</v>
      </c>
      <c r="K72" s="236">
        <f t="shared" si="13"/>
        <v>0</v>
      </c>
      <c r="L72" s="236">
        <f t="shared" si="13"/>
        <v>0</v>
      </c>
      <c r="M72" s="236">
        <f t="shared" si="13"/>
        <v>0</v>
      </c>
      <c r="N72" s="236">
        <f t="shared" si="13"/>
        <v>0</v>
      </c>
      <c r="O72" s="236">
        <f t="shared" si="13"/>
        <v>0</v>
      </c>
      <c r="P72" s="236">
        <f t="shared" si="13"/>
        <v>9</v>
      </c>
      <c r="Q72" s="222"/>
      <c r="R72" s="222"/>
      <c r="S72" s="216"/>
      <c r="T72" s="216"/>
      <c r="U72" s="216"/>
      <c r="V72" s="216"/>
      <c r="W72" s="216"/>
      <c r="X72" s="216"/>
      <c r="Y72" s="216"/>
      <c r="Z72" s="216"/>
      <c r="AA72" s="216"/>
      <c r="AB72" s="216"/>
      <c r="AC72" s="216"/>
      <c r="AD72" s="216"/>
    </row>
    <row r="73" spans="1:30" x14ac:dyDescent="0.3">
      <c r="A73" s="222"/>
      <c r="B73" s="33"/>
      <c r="C73" s="238" t="s">
        <v>65</v>
      </c>
      <c r="D73" s="239">
        <f t="shared" ref="D73:O73" si="14">D72*0.1/$B$35</f>
        <v>6.6666666666666664E-4</v>
      </c>
      <c r="E73" s="239">
        <f t="shared" si="14"/>
        <v>1.5333333333333331E-2</v>
      </c>
      <c r="F73" s="239">
        <f t="shared" si="14"/>
        <v>2.6666666666666665E-2</v>
      </c>
      <c r="G73" s="239">
        <f t="shared" si="14"/>
        <v>2.9999999999999995E-2</v>
      </c>
      <c r="H73" s="239">
        <f t="shared" si="14"/>
        <v>2.7333333333333334E-2</v>
      </c>
      <c r="I73" s="239">
        <f t="shared" si="14"/>
        <v>0</v>
      </c>
      <c r="J73" s="239">
        <f t="shared" si="14"/>
        <v>0</v>
      </c>
      <c r="K73" s="239">
        <f t="shared" si="14"/>
        <v>0</v>
      </c>
      <c r="L73" s="239">
        <f t="shared" si="14"/>
        <v>0</v>
      </c>
      <c r="M73" s="239">
        <f t="shared" si="14"/>
        <v>0</v>
      </c>
      <c r="N73" s="239">
        <f t="shared" si="14"/>
        <v>0</v>
      </c>
      <c r="O73" s="239">
        <f t="shared" si="14"/>
        <v>0</v>
      </c>
      <c r="P73" s="240">
        <f>SUM(D73:O73)</f>
        <v>9.9999999999999992E-2</v>
      </c>
      <c r="Q73" s="222"/>
      <c r="R73" s="222"/>
      <c r="S73" s="216"/>
      <c r="T73" s="216"/>
      <c r="U73" s="216"/>
      <c r="V73" s="216"/>
      <c r="W73" s="216"/>
      <c r="X73" s="216"/>
      <c r="Y73" s="216"/>
      <c r="Z73" s="216"/>
      <c r="AA73" s="216"/>
      <c r="AB73" s="216"/>
      <c r="AC73" s="216"/>
      <c r="AD73" s="216"/>
    </row>
    <row r="74" spans="1:30" x14ac:dyDescent="0.3">
      <c r="A74" s="254"/>
    </row>
    <row r="75" spans="1:30" x14ac:dyDescent="0.3">
      <c r="A75" s="254"/>
    </row>
    <row r="76" spans="1:30" x14ac:dyDescent="0.3">
      <c r="A76" s="254"/>
    </row>
    <row r="77" spans="1:30" x14ac:dyDescent="0.3">
      <c r="A77" s="254"/>
    </row>
    <row r="78" spans="1:30" x14ac:dyDescent="0.3">
      <c r="A78" s="254"/>
    </row>
    <row r="79" spans="1:30" x14ac:dyDescent="0.3">
      <c r="A79" s="254"/>
    </row>
    <row r="80" spans="1:30" x14ac:dyDescent="0.3">
      <c r="A80" s="254"/>
    </row>
    <row r="81" spans="1:1" x14ac:dyDescent="0.3">
      <c r="A81" s="254"/>
    </row>
    <row r="82" spans="1:1" x14ac:dyDescent="0.3">
      <c r="A82" s="254"/>
    </row>
    <row r="83" spans="1:1" x14ac:dyDescent="0.3">
      <c r="A83" s="254"/>
    </row>
    <row r="84" spans="1:1" x14ac:dyDescent="0.3">
      <c r="A84" s="254"/>
    </row>
    <row r="85" spans="1:1" x14ac:dyDescent="0.3">
      <c r="A85" s="254"/>
    </row>
    <row r="86" spans="1:1" x14ac:dyDescent="0.3">
      <c r="A86" s="254"/>
    </row>
    <row r="87" spans="1:1" x14ac:dyDescent="0.3">
      <c r="A87" s="254"/>
    </row>
    <row r="88" spans="1:1" x14ac:dyDescent="0.3">
      <c r="A88" s="254"/>
    </row>
    <row r="89" spans="1:1" x14ac:dyDescent="0.3">
      <c r="A89" s="254"/>
    </row>
    <row r="90" spans="1:1" x14ac:dyDescent="0.3">
      <c r="A90" s="254"/>
    </row>
    <row r="91" spans="1:1" x14ac:dyDescent="0.3">
      <c r="A91" s="254"/>
    </row>
    <row r="92" spans="1:1" x14ac:dyDescent="0.3">
      <c r="A92" s="254"/>
    </row>
    <row r="93" spans="1:1" x14ac:dyDescent="0.3">
      <c r="A93" s="254"/>
    </row>
    <row r="94" spans="1:1" x14ac:dyDescent="0.3">
      <c r="A94" s="254"/>
    </row>
  </sheetData>
  <mergeCells count="94">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Q45:X46"/>
    <mergeCell ref="Y45:AE46"/>
    <mergeCell ref="A41:A42"/>
    <mergeCell ref="B41:B42"/>
    <mergeCell ref="Q41:X42"/>
    <mergeCell ref="Y41:AE42"/>
    <mergeCell ref="A43:A44"/>
    <mergeCell ref="B43:B44"/>
    <mergeCell ref="Q43:X44"/>
    <mergeCell ref="Y43:AE44"/>
    <mergeCell ref="C55:P55"/>
    <mergeCell ref="A57:A58"/>
    <mergeCell ref="B57:B58"/>
    <mergeCell ref="A45:A46"/>
    <mergeCell ref="B45:B46"/>
    <mergeCell ref="A59:A60"/>
    <mergeCell ref="B59:B60"/>
    <mergeCell ref="A61:A62"/>
    <mergeCell ref="B61:B62"/>
    <mergeCell ref="A55:A56"/>
    <mergeCell ref="B55:B56"/>
    <mergeCell ref="A63:A64"/>
    <mergeCell ref="B63:B64"/>
    <mergeCell ref="A65:A66"/>
    <mergeCell ref="B65:B66"/>
    <mergeCell ref="A67:A68"/>
    <mergeCell ref="B67:B68"/>
  </mergeCells>
  <dataValidations count="3">
    <dataValidation type="textLength" operator="lessThanOrEqual" allowBlank="1" showInputMessage="1" showErrorMessage="1" errorTitle="Máximo 2.000 caracteres" error="Máximo 2.000 caracteres" sqref="U35 AC35 Q35 Y35 Q45 Q41 Q43"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3" r:id="rId1" xr:uid="{DED832CB-FB1E-4E84-BDA2-6DCF36B4B251}"/>
    <hyperlink ref="Y45" r:id="rId2" xr:uid="{44ED6B60-F8C4-466E-87AF-432FDD9084C1}"/>
    <hyperlink ref="Y41" r:id="rId3" xr:uid="{BFD39E41-0C4B-443B-9C76-04196C5E7D3A}"/>
  </hyperlinks>
  <printOptions horizontalCentered="1"/>
  <pageMargins left="0.23622047244094491" right="0.23622047244094491" top="0.74803149606299213" bottom="0.74803149606299213" header="0.31496062992125984" footer="0.31496062992125984"/>
  <pageSetup scale="20"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94"/>
  <sheetViews>
    <sheetView showGridLines="0" view="pageBreakPreview" topLeftCell="A4" zoomScale="60" zoomScaleNormal="60" workbookViewId="0">
      <selection activeCell="Y41" sqref="Y41:AE42"/>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379"/>
      <c r="B1" s="382"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4"/>
      <c r="AB1" s="391" t="s">
        <v>1</v>
      </c>
      <c r="AC1" s="392"/>
      <c r="AD1" s="392"/>
      <c r="AE1" s="393"/>
    </row>
    <row r="2" spans="1:31" ht="30.75" customHeight="1" thickBot="1" x14ac:dyDescent="0.35">
      <c r="A2" s="380"/>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391" t="s">
        <v>3</v>
      </c>
      <c r="AC2" s="392"/>
      <c r="AD2" s="392"/>
      <c r="AE2" s="393"/>
    </row>
    <row r="3" spans="1:31" ht="24" customHeight="1" thickBot="1" x14ac:dyDescent="0.35">
      <c r="A3" s="380"/>
      <c r="B3" s="385" t="s">
        <v>4</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91" t="s">
        <v>5</v>
      </c>
      <c r="AC3" s="392"/>
      <c r="AD3" s="392"/>
      <c r="AE3" s="393"/>
    </row>
    <row r="4" spans="1:31" ht="21.75" customHeight="1" thickBot="1" x14ac:dyDescent="0.35">
      <c r="A4" s="381"/>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483" t="s">
        <v>6</v>
      </c>
      <c r="AC4" s="484"/>
      <c r="AD4" s="484"/>
      <c r="AE4" s="485"/>
    </row>
    <row r="5" spans="1:31" ht="9" customHeight="1" thickBot="1" x14ac:dyDescent="0.35">
      <c r="A5" s="3"/>
      <c r="B5" s="101"/>
      <c r="C5" s="102"/>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336" t="s">
        <v>7</v>
      </c>
      <c r="B7" s="337"/>
      <c r="C7" s="472" t="s">
        <v>29</v>
      </c>
      <c r="D7" s="336" t="s">
        <v>8</v>
      </c>
      <c r="E7" s="342"/>
      <c r="F7" s="342"/>
      <c r="G7" s="342"/>
      <c r="H7" s="337"/>
      <c r="I7" s="475">
        <v>45357</v>
      </c>
      <c r="J7" s="476"/>
      <c r="K7" s="336" t="s">
        <v>9</v>
      </c>
      <c r="L7" s="337"/>
      <c r="M7" s="481" t="s">
        <v>10</v>
      </c>
      <c r="N7" s="482"/>
      <c r="O7" s="462"/>
      <c r="P7" s="463"/>
      <c r="Q7" s="4"/>
      <c r="R7" s="4"/>
      <c r="S7" s="4"/>
      <c r="T7" s="4"/>
      <c r="U7" s="4"/>
      <c r="V7" s="4"/>
      <c r="W7" s="4"/>
      <c r="X7" s="4"/>
      <c r="Y7" s="4"/>
      <c r="Z7" s="5"/>
      <c r="AA7" s="4"/>
      <c r="AB7" s="4"/>
      <c r="AD7" s="7"/>
      <c r="AE7" s="8"/>
    </row>
    <row r="8" spans="1:31" x14ac:dyDescent="0.3">
      <c r="A8" s="338"/>
      <c r="B8" s="339"/>
      <c r="C8" s="473"/>
      <c r="D8" s="338"/>
      <c r="E8" s="343"/>
      <c r="F8" s="343"/>
      <c r="G8" s="343"/>
      <c r="H8" s="339"/>
      <c r="I8" s="477"/>
      <c r="J8" s="478"/>
      <c r="K8" s="338"/>
      <c r="L8" s="339"/>
      <c r="M8" s="464" t="s">
        <v>11</v>
      </c>
      <c r="N8" s="465"/>
      <c r="O8" s="466"/>
      <c r="P8" s="467"/>
      <c r="Q8" s="4"/>
      <c r="R8" s="4"/>
      <c r="S8" s="4"/>
      <c r="T8" s="4"/>
      <c r="U8" s="4"/>
      <c r="V8" s="4"/>
      <c r="W8" s="4"/>
      <c r="X8" s="4"/>
      <c r="Y8" s="4"/>
      <c r="Z8" s="5"/>
      <c r="AA8" s="4"/>
      <c r="AB8" s="4"/>
      <c r="AD8" s="7"/>
      <c r="AE8" s="8"/>
    </row>
    <row r="9" spans="1:31" ht="15" thickBot="1" x14ac:dyDescent="0.35">
      <c r="A9" s="340"/>
      <c r="B9" s="341"/>
      <c r="C9" s="474"/>
      <c r="D9" s="340"/>
      <c r="E9" s="344"/>
      <c r="F9" s="344"/>
      <c r="G9" s="344"/>
      <c r="H9" s="341"/>
      <c r="I9" s="479"/>
      <c r="J9" s="480"/>
      <c r="K9" s="340"/>
      <c r="L9" s="341"/>
      <c r="M9" s="468" t="s">
        <v>13</v>
      </c>
      <c r="N9" s="469"/>
      <c r="O9" s="470" t="s">
        <v>12</v>
      </c>
      <c r="P9" s="471"/>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336" t="s">
        <v>14</v>
      </c>
      <c r="B11" s="337"/>
      <c r="C11" s="308" t="s">
        <v>15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ht="15" customHeight="1" x14ac:dyDescent="0.3">
      <c r="A12" s="338"/>
      <c r="B12" s="339"/>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15" customHeight="1" thickBot="1" x14ac:dyDescent="0.35">
      <c r="A13" s="340"/>
      <c r="B13" s="341"/>
      <c r="C13" s="352"/>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45" customHeight="1" thickBot="1" x14ac:dyDescent="0.35">
      <c r="A15" s="345" t="s">
        <v>16</v>
      </c>
      <c r="B15" s="346"/>
      <c r="C15" s="355" t="s">
        <v>17</v>
      </c>
      <c r="D15" s="356"/>
      <c r="E15" s="356"/>
      <c r="F15" s="356"/>
      <c r="G15" s="356"/>
      <c r="H15" s="356"/>
      <c r="I15" s="356"/>
      <c r="J15" s="356"/>
      <c r="K15" s="357"/>
      <c r="L15" s="372" t="s">
        <v>18</v>
      </c>
      <c r="M15" s="399"/>
      <c r="N15" s="399"/>
      <c r="O15" s="399"/>
      <c r="P15" s="399"/>
      <c r="Q15" s="373"/>
      <c r="R15" s="400" t="s">
        <v>19</v>
      </c>
      <c r="S15" s="401"/>
      <c r="T15" s="401"/>
      <c r="U15" s="401"/>
      <c r="V15" s="401"/>
      <c r="W15" s="401"/>
      <c r="X15" s="402"/>
      <c r="Y15" s="372" t="s">
        <v>20</v>
      </c>
      <c r="Z15" s="373"/>
      <c r="AA15" s="355" t="s">
        <v>21</v>
      </c>
      <c r="AB15" s="356"/>
      <c r="AC15" s="356"/>
      <c r="AD15" s="356"/>
      <c r="AE15" s="357"/>
    </row>
    <row r="16" spans="1:31" ht="11.25" customHeight="1" thickBot="1" x14ac:dyDescent="0.35">
      <c r="A16" s="6"/>
      <c r="B16" s="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D16" s="7"/>
      <c r="AE16" s="8"/>
    </row>
    <row r="17" spans="1:32" s="16" customFormat="1" ht="37.5" customHeight="1" thickBot="1" x14ac:dyDescent="0.35">
      <c r="A17" s="345" t="s">
        <v>22</v>
      </c>
      <c r="B17" s="346"/>
      <c r="C17" s="355" t="s">
        <v>112</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7"/>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99"/>
      <c r="W18" s="18"/>
      <c r="X18" s="18"/>
      <c r="Y18" s="18"/>
      <c r="Z18" s="18"/>
      <c r="AA18" s="18"/>
      <c r="AB18" s="18"/>
      <c r="AD18" s="18"/>
      <c r="AE18" s="19"/>
    </row>
    <row r="19" spans="1:32" ht="32.1" customHeight="1" thickBot="1" x14ac:dyDescent="0.35">
      <c r="A19" s="372" t="s">
        <v>24</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73"/>
      <c r="AF19" s="20"/>
    </row>
    <row r="20" spans="1:32" ht="32.1" customHeight="1" thickBot="1" x14ac:dyDescent="0.35">
      <c r="A20" s="104" t="s">
        <v>25</v>
      </c>
      <c r="B20" s="396" t="s">
        <v>26</v>
      </c>
      <c r="C20" s="397"/>
      <c r="D20" s="397"/>
      <c r="E20" s="397"/>
      <c r="F20" s="397"/>
      <c r="G20" s="397"/>
      <c r="H20" s="397"/>
      <c r="I20" s="397"/>
      <c r="J20" s="397"/>
      <c r="K20" s="397"/>
      <c r="L20" s="397"/>
      <c r="M20" s="397"/>
      <c r="N20" s="397"/>
      <c r="O20" s="398"/>
      <c r="P20" s="372" t="s">
        <v>27</v>
      </c>
      <c r="Q20" s="399"/>
      <c r="R20" s="399"/>
      <c r="S20" s="399"/>
      <c r="T20" s="399"/>
      <c r="U20" s="399"/>
      <c r="V20" s="399"/>
      <c r="W20" s="399"/>
      <c r="X20" s="399"/>
      <c r="Y20" s="399"/>
      <c r="Z20" s="399"/>
      <c r="AA20" s="399"/>
      <c r="AB20" s="399"/>
      <c r="AC20" s="399"/>
      <c r="AD20" s="399"/>
      <c r="AE20" s="373"/>
      <c r="AF20" s="20"/>
    </row>
    <row r="21" spans="1:32" ht="32.1" customHeight="1" thickBot="1" x14ac:dyDescent="0.35">
      <c r="A21" s="82">
        <v>9057180</v>
      </c>
      <c r="B21" s="114" t="s">
        <v>28</v>
      </c>
      <c r="C21" s="115" t="s">
        <v>29</v>
      </c>
      <c r="D21" s="115" t="s">
        <v>30</v>
      </c>
      <c r="E21" s="115" t="s">
        <v>31</v>
      </c>
      <c r="F21" s="115" t="s">
        <v>32</v>
      </c>
      <c r="G21" s="115" t="s">
        <v>33</v>
      </c>
      <c r="H21" s="115" t="s">
        <v>34</v>
      </c>
      <c r="I21" s="115" t="s">
        <v>35</v>
      </c>
      <c r="J21" s="115" t="s">
        <v>36</v>
      </c>
      <c r="K21" s="115" t="s">
        <v>37</v>
      </c>
      <c r="L21" s="115" t="s">
        <v>38</v>
      </c>
      <c r="M21" s="115" t="s">
        <v>39</v>
      </c>
      <c r="N21" s="115" t="s">
        <v>40</v>
      </c>
      <c r="O21" s="116" t="s">
        <v>41</v>
      </c>
      <c r="P21" s="143"/>
      <c r="Q21" s="104" t="s">
        <v>28</v>
      </c>
      <c r="R21" s="105" t="s">
        <v>29</v>
      </c>
      <c r="S21" s="105" t="s">
        <v>30</v>
      </c>
      <c r="T21" s="105" t="s">
        <v>31</v>
      </c>
      <c r="U21" s="105" t="s">
        <v>32</v>
      </c>
      <c r="V21" s="105" t="s">
        <v>33</v>
      </c>
      <c r="W21" s="105" t="s">
        <v>34</v>
      </c>
      <c r="X21" s="105" t="s">
        <v>35</v>
      </c>
      <c r="Y21" s="105" t="s">
        <v>36</v>
      </c>
      <c r="Z21" s="105" t="s">
        <v>37</v>
      </c>
      <c r="AA21" s="105" t="s">
        <v>38</v>
      </c>
      <c r="AB21" s="105" t="s">
        <v>39</v>
      </c>
      <c r="AC21" s="105" t="s">
        <v>40</v>
      </c>
      <c r="AD21" s="142" t="s">
        <v>42</v>
      </c>
      <c r="AE21" s="142" t="s">
        <v>43</v>
      </c>
      <c r="AF21" s="1"/>
    </row>
    <row r="22" spans="1:32" ht="32.1" customHeight="1" x14ac:dyDescent="0.3">
      <c r="A22" s="139" t="s">
        <v>44</v>
      </c>
      <c r="B22" s="84"/>
      <c r="C22" s="82">
        <v>9057180</v>
      </c>
      <c r="D22" s="82"/>
      <c r="E22" s="82"/>
      <c r="F22" s="82"/>
      <c r="G22" s="82"/>
      <c r="H22" s="82"/>
      <c r="I22" s="82"/>
      <c r="J22" s="82"/>
      <c r="K22" s="82"/>
      <c r="L22" s="82"/>
      <c r="M22" s="82"/>
      <c r="N22" s="82">
        <f>SUM(B22:M22)</f>
        <v>9057180</v>
      </c>
      <c r="O22" s="85"/>
      <c r="P22" s="139" t="s">
        <v>45</v>
      </c>
      <c r="Q22" s="106"/>
      <c r="R22" s="107">
        <v>142858000</v>
      </c>
      <c r="S22" s="107"/>
      <c r="T22" s="107"/>
      <c r="U22" s="107"/>
      <c r="V22" s="107"/>
      <c r="W22" s="107"/>
      <c r="X22" s="107">
        <f>47206756+30693244</f>
        <v>77900000</v>
      </c>
      <c r="Y22" s="107"/>
      <c r="Z22" s="107"/>
      <c r="AA22" s="107"/>
      <c r="AB22" s="107"/>
      <c r="AC22" s="107">
        <f>SUM(R22:AB22)</f>
        <v>220758000</v>
      </c>
      <c r="AE22" s="108"/>
      <c r="AF22" s="1"/>
    </row>
    <row r="23" spans="1:32" ht="32.1" customHeight="1" x14ac:dyDescent="0.3">
      <c r="A23" s="140" t="s">
        <v>46</v>
      </c>
      <c r="B23" s="81"/>
      <c r="C23" s="80"/>
      <c r="D23" s="80"/>
      <c r="E23" s="80"/>
      <c r="F23" s="80"/>
      <c r="G23" s="80"/>
      <c r="H23" s="80"/>
      <c r="I23" s="80"/>
      <c r="J23" s="80"/>
      <c r="K23" s="80"/>
      <c r="L23" s="80"/>
      <c r="M23" s="80"/>
      <c r="N23" s="80">
        <f>SUM(B23:M23)</f>
        <v>0</v>
      </c>
      <c r="O23" s="94" t="str">
        <f>IFERROR(N23/(SUMIF(B23:M23,"&gt;0",B22:M22))," ")</f>
        <v xml:space="preserve"> </v>
      </c>
      <c r="P23" s="140" t="s">
        <v>47</v>
      </c>
      <c r="Q23" s="81">
        <v>0</v>
      </c>
      <c r="R23" s="80">
        <f>46254780</f>
        <v>46254780</v>
      </c>
      <c r="S23" s="80"/>
      <c r="T23" s="80"/>
      <c r="U23" s="80"/>
      <c r="V23" s="80"/>
      <c r="W23" s="80"/>
      <c r="X23" s="80"/>
      <c r="Y23" s="80"/>
      <c r="Z23" s="80"/>
      <c r="AA23" s="80"/>
      <c r="AB23" s="80"/>
      <c r="AC23" s="80">
        <f>SUM(R23:AB23)</f>
        <v>46254780</v>
      </c>
      <c r="AD23" s="80"/>
      <c r="AE23" s="86">
        <f>AC23/AC22</f>
        <v>0.20952708395618733</v>
      </c>
      <c r="AF23" s="1"/>
    </row>
    <row r="24" spans="1:32" ht="32.1" customHeight="1" x14ac:dyDescent="0.3">
      <c r="A24" s="140" t="s">
        <v>48</v>
      </c>
      <c r="B24" s="81"/>
      <c r="C24" s="80"/>
      <c r="D24" s="80"/>
      <c r="E24" s="80"/>
      <c r="F24" s="80"/>
      <c r="G24" s="80"/>
      <c r="H24" s="80"/>
      <c r="I24" s="80"/>
      <c r="J24" s="80"/>
      <c r="K24" s="80"/>
      <c r="L24" s="80"/>
      <c r="M24" s="80"/>
      <c r="N24" s="80">
        <f>SUM(B24:M24)</f>
        <v>0</v>
      </c>
      <c r="O24" s="83"/>
      <c r="P24" s="140" t="s">
        <v>44</v>
      </c>
      <c r="Q24" s="81"/>
      <c r="R24" s="80">
        <v>900416</v>
      </c>
      <c r="S24" s="80">
        <v>16467416.332652375</v>
      </c>
      <c r="T24" s="80">
        <v>18282248.997957125</v>
      </c>
      <c r="U24" s="80">
        <v>18282248.997957125</v>
      </c>
      <c r="V24" s="80">
        <v>18732457.164283313</v>
      </c>
      <c r="W24" s="80">
        <v>33293457.164283313</v>
      </c>
      <c r="X24" s="80">
        <v>18687260.8295881</v>
      </c>
      <c r="Y24" s="80">
        <v>19182665.3306095</v>
      </c>
      <c r="Z24" s="80">
        <v>19182665.3306095</v>
      </c>
      <c r="AA24" s="80">
        <v>19182665.3306095</v>
      </c>
      <c r="AB24" s="80">
        <f>38564499-30693244+30693244</f>
        <v>38564499</v>
      </c>
      <c r="AC24" s="80">
        <f>SUM(R24:AB24)</f>
        <v>220758000.47854984</v>
      </c>
      <c r="AD24" s="80"/>
      <c r="AE24" s="109"/>
      <c r="AF24" s="1"/>
    </row>
    <row r="25" spans="1:32" ht="32.1" customHeight="1" thickBot="1" x14ac:dyDescent="0.35">
      <c r="A25" s="141" t="s">
        <v>49</v>
      </c>
      <c r="B25" s="117">
        <v>0</v>
      </c>
      <c r="C25" s="118">
        <f>5922180</f>
        <v>5922180</v>
      </c>
      <c r="D25" s="118"/>
      <c r="E25" s="118"/>
      <c r="F25" s="118"/>
      <c r="G25" s="118"/>
      <c r="H25" s="118"/>
      <c r="I25" s="118"/>
      <c r="J25" s="118"/>
      <c r="K25" s="118"/>
      <c r="L25" s="118"/>
      <c r="M25" s="118"/>
      <c r="N25" s="118">
        <f>SUM(B25:M25)</f>
        <v>5922180</v>
      </c>
      <c r="O25" s="119" t="str">
        <f>IFERROR(N25/(SUMIF(B25:M25,"&gt;0",B24:M24))," ")</f>
        <v xml:space="preserve"> </v>
      </c>
      <c r="P25" s="141" t="s">
        <v>49</v>
      </c>
      <c r="Q25" s="117">
        <v>0</v>
      </c>
      <c r="R25" s="118">
        <v>0</v>
      </c>
      <c r="S25" s="118"/>
      <c r="T25" s="118"/>
      <c r="U25" s="118"/>
      <c r="V25" s="118"/>
      <c r="W25" s="118"/>
      <c r="X25" s="118"/>
      <c r="Y25" s="118"/>
      <c r="Z25" s="118"/>
      <c r="AA25" s="118"/>
      <c r="AB25" s="118"/>
      <c r="AC25" s="118">
        <f>SUM(R25:AB25)</f>
        <v>0</v>
      </c>
      <c r="AD25" s="118"/>
      <c r="AE25" s="120">
        <f>AC25/AC24</f>
        <v>0</v>
      </c>
      <c r="AF25" s="1"/>
    </row>
    <row r="26" spans="1:32" customFormat="1" ht="16.5" customHeight="1" thickBot="1" x14ac:dyDescent="0.35"/>
    <row r="27" spans="1:32" ht="33.9" customHeight="1" x14ac:dyDescent="0.3">
      <c r="A27" s="329" t="s">
        <v>50</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1"/>
    </row>
    <row r="28" spans="1:32" ht="15" customHeight="1" x14ac:dyDescent="0.3">
      <c r="A28" s="305" t="s">
        <v>51</v>
      </c>
      <c r="B28" s="307" t="s">
        <v>52</v>
      </c>
      <c r="C28" s="307"/>
      <c r="D28" s="307" t="s">
        <v>53</v>
      </c>
      <c r="E28" s="307"/>
      <c r="F28" s="307"/>
      <c r="G28" s="307"/>
      <c r="H28" s="307"/>
      <c r="I28" s="307"/>
      <c r="J28" s="307"/>
      <c r="K28" s="307"/>
      <c r="L28" s="307"/>
      <c r="M28" s="307"/>
      <c r="N28" s="307"/>
      <c r="O28" s="307"/>
      <c r="P28" s="307" t="s">
        <v>40</v>
      </c>
      <c r="Q28" s="307" t="s">
        <v>54</v>
      </c>
      <c r="R28" s="307"/>
      <c r="S28" s="307"/>
      <c r="T28" s="307"/>
      <c r="U28" s="307"/>
      <c r="V28" s="307"/>
      <c r="W28" s="307"/>
      <c r="X28" s="307"/>
      <c r="Y28" s="307" t="s">
        <v>55</v>
      </c>
      <c r="Z28" s="307"/>
      <c r="AA28" s="307"/>
      <c r="AB28" s="307"/>
      <c r="AC28" s="307"/>
      <c r="AD28" s="307"/>
      <c r="AE28" s="332"/>
    </row>
    <row r="29" spans="1:32" ht="27" customHeight="1" x14ac:dyDescent="0.3">
      <c r="A29" s="305"/>
      <c r="B29" s="307"/>
      <c r="C29" s="307"/>
      <c r="D29" s="100" t="s">
        <v>28</v>
      </c>
      <c r="E29" s="100" t="s">
        <v>29</v>
      </c>
      <c r="F29" s="100" t="s">
        <v>30</v>
      </c>
      <c r="G29" s="100" t="s">
        <v>31</v>
      </c>
      <c r="H29" s="100" t="s">
        <v>32</v>
      </c>
      <c r="I29" s="100" t="s">
        <v>33</v>
      </c>
      <c r="J29" s="100" t="s">
        <v>34</v>
      </c>
      <c r="K29" s="100" t="s">
        <v>35</v>
      </c>
      <c r="L29" s="100" t="s">
        <v>36</v>
      </c>
      <c r="M29" s="100" t="s">
        <v>37</v>
      </c>
      <c r="N29" s="100" t="s">
        <v>38</v>
      </c>
      <c r="O29" s="100" t="s">
        <v>39</v>
      </c>
      <c r="P29" s="307"/>
      <c r="Q29" s="307"/>
      <c r="R29" s="307"/>
      <c r="S29" s="307"/>
      <c r="T29" s="307"/>
      <c r="U29" s="307"/>
      <c r="V29" s="307"/>
      <c r="W29" s="307"/>
      <c r="X29" s="307"/>
      <c r="Y29" s="307"/>
      <c r="Z29" s="307"/>
      <c r="AA29" s="307"/>
      <c r="AB29" s="307"/>
      <c r="AC29" s="307"/>
      <c r="AD29" s="307"/>
      <c r="AE29" s="332"/>
    </row>
    <row r="30" spans="1:32" ht="61.95" customHeight="1" thickBot="1" x14ac:dyDescent="0.35">
      <c r="A30" s="110" t="s">
        <v>113</v>
      </c>
      <c r="B30" s="403"/>
      <c r="C30" s="403"/>
      <c r="D30" s="103"/>
      <c r="E30" s="103"/>
      <c r="F30" s="103"/>
      <c r="G30" s="103"/>
      <c r="H30" s="103"/>
      <c r="I30" s="103"/>
      <c r="J30" s="103"/>
      <c r="K30" s="103"/>
      <c r="L30" s="103"/>
      <c r="M30" s="103"/>
      <c r="N30" s="103"/>
      <c r="O30" s="103"/>
      <c r="P30" s="111">
        <f>SUM(D30:O30)</f>
        <v>0</v>
      </c>
      <c r="Q30" s="394" t="s">
        <v>486</v>
      </c>
      <c r="R30" s="394"/>
      <c r="S30" s="394"/>
      <c r="T30" s="394"/>
      <c r="U30" s="394"/>
      <c r="V30" s="394"/>
      <c r="W30" s="394"/>
      <c r="X30" s="394"/>
      <c r="Y30" s="394" t="s">
        <v>114</v>
      </c>
      <c r="Z30" s="394"/>
      <c r="AA30" s="394"/>
      <c r="AB30" s="394"/>
      <c r="AC30" s="394"/>
      <c r="AD30" s="394"/>
      <c r="AE30" s="395"/>
    </row>
    <row r="31" spans="1:32" ht="12" customHeight="1" thickBot="1" x14ac:dyDescent="0.35">
      <c r="A31" s="121"/>
      <c r="B31" s="122"/>
      <c r="C31" s="122"/>
      <c r="D31" s="9"/>
      <c r="E31" s="9"/>
      <c r="F31" s="9"/>
      <c r="G31" s="9"/>
      <c r="H31" s="9"/>
      <c r="I31" s="9"/>
      <c r="J31" s="9"/>
      <c r="K31" s="9"/>
      <c r="L31" s="9"/>
      <c r="M31" s="9"/>
      <c r="N31" s="9"/>
      <c r="O31" s="9"/>
      <c r="P31" s="123"/>
      <c r="Q31" s="124"/>
      <c r="R31" s="124"/>
      <c r="S31" s="124"/>
      <c r="T31" s="124"/>
      <c r="U31" s="124"/>
      <c r="V31" s="124"/>
      <c r="W31" s="124"/>
      <c r="X31" s="124"/>
      <c r="Y31" s="124"/>
      <c r="Z31" s="124"/>
      <c r="AA31" s="124"/>
      <c r="AB31" s="124"/>
      <c r="AC31" s="124"/>
      <c r="AD31" s="124"/>
      <c r="AE31" s="125"/>
    </row>
    <row r="32" spans="1:32" ht="45" customHeight="1" x14ac:dyDescent="0.3">
      <c r="A32" s="308" t="s">
        <v>56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10"/>
    </row>
    <row r="33" spans="1:41" ht="23.1" customHeight="1" x14ac:dyDescent="0.3">
      <c r="A33" s="305" t="s">
        <v>57</v>
      </c>
      <c r="B33" s="307" t="s">
        <v>58</v>
      </c>
      <c r="C33" s="307" t="s">
        <v>52</v>
      </c>
      <c r="D33" s="307" t="s">
        <v>59</v>
      </c>
      <c r="E33" s="307"/>
      <c r="F33" s="307"/>
      <c r="G33" s="307"/>
      <c r="H33" s="307"/>
      <c r="I33" s="307"/>
      <c r="J33" s="307"/>
      <c r="K33" s="307"/>
      <c r="L33" s="307"/>
      <c r="M33" s="307"/>
      <c r="N33" s="307"/>
      <c r="O33" s="307"/>
      <c r="P33" s="307"/>
      <c r="Q33" s="307" t="s">
        <v>60</v>
      </c>
      <c r="R33" s="307"/>
      <c r="S33" s="307"/>
      <c r="T33" s="307"/>
      <c r="U33" s="307"/>
      <c r="V33" s="307"/>
      <c r="W33" s="307"/>
      <c r="X33" s="307"/>
      <c r="Y33" s="307"/>
      <c r="Z33" s="307"/>
      <c r="AA33" s="307"/>
      <c r="AB33" s="307"/>
      <c r="AC33" s="307"/>
      <c r="AD33" s="307"/>
      <c r="AE33" s="332"/>
      <c r="AG33" s="21"/>
      <c r="AH33" s="21"/>
      <c r="AI33" s="21"/>
      <c r="AJ33" s="21"/>
      <c r="AK33" s="21"/>
      <c r="AL33" s="21"/>
      <c r="AM33" s="21"/>
      <c r="AN33" s="21"/>
      <c r="AO33" s="21"/>
    </row>
    <row r="34" spans="1:41" ht="27" customHeight="1" x14ac:dyDescent="0.3">
      <c r="A34" s="305"/>
      <c r="B34" s="307"/>
      <c r="C34" s="333"/>
      <c r="D34" s="100" t="s">
        <v>28</v>
      </c>
      <c r="E34" s="100" t="s">
        <v>29</v>
      </c>
      <c r="F34" s="100" t="s">
        <v>30</v>
      </c>
      <c r="G34" s="100" t="s">
        <v>31</v>
      </c>
      <c r="H34" s="100" t="s">
        <v>32</v>
      </c>
      <c r="I34" s="100" t="s">
        <v>33</v>
      </c>
      <c r="J34" s="100" t="s">
        <v>34</v>
      </c>
      <c r="K34" s="100" t="s">
        <v>35</v>
      </c>
      <c r="L34" s="100" t="s">
        <v>36</v>
      </c>
      <c r="M34" s="100" t="s">
        <v>37</v>
      </c>
      <c r="N34" s="100" t="s">
        <v>38</v>
      </c>
      <c r="O34" s="100" t="s">
        <v>39</v>
      </c>
      <c r="P34" s="100" t="s">
        <v>40</v>
      </c>
      <c r="Q34" s="287" t="s">
        <v>61</v>
      </c>
      <c r="R34" s="288"/>
      <c r="S34" s="288"/>
      <c r="T34" s="311"/>
      <c r="U34" s="307" t="s">
        <v>62</v>
      </c>
      <c r="V34" s="307"/>
      <c r="W34" s="307"/>
      <c r="X34" s="307"/>
      <c r="Y34" s="307" t="s">
        <v>63</v>
      </c>
      <c r="Z34" s="307"/>
      <c r="AA34" s="307"/>
      <c r="AB34" s="307"/>
      <c r="AC34" s="307" t="s">
        <v>64</v>
      </c>
      <c r="AD34" s="307"/>
      <c r="AE34" s="332"/>
      <c r="AG34" s="21"/>
      <c r="AH34" s="21"/>
      <c r="AI34" s="21"/>
      <c r="AJ34" s="21"/>
      <c r="AK34" s="21"/>
      <c r="AL34" s="21"/>
      <c r="AM34" s="21"/>
      <c r="AN34" s="21"/>
      <c r="AO34" s="21"/>
    </row>
    <row r="35" spans="1:41" ht="45" customHeight="1" x14ac:dyDescent="0.3">
      <c r="A35" s="300" t="s">
        <v>113</v>
      </c>
      <c r="B35" s="486">
        <v>0.06</v>
      </c>
      <c r="C35" s="23" t="s">
        <v>65</v>
      </c>
      <c r="D35" s="248">
        <f>D69</f>
        <v>8.9999999999999993E-3</v>
      </c>
      <c r="E35" s="248">
        <f t="shared" ref="E35:O35" si="0">E69</f>
        <v>1.2E-2</v>
      </c>
      <c r="F35" s="248">
        <f t="shared" si="0"/>
        <v>1.4999999999999999E-2</v>
      </c>
      <c r="G35" s="248">
        <f t="shared" si="0"/>
        <v>1.2E-2</v>
      </c>
      <c r="H35" s="248">
        <f t="shared" si="0"/>
        <v>1.2E-2</v>
      </c>
      <c r="I35" s="248">
        <f t="shared" si="0"/>
        <v>0</v>
      </c>
      <c r="J35" s="248">
        <f t="shared" si="0"/>
        <v>0</v>
      </c>
      <c r="K35" s="248">
        <f t="shared" si="0"/>
        <v>0</v>
      </c>
      <c r="L35" s="248">
        <f t="shared" si="0"/>
        <v>0</v>
      </c>
      <c r="M35" s="248">
        <f t="shared" si="0"/>
        <v>0</v>
      </c>
      <c r="N35" s="248">
        <f t="shared" si="0"/>
        <v>0</v>
      </c>
      <c r="O35" s="248">
        <f t="shared" si="0"/>
        <v>0</v>
      </c>
      <c r="P35" s="245">
        <f>SUM(D35:O35)</f>
        <v>0.06</v>
      </c>
      <c r="Q35" s="487" t="s">
        <v>532</v>
      </c>
      <c r="R35" s="488"/>
      <c r="S35" s="488"/>
      <c r="T35" s="489"/>
      <c r="U35" s="499" t="s">
        <v>533</v>
      </c>
      <c r="V35" s="499"/>
      <c r="W35" s="499"/>
      <c r="X35" s="499"/>
      <c r="Y35" s="499" t="s">
        <v>462</v>
      </c>
      <c r="Z35" s="499"/>
      <c r="AA35" s="499"/>
      <c r="AB35" s="499"/>
      <c r="AC35" s="499" t="s">
        <v>463</v>
      </c>
      <c r="AD35" s="499"/>
      <c r="AE35" s="507"/>
      <c r="AG35" s="21"/>
      <c r="AH35" s="21"/>
      <c r="AI35" s="21"/>
      <c r="AJ35" s="21"/>
      <c r="AK35" s="21"/>
      <c r="AL35" s="21"/>
      <c r="AM35" s="21"/>
      <c r="AN35" s="21"/>
      <c r="AO35" s="21"/>
    </row>
    <row r="36" spans="1:41" ht="45" customHeight="1" thickBot="1" x14ac:dyDescent="0.35">
      <c r="A36" s="301"/>
      <c r="B36" s="461"/>
      <c r="C36" s="24" t="s">
        <v>66</v>
      </c>
      <c r="D36" s="247">
        <f>D66</f>
        <v>8.9999999999999993E-3</v>
      </c>
      <c r="E36" s="247">
        <f t="shared" ref="E36:O36" si="1">E66</f>
        <v>1.2E-2</v>
      </c>
      <c r="F36" s="247">
        <f t="shared" si="1"/>
        <v>0</v>
      </c>
      <c r="G36" s="247">
        <f t="shared" si="1"/>
        <v>0</v>
      </c>
      <c r="H36" s="247">
        <f t="shared" si="1"/>
        <v>0</v>
      </c>
      <c r="I36" s="247">
        <f t="shared" si="1"/>
        <v>0</v>
      </c>
      <c r="J36" s="247">
        <f t="shared" si="1"/>
        <v>0</v>
      </c>
      <c r="K36" s="247">
        <f t="shared" si="1"/>
        <v>0</v>
      </c>
      <c r="L36" s="247">
        <f t="shared" si="1"/>
        <v>0</v>
      </c>
      <c r="M36" s="247">
        <f t="shared" si="1"/>
        <v>0</v>
      </c>
      <c r="N36" s="247">
        <f t="shared" si="1"/>
        <v>0</v>
      </c>
      <c r="O36" s="247">
        <f t="shared" si="1"/>
        <v>0</v>
      </c>
      <c r="P36" s="246">
        <f>SUM(D36:O36)</f>
        <v>2.0999999999999998E-2</v>
      </c>
      <c r="Q36" s="490"/>
      <c r="R36" s="491"/>
      <c r="S36" s="491"/>
      <c r="T36" s="492"/>
      <c r="U36" s="500"/>
      <c r="V36" s="500"/>
      <c r="W36" s="500"/>
      <c r="X36" s="500"/>
      <c r="Y36" s="500"/>
      <c r="Z36" s="500"/>
      <c r="AA36" s="500"/>
      <c r="AB36" s="500"/>
      <c r="AC36" s="500"/>
      <c r="AD36" s="500"/>
      <c r="AE36" s="508"/>
      <c r="AG36" s="21"/>
      <c r="AH36" s="21"/>
      <c r="AI36" s="21"/>
      <c r="AJ36" s="21"/>
      <c r="AK36" s="21"/>
      <c r="AL36" s="21"/>
      <c r="AM36" s="21"/>
      <c r="AN36" s="21"/>
      <c r="AO36" s="21"/>
    </row>
    <row r="37" spans="1:41" customFormat="1" ht="17.25" customHeight="1" thickBot="1" x14ac:dyDescent="0.35"/>
    <row r="38" spans="1:41" ht="45" customHeight="1" thickBot="1" x14ac:dyDescent="0.35">
      <c r="A38" s="308" t="s">
        <v>67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G38" s="21"/>
      <c r="AH38" s="21"/>
      <c r="AI38" s="21"/>
      <c r="AJ38" s="21"/>
      <c r="AK38" s="21"/>
      <c r="AL38" s="21"/>
      <c r="AM38" s="21"/>
      <c r="AN38" s="21"/>
      <c r="AO38" s="21"/>
    </row>
    <row r="39" spans="1:41" ht="26.1" customHeight="1" x14ac:dyDescent="0.3">
      <c r="A39" s="304" t="s">
        <v>68</v>
      </c>
      <c r="B39" s="306" t="s">
        <v>69</v>
      </c>
      <c r="C39" s="312" t="s">
        <v>70</v>
      </c>
      <c r="D39" s="314" t="s">
        <v>71</v>
      </c>
      <c r="E39" s="315"/>
      <c r="F39" s="315"/>
      <c r="G39" s="315"/>
      <c r="H39" s="315"/>
      <c r="I39" s="315"/>
      <c r="J39" s="315"/>
      <c r="K39" s="315"/>
      <c r="L39" s="315"/>
      <c r="M39" s="315"/>
      <c r="N39" s="315"/>
      <c r="O39" s="315"/>
      <c r="P39" s="316"/>
      <c r="Q39" s="306" t="s">
        <v>72</v>
      </c>
      <c r="R39" s="306"/>
      <c r="S39" s="306"/>
      <c r="T39" s="306"/>
      <c r="U39" s="306"/>
      <c r="V39" s="306"/>
      <c r="W39" s="306"/>
      <c r="X39" s="306"/>
      <c r="Y39" s="306"/>
      <c r="Z39" s="306"/>
      <c r="AA39" s="306"/>
      <c r="AB39" s="306"/>
      <c r="AC39" s="306"/>
      <c r="AD39" s="306"/>
      <c r="AE39" s="328"/>
      <c r="AG39" s="21"/>
      <c r="AH39" s="21"/>
      <c r="AI39" s="21"/>
      <c r="AJ39" s="21"/>
      <c r="AK39" s="21"/>
      <c r="AL39" s="21"/>
      <c r="AM39" s="21"/>
      <c r="AN39" s="21"/>
      <c r="AO39" s="21"/>
    </row>
    <row r="40" spans="1:41" ht="26.1" customHeight="1" x14ac:dyDescent="0.3">
      <c r="A40" s="305"/>
      <c r="B40" s="307"/>
      <c r="C40" s="313"/>
      <c r="D40" s="100" t="s">
        <v>73</v>
      </c>
      <c r="E40" s="100" t="s">
        <v>74</v>
      </c>
      <c r="F40" s="100" t="s">
        <v>75</v>
      </c>
      <c r="G40" s="100" t="s">
        <v>76</v>
      </c>
      <c r="H40" s="100" t="s">
        <v>77</v>
      </c>
      <c r="I40" s="100" t="s">
        <v>78</v>
      </c>
      <c r="J40" s="100" t="s">
        <v>79</v>
      </c>
      <c r="K40" s="100" t="s">
        <v>80</v>
      </c>
      <c r="L40" s="100" t="s">
        <v>81</v>
      </c>
      <c r="M40" s="100" t="s">
        <v>82</v>
      </c>
      <c r="N40" s="100" t="s">
        <v>83</v>
      </c>
      <c r="O40" s="100" t="s">
        <v>84</v>
      </c>
      <c r="P40" s="100" t="s">
        <v>85</v>
      </c>
      <c r="Q40" s="287" t="s">
        <v>86</v>
      </c>
      <c r="R40" s="288"/>
      <c r="S40" s="288"/>
      <c r="T40" s="288"/>
      <c r="U40" s="288"/>
      <c r="V40" s="288"/>
      <c r="W40" s="288"/>
      <c r="X40" s="311"/>
      <c r="Y40" s="287" t="s">
        <v>87</v>
      </c>
      <c r="Z40" s="288"/>
      <c r="AA40" s="288"/>
      <c r="AB40" s="288"/>
      <c r="AC40" s="288"/>
      <c r="AD40" s="288"/>
      <c r="AE40" s="289"/>
      <c r="AG40" s="26"/>
      <c r="AH40" s="26"/>
      <c r="AI40" s="26"/>
      <c r="AJ40" s="26"/>
      <c r="AK40" s="26"/>
      <c r="AL40" s="26"/>
      <c r="AM40" s="26"/>
      <c r="AN40" s="26"/>
      <c r="AO40" s="26"/>
    </row>
    <row r="41" spans="1:41" ht="70.2" customHeight="1" x14ac:dyDescent="0.3">
      <c r="A41" s="424" t="s">
        <v>115</v>
      </c>
      <c r="B41" s="457">
        <v>0.06</v>
      </c>
      <c r="C41" s="30" t="s">
        <v>65</v>
      </c>
      <c r="D41" s="31">
        <v>0.15</v>
      </c>
      <c r="E41" s="31">
        <v>0.2</v>
      </c>
      <c r="F41" s="31">
        <v>0.25</v>
      </c>
      <c r="G41" s="31">
        <v>0.2</v>
      </c>
      <c r="H41" s="31">
        <v>0.2</v>
      </c>
      <c r="I41" s="31">
        <v>0</v>
      </c>
      <c r="J41" s="31"/>
      <c r="K41" s="31"/>
      <c r="L41" s="31"/>
      <c r="M41" s="31"/>
      <c r="N41" s="31"/>
      <c r="O41" s="31"/>
      <c r="P41" s="112">
        <f t="shared" ref="P41:P42" si="2">SUM(D41:O41)</f>
        <v>1</v>
      </c>
      <c r="Q41" s="493" t="s">
        <v>530</v>
      </c>
      <c r="R41" s="494"/>
      <c r="S41" s="494"/>
      <c r="T41" s="494"/>
      <c r="U41" s="494"/>
      <c r="V41" s="494"/>
      <c r="W41" s="494"/>
      <c r="X41" s="495"/>
      <c r="Y41" s="501" t="s">
        <v>531</v>
      </c>
      <c r="Z41" s="502"/>
      <c r="AA41" s="502"/>
      <c r="AB41" s="502"/>
      <c r="AC41" s="502"/>
      <c r="AD41" s="502"/>
      <c r="AE41" s="503"/>
      <c r="AG41" s="27"/>
      <c r="AH41" s="27"/>
      <c r="AI41" s="27"/>
      <c r="AJ41" s="27"/>
      <c r="AK41" s="27"/>
      <c r="AL41" s="27"/>
      <c r="AM41" s="27"/>
      <c r="AN41" s="27"/>
      <c r="AO41" s="27"/>
    </row>
    <row r="42" spans="1:41" ht="70.2" customHeight="1" x14ac:dyDescent="0.3">
      <c r="A42" s="295"/>
      <c r="B42" s="457"/>
      <c r="C42" s="28" t="s">
        <v>66</v>
      </c>
      <c r="D42" s="29">
        <v>0.15</v>
      </c>
      <c r="E42" s="29">
        <v>0.2</v>
      </c>
      <c r="F42" s="29"/>
      <c r="G42" s="29"/>
      <c r="H42" s="29"/>
      <c r="I42" s="29"/>
      <c r="J42" s="29"/>
      <c r="K42" s="29"/>
      <c r="L42" s="29"/>
      <c r="M42" s="29"/>
      <c r="N42" s="29"/>
      <c r="O42" s="29"/>
      <c r="P42" s="112">
        <f t="shared" si="2"/>
        <v>0.35</v>
      </c>
      <c r="Q42" s="496"/>
      <c r="R42" s="497"/>
      <c r="S42" s="497"/>
      <c r="T42" s="497"/>
      <c r="U42" s="497"/>
      <c r="V42" s="497"/>
      <c r="W42" s="497"/>
      <c r="X42" s="498"/>
      <c r="Y42" s="504"/>
      <c r="Z42" s="505"/>
      <c r="AA42" s="505"/>
      <c r="AB42" s="505"/>
      <c r="AC42" s="505"/>
      <c r="AD42" s="505"/>
      <c r="AE42" s="506"/>
    </row>
    <row r="43" spans="1:41" ht="15" customHeight="1" x14ac:dyDescent="0.3">
      <c r="A43" s="254" t="s">
        <v>92</v>
      </c>
    </row>
    <row r="44" spans="1:41" x14ac:dyDescent="0.3">
      <c r="A44" s="254"/>
    </row>
    <row r="45" spans="1:41" x14ac:dyDescent="0.3">
      <c r="A45" s="254"/>
    </row>
    <row r="46" spans="1:41" x14ac:dyDescent="0.3">
      <c r="A46" s="254"/>
    </row>
    <row r="47" spans="1:41" x14ac:dyDescent="0.3">
      <c r="A47" s="254"/>
    </row>
    <row r="48" spans="1:41" x14ac:dyDescent="0.3">
      <c r="A48" s="254"/>
    </row>
    <row r="49" spans="1:30" x14ac:dyDescent="0.3">
      <c r="A49" s="254"/>
    </row>
    <row r="50" spans="1:30" x14ac:dyDescent="0.3">
      <c r="A50" s="254"/>
    </row>
    <row r="51" spans="1:30" x14ac:dyDescent="0.3">
      <c r="A51" s="254"/>
    </row>
    <row r="52" spans="1:30" x14ac:dyDescent="0.3">
      <c r="A52" s="254"/>
    </row>
    <row r="53" spans="1:30" x14ac:dyDescent="0.3">
      <c r="A53" s="254"/>
    </row>
    <row r="54" spans="1:30" ht="15" thickBot="1" x14ac:dyDescent="0.35">
      <c r="A54" s="254"/>
    </row>
    <row r="55" spans="1:30" x14ac:dyDescent="0.3">
      <c r="A55" s="268" t="s">
        <v>68</v>
      </c>
      <c r="B55" s="270" t="s">
        <v>69</v>
      </c>
      <c r="C55" s="272" t="s">
        <v>71</v>
      </c>
      <c r="D55" s="273"/>
      <c r="E55" s="273"/>
      <c r="F55" s="273"/>
      <c r="G55" s="273"/>
      <c r="H55" s="273"/>
      <c r="I55" s="273"/>
      <c r="J55" s="273"/>
      <c r="K55" s="273"/>
      <c r="L55" s="273"/>
      <c r="M55" s="273"/>
      <c r="N55" s="273"/>
      <c r="O55" s="273"/>
      <c r="P55" s="274"/>
      <c r="Q55" s="215"/>
      <c r="R55" s="215"/>
      <c r="S55" s="216"/>
      <c r="T55" s="216"/>
      <c r="U55" s="216"/>
      <c r="V55" s="216"/>
      <c r="W55" s="216"/>
      <c r="X55" s="216"/>
      <c r="Y55" s="216"/>
      <c r="Z55" s="216"/>
      <c r="AA55" s="216"/>
      <c r="AB55" s="216"/>
      <c r="AC55" s="216"/>
      <c r="AD55" s="216"/>
    </row>
    <row r="56" spans="1:30" x14ac:dyDescent="0.3">
      <c r="A56" s="269"/>
      <c r="B56" s="271"/>
      <c r="C56" s="217" t="s">
        <v>70</v>
      </c>
      <c r="D56" s="217" t="s">
        <v>73</v>
      </c>
      <c r="E56" s="217" t="s">
        <v>74</v>
      </c>
      <c r="F56" s="217" t="s">
        <v>75</v>
      </c>
      <c r="G56" s="217" t="s">
        <v>76</v>
      </c>
      <c r="H56" s="217" t="s">
        <v>77</v>
      </c>
      <c r="I56" s="217" t="s">
        <v>78</v>
      </c>
      <c r="J56" s="217" t="s">
        <v>79</v>
      </c>
      <c r="K56" s="217" t="s">
        <v>80</v>
      </c>
      <c r="L56" s="217" t="s">
        <v>81</v>
      </c>
      <c r="M56" s="217" t="s">
        <v>82</v>
      </c>
      <c r="N56" s="217" t="s">
        <v>83</v>
      </c>
      <c r="O56" s="217" t="s">
        <v>84</v>
      </c>
      <c r="P56" s="218" t="s">
        <v>85</v>
      </c>
      <c r="Q56" s="215"/>
      <c r="R56" s="215"/>
      <c r="S56" s="216"/>
      <c r="T56" s="216"/>
      <c r="U56" s="216"/>
      <c r="V56" s="216"/>
      <c r="W56" s="216"/>
      <c r="X56" s="216"/>
      <c r="Y56" s="216"/>
      <c r="Z56" s="216"/>
      <c r="AA56" s="216"/>
      <c r="AB56" s="216"/>
      <c r="AC56" s="216"/>
      <c r="AD56" s="216"/>
    </row>
    <row r="57" spans="1:30" ht="18" customHeight="1" x14ac:dyDescent="0.3">
      <c r="A57" s="264" t="str">
        <f>A41</f>
        <v>22. Realizar la implementación de la estrategia de fortalecimiento de capacidades para el ejercicio del derecho a la participación de las mujeres en el Distrito.</v>
      </c>
      <c r="B57" s="266">
        <f>B41</f>
        <v>0.06</v>
      </c>
      <c r="C57" s="219" t="s">
        <v>65</v>
      </c>
      <c r="D57" s="220">
        <f>D41*$B$41/$P$41</f>
        <v>8.9999999999999993E-3</v>
      </c>
      <c r="E57" s="220">
        <f t="shared" ref="E57:J58" si="3">E41*$B$41/$P$41</f>
        <v>1.2E-2</v>
      </c>
      <c r="F57" s="220">
        <f t="shared" si="3"/>
        <v>1.4999999999999999E-2</v>
      </c>
      <c r="G57" s="220">
        <f t="shared" si="3"/>
        <v>1.2E-2</v>
      </c>
      <c r="H57" s="220">
        <f t="shared" si="3"/>
        <v>1.2E-2</v>
      </c>
      <c r="I57" s="220">
        <f t="shared" si="3"/>
        <v>0</v>
      </c>
      <c r="J57" s="220">
        <f t="shared" si="3"/>
        <v>0</v>
      </c>
      <c r="K57" s="220"/>
      <c r="L57" s="220"/>
      <c r="M57" s="220"/>
      <c r="N57" s="220"/>
      <c r="O57" s="220"/>
      <c r="P57" s="221">
        <f t="shared" ref="P57:P58" si="4">SUM(D57:O57)</f>
        <v>0.06</v>
      </c>
      <c r="Q57" s="222">
        <v>0.05</v>
      </c>
      <c r="R57" s="223">
        <f t="shared" ref="R57:R65" si="5">+P57-Q57</f>
        <v>9.999999999999995E-3</v>
      </c>
      <c r="S57" s="216"/>
      <c r="T57" s="216"/>
      <c r="U57" s="216"/>
      <c r="V57" s="216"/>
      <c r="W57" s="216"/>
      <c r="X57" s="216"/>
      <c r="Y57" s="216"/>
      <c r="Z57" s="216"/>
      <c r="AA57" s="216"/>
      <c r="AB57" s="216"/>
      <c r="AC57" s="216"/>
      <c r="AD57" s="216"/>
    </row>
    <row r="58" spans="1:30" ht="18" customHeight="1" x14ac:dyDescent="0.3">
      <c r="A58" s="265"/>
      <c r="B58" s="267"/>
      <c r="C58" s="224" t="s">
        <v>66</v>
      </c>
      <c r="D58" s="225">
        <f>D42*$B$41/$P$41</f>
        <v>8.9999999999999993E-3</v>
      </c>
      <c r="E58" s="225">
        <f t="shared" si="3"/>
        <v>1.2E-2</v>
      </c>
      <c r="F58" s="225">
        <f t="shared" si="3"/>
        <v>0</v>
      </c>
      <c r="G58" s="225">
        <f t="shared" si="3"/>
        <v>0</v>
      </c>
      <c r="H58" s="225">
        <f t="shared" si="3"/>
        <v>0</v>
      </c>
      <c r="I58" s="225">
        <f t="shared" si="3"/>
        <v>0</v>
      </c>
      <c r="J58" s="225"/>
      <c r="K58" s="225"/>
      <c r="L58" s="225"/>
      <c r="M58" s="225"/>
      <c r="N58" s="225"/>
      <c r="O58" s="225"/>
      <c r="P58" s="226">
        <f t="shared" si="4"/>
        <v>2.0999999999999998E-2</v>
      </c>
      <c r="Q58" s="227">
        <f>+P58</f>
        <v>2.0999999999999998E-2</v>
      </c>
      <c r="R58" s="223">
        <f t="shared" si="5"/>
        <v>0</v>
      </c>
      <c r="S58" s="216"/>
      <c r="T58" s="216"/>
      <c r="U58" s="216"/>
      <c r="V58" s="216"/>
      <c r="W58" s="216"/>
      <c r="X58" s="216"/>
      <c r="Y58" s="216"/>
      <c r="Z58" s="216"/>
      <c r="AA58" s="216"/>
      <c r="AB58" s="216"/>
      <c r="AC58" s="216"/>
      <c r="AD58" s="216"/>
    </row>
    <row r="59" spans="1:30" x14ac:dyDescent="0.3">
      <c r="A59" s="260"/>
      <c r="B59" s="262"/>
      <c r="C59" s="231"/>
      <c r="D59" s="220"/>
      <c r="E59" s="220"/>
      <c r="F59" s="220"/>
      <c r="G59" s="220"/>
      <c r="H59" s="220"/>
      <c r="I59" s="220"/>
      <c r="J59" s="220"/>
      <c r="K59" s="220"/>
      <c r="L59" s="220"/>
      <c r="M59" s="220"/>
      <c r="N59" s="220"/>
      <c r="O59" s="220"/>
      <c r="P59" s="232"/>
      <c r="Q59" s="222">
        <v>0.02</v>
      </c>
      <c r="R59" s="223">
        <f t="shared" si="5"/>
        <v>-0.02</v>
      </c>
      <c r="S59" s="216"/>
      <c r="T59" s="216"/>
      <c r="U59" s="216"/>
      <c r="V59" s="216"/>
      <c r="W59" s="216"/>
      <c r="X59" s="216"/>
      <c r="Y59" s="216"/>
      <c r="Z59" s="216"/>
      <c r="AA59" s="216"/>
      <c r="AB59" s="216"/>
      <c r="AC59" s="216"/>
      <c r="AD59" s="216"/>
    </row>
    <row r="60" spans="1:30" x14ac:dyDescent="0.3">
      <c r="A60" s="261"/>
      <c r="B60" s="263"/>
      <c r="C60" s="231"/>
      <c r="D60" s="233"/>
      <c r="E60" s="233"/>
      <c r="F60" s="233"/>
      <c r="G60" s="233"/>
      <c r="H60" s="233"/>
      <c r="I60" s="233"/>
      <c r="J60" s="233"/>
      <c r="K60" s="233"/>
      <c r="L60" s="233"/>
      <c r="M60" s="233"/>
      <c r="N60" s="233"/>
      <c r="O60" s="233"/>
      <c r="P60" s="232"/>
      <c r="Q60" s="227">
        <f>+P60</f>
        <v>0</v>
      </c>
      <c r="R60" s="223">
        <f t="shared" si="5"/>
        <v>0</v>
      </c>
      <c r="S60" s="216"/>
      <c r="T60" s="216"/>
      <c r="U60" s="216"/>
      <c r="V60" s="216"/>
      <c r="W60" s="216"/>
      <c r="X60" s="216"/>
      <c r="Y60" s="216"/>
      <c r="Z60" s="216"/>
      <c r="AA60" s="216"/>
      <c r="AB60" s="216"/>
      <c r="AC60" s="216"/>
      <c r="AD60" s="216"/>
    </row>
    <row r="61" spans="1:30" x14ac:dyDescent="0.3">
      <c r="A61" s="260"/>
      <c r="B61" s="262"/>
      <c r="C61" s="231"/>
      <c r="D61" s="220"/>
      <c r="E61" s="220"/>
      <c r="F61" s="220"/>
      <c r="G61" s="220"/>
      <c r="H61" s="220"/>
      <c r="I61" s="220"/>
      <c r="J61" s="220"/>
      <c r="K61" s="220"/>
      <c r="L61" s="220"/>
      <c r="M61" s="220"/>
      <c r="N61" s="220"/>
      <c r="O61" s="220"/>
      <c r="P61" s="232"/>
      <c r="Q61" s="222">
        <v>0.02</v>
      </c>
      <c r="R61" s="223">
        <f t="shared" si="5"/>
        <v>-0.02</v>
      </c>
      <c r="S61" s="216"/>
      <c r="T61" s="216"/>
      <c r="U61" s="216"/>
      <c r="V61" s="216"/>
      <c r="W61" s="216"/>
      <c r="X61" s="216"/>
      <c r="Y61" s="216"/>
      <c r="Z61" s="216"/>
      <c r="AA61" s="216"/>
      <c r="AB61" s="216"/>
      <c r="AC61" s="216"/>
      <c r="AD61" s="216"/>
    </row>
    <row r="62" spans="1:30" x14ac:dyDescent="0.3">
      <c r="A62" s="261"/>
      <c r="B62" s="263"/>
      <c r="C62" s="231"/>
      <c r="D62" s="233"/>
      <c r="E62" s="233"/>
      <c r="F62" s="233"/>
      <c r="G62" s="233"/>
      <c r="H62" s="233"/>
      <c r="I62" s="233"/>
      <c r="J62" s="233"/>
      <c r="K62" s="233"/>
      <c r="L62" s="233"/>
      <c r="M62" s="233"/>
      <c r="N62" s="233"/>
      <c r="O62" s="233"/>
      <c r="P62" s="232"/>
      <c r="Q62" s="227">
        <f>+P62</f>
        <v>0</v>
      </c>
      <c r="R62" s="223">
        <f t="shared" si="5"/>
        <v>0</v>
      </c>
      <c r="S62" s="216"/>
      <c r="T62" s="216"/>
      <c r="U62" s="216"/>
      <c r="V62" s="216"/>
      <c r="W62" s="216"/>
      <c r="X62" s="216"/>
      <c r="Y62" s="216"/>
      <c r="Z62" s="216"/>
      <c r="AA62" s="216"/>
      <c r="AB62" s="216"/>
      <c r="AC62" s="216"/>
      <c r="AD62" s="216"/>
    </row>
    <row r="63" spans="1:30" x14ac:dyDescent="0.3">
      <c r="A63" s="260"/>
      <c r="B63" s="262"/>
      <c r="C63" s="231"/>
      <c r="D63" s="220"/>
      <c r="E63" s="220"/>
      <c r="F63" s="220"/>
      <c r="G63" s="220"/>
      <c r="H63" s="220"/>
      <c r="I63" s="220"/>
      <c r="J63" s="220"/>
      <c r="K63" s="220"/>
      <c r="L63" s="220"/>
      <c r="M63" s="220"/>
      <c r="N63" s="220"/>
      <c r="O63" s="220"/>
      <c r="P63" s="232"/>
      <c r="Q63" s="222"/>
      <c r="R63" s="223"/>
      <c r="S63" s="216"/>
      <c r="T63" s="216"/>
      <c r="U63" s="216"/>
      <c r="V63" s="216"/>
      <c r="W63" s="216"/>
      <c r="X63" s="216"/>
      <c r="Y63" s="216"/>
      <c r="Z63" s="216"/>
      <c r="AA63" s="216"/>
      <c r="AB63" s="216"/>
      <c r="AC63" s="216"/>
      <c r="AD63" s="216"/>
    </row>
    <row r="64" spans="1:30" x14ac:dyDescent="0.3">
      <c r="A64" s="261"/>
      <c r="B64" s="263"/>
      <c r="C64" s="231"/>
      <c r="D64" s="233"/>
      <c r="E64" s="233"/>
      <c r="F64" s="233"/>
      <c r="G64" s="233"/>
      <c r="H64" s="233"/>
      <c r="I64" s="233"/>
      <c r="J64" s="233"/>
      <c r="K64" s="233"/>
      <c r="L64" s="233"/>
      <c r="M64" s="233"/>
      <c r="N64" s="233"/>
      <c r="O64" s="233"/>
      <c r="P64" s="232"/>
      <c r="Q64" s="227"/>
      <c r="R64" s="223"/>
      <c r="S64" s="216"/>
      <c r="T64" s="216"/>
      <c r="U64" s="216"/>
      <c r="V64" s="216"/>
      <c r="W64" s="216"/>
      <c r="X64" s="216"/>
      <c r="Y64" s="216"/>
      <c r="Z64" s="216"/>
      <c r="AA64" s="216"/>
      <c r="AB64" s="216"/>
      <c r="AC64" s="216"/>
      <c r="AD64" s="216"/>
    </row>
    <row r="65" spans="1:30" x14ac:dyDescent="0.3">
      <c r="A65" s="215"/>
      <c r="B65" s="234"/>
      <c r="C65" s="235"/>
      <c r="D65" s="236">
        <f>D58</f>
        <v>8.9999999999999993E-3</v>
      </c>
      <c r="E65" s="236">
        <f t="shared" ref="E65:P65" si="6">E58</f>
        <v>1.2E-2</v>
      </c>
      <c r="F65" s="236">
        <f t="shared" si="6"/>
        <v>0</v>
      </c>
      <c r="G65" s="236">
        <f t="shared" si="6"/>
        <v>0</v>
      </c>
      <c r="H65" s="236">
        <f t="shared" si="6"/>
        <v>0</v>
      </c>
      <c r="I65" s="236">
        <f t="shared" si="6"/>
        <v>0</v>
      </c>
      <c r="J65" s="236">
        <f t="shared" si="6"/>
        <v>0</v>
      </c>
      <c r="K65" s="236">
        <f t="shared" si="6"/>
        <v>0</v>
      </c>
      <c r="L65" s="236">
        <f t="shared" si="6"/>
        <v>0</v>
      </c>
      <c r="M65" s="236">
        <f t="shared" si="6"/>
        <v>0</v>
      </c>
      <c r="N65" s="236">
        <f t="shared" si="6"/>
        <v>0</v>
      </c>
      <c r="O65" s="236">
        <f t="shared" si="6"/>
        <v>0</v>
      </c>
      <c r="P65" s="236">
        <f t="shared" si="6"/>
        <v>2.0999999999999998E-2</v>
      </c>
      <c r="Q65" s="215"/>
      <c r="R65" s="223">
        <f t="shared" si="5"/>
        <v>2.0999999999999998E-2</v>
      </c>
      <c r="S65" s="216"/>
      <c r="T65" s="216"/>
      <c r="U65" s="216"/>
      <c r="V65" s="216"/>
      <c r="W65" s="216"/>
      <c r="X65" s="216"/>
      <c r="Y65" s="216"/>
      <c r="Z65" s="216"/>
      <c r="AA65" s="216"/>
      <c r="AB65" s="216"/>
      <c r="AC65" s="216"/>
      <c r="AD65" s="216"/>
    </row>
    <row r="66" spans="1:30" x14ac:dyDescent="0.3">
      <c r="A66" s="215"/>
      <c r="B66" s="237"/>
      <c r="C66" s="238" t="s">
        <v>66</v>
      </c>
      <c r="D66" s="239">
        <f t="shared" ref="D66:O66" si="7">D65*0.06/$B$35</f>
        <v>8.9999999999999993E-3</v>
      </c>
      <c r="E66" s="239">
        <f t="shared" si="7"/>
        <v>1.2E-2</v>
      </c>
      <c r="F66" s="239">
        <f t="shared" si="7"/>
        <v>0</v>
      </c>
      <c r="G66" s="239">
        <f t="shared" si="7"/>
        <v>0</v>
      </c>
      <c r="H66" s="239">
        <f t="shared" si="7"/>
        <v>0</v>
      </c>
      <c r="I66" s="239">
        <f t="shared" si="7"/>
        <v>0</v>
      </c>
      <c r="J66" s="239">
        <f t="shared" si="7"/>
        <v>0</v>
      </c>
      <c r="K66" s="239">
        <f t="shared" si="7"/>
        <v>0</v>
      </c>
      <c r="L66" s="239">
        <f t="shared" si="7"/>
        <v>0</v>
      </c>
      <c r="M66" s="239">
        <f t="shared" si="7"/>
        <v>0</v>
      </c>
      <c r="N66" s="239">
        <f t="shared" si="7"/>
        <v>0</v>
      </c>
      <c r="O66" s="239">
        <f t="shared" si="7"/>
        <v>0</v>
      </c>
      <c r="P66" s="240">
        <f>SUM(D66:O66)</f>
        <v>2.0999999999999998E-2</v>
      </c>
      <c r="Q66" s="241"/>
      <c r="R66" s="215"/>
      <c r="S66" s="216"/>
      <c r="T66" s="216"/>
      <c r="U66" s="216"/>
      <c r="V66" s="216"/>
      <c r="W66" s="216"/>
      <c r="X66" s="216"/>
      <c r="Y66" s="216"/>
      <c r="Z66" s="216"/>
      <c r="AA66" s="216"/>
      <c r="AB66" s="216"/>
      <c r="AC66" s="216"/>
      <c r="AD66" s="216"/>
    </row>
    <row r="67" spans="1:30" x14ac:dyDescent="0.3">
      <c r="A67" s="241"/>
      <c r="B67" s="242"/>
      <c r="C67" s="242"/>
      <c r="D67" s="242"/>
      <c r="E67" s="242"/>
      <c r="F67" s="242"/>
      <c r="G67" s="242"/>
      <c r="H67" s="242"/>
      <c r="I67" s="242"/>
      <c r="J67" s="242"/>
      <c r="K67" s="242"/>
      <c r="L67" s="242"/>
      <c r="M67" s="242"/>
      <c r="N67" s="242"/>
      <c r="O67" s="242"/>
      <c r="P67" s="242"/>
      <c r="Q67" s="241"/>
      <c r="R67" s="241"/>
      <c r="S67" s="216"/>
      <c r="T67" s="216"/>
      <c r="U67" s="216"/>
      <c r="V67" s="216"/>
      <c r="W67" s="216"/>
      <c r="X67" s="216"/>
      <c r="Y67" s="216"/>
      <c r="Z67" s="216"/>
      <c r="AA67" s="216"/>
      <c r="AB67" s="216"/>
      <c r="AC67" s="216"/>
      <c r="AD67" s="216"/>
    </row>
    <row r="68" spans="1:30" x14ac:dyDescent="0.3">
      <c r="A68" s="222"/>
      <c r="B68" s="33"/>
      <c r="C68" s="33"/>
      <c r="D68" s="236">
        <f>+D57</f>
        <v>8.9999999999999993E-3</v>
      </c>
      <c r="E68" s="236">
        <f t="shared" ref="E68:P68" si="8">+E57</f>
        <v>1.2E-2</v>
      </c>
      <c r="F68" s="236">
        <f t="shared" si="8"/>
        <v>1.4999999999999999E-2</v>
      </c>
      <c r="G68" s="236">
        <f t="shared" si="8"/>
        <v>1.2E-2</v>
      </c>
      <c r="H68" s="236">
        <f t="shared" si="8"/>
        <v>1.2E-2</v>
      </c>
      <c r="I68" s="236">
        <f t="shared" si="8"/>
        <v>0</v>
      </c>
      <c r="J68" s="236">
        <f t="shared" si="8"/>
        <v>0</v>
      </c>
      <c r="K68" s="236">
        <f t="shared" si="8"/>
        <v>0</v>
      </c>
      <c r="L68" s="236">
        <f t="shared" si="8"/>
        <v>0</v>
      </c>
      <c r="M68" s="236">
        <f t="shared" si="8"/>
        <v>0</v>
      </c>
      <c r="N68" s="236">
        <f t="shared" si="8"/>
        <v>0</v>
      </c>
      <c r="O68" s="236">
        <f t="shared" si="8"/>
        <v>0</v>
      </c>
      <c r="P68" s="236">
        <f t="shared" si="8"/>
        <v>0.06</v>
      </c>
      <c r="Q68" s="222"/>
      <c r="R68" s="222"/>
      <c r="S68" s="216"/>
      <c r="T68" s="216"/>
      <c r="U68" s="216"/>
      <c r="V68" s="216"/>
      <c r="W68" s="216"/>
      <c r="X68" s="216"/>
      <c r="Y68" s="216"/>
      <c r="Z68" s="216"/>
      <c r="AA68" s="216"/>
      <c r="AB68" s="216"/>
      <c r="AC68" s="216"/>
      <c r="AD68" s="216"/>
    </row>
    <row r="69" spans="1:30" x14ac:dyDescent="0.3">
      <c r="A69" s="222"/>
      <c r="B69" s="33"/>
      <c r="C69" s="238" t="s">
        <v>65</v>
      </c>
      <c r="D69" s="239">
        <f t="shared" ref="D69:O69" si="9">D68*0.06/$B$35</f>
        <v>8.9999999999999993E-3</v>
      </c>
      <c r="E69" s="239">
        <f t="shared" si="9"/>
        <v>1.2E-2</v>
      </c>
      <c r="F69" s="239">
        <f t="shared" si="9"/>
        <v>1.4999999999999999E-2</v>
      </c>
      <c r="G69" s="239">
        <f t="shared" si="9"/>
        <v>1.2E-2</v>
      </c>
      <c r="H69" s="239">
        <f t="shared" si="9"/>
        <v>1.2E-2</v>
      </c>
      <c r="I69" s="239">
        <f t="shared" si="9"/>
        <v>0</v>
      </c>
      <c r="J69" s="239">
        <f t="shared" si="9"/>
        <v>0</v>
      </c>
      <c r="K69" s="239">
        <f t="shared" si="9"/>
        <v>0</v>
      </c>
      <c r="L69" s="239">
        <f t="shared" si="9"/>
        <v>0</v>
      </c>
      <c r="M69" s="239">
        <f t="shared" si="9"/>
        <v>0</v>
      </c>
      <c r="N69" s="239">
        <f t="shared" si="9"/>
        <v>0</v>
      </c>
      <c r="O69" s="239">
        <f t="shared" si="9"/>
        <v>0</v>
      </c>
      <c r="P69" s="240">
        <f>SUM(D69:O69)</f>
        <v>0.06</v>
      </c>
      <c r="Q69" s="222"/>
      <c r="R69" s="222"/>
      <c r="S69" s="216"/>
      <c r="T69" s="216"/>
      <c r="U69" s="216"/>
      <c r="V69" s="216"/>
      <c r="W69" s="216"/>
      <c r="X69" s="216"/>
      <c r="Y69" s="216"/>
      <c r="Z69" s="216"/>
      <c r="AA69" s="216"/>
      <c r="AB69" s="216"/>
      <c r="AC69" s="216"/>
      <c r="AD69" s="216"/>
    </row>
    <row r="70" spans="1:30" x14ac:dyDescent="0.3">
      <c r="A70" s="254"/>
    </row>
    <row r="71" spans="1:30" x14ac:dyDescent="0.3">
      <c r="A71" s="254"/>
    </row>
    <row r="72" spans="1:30" x14ac:dyDescent="0.3">
      <c r="A72" s="254"/>
    </row>
    <row r="73" spans="1:30" x14ac:dyDescent="0.3">
      <c r="A73" s="254"/>
    </row>
    <row r="74" spans="1:30" x14ac:dyDescent="0.3">
      <c r="A74" s="254"/>
    </row>
    <row r="75" spans="1:30" x14ac:dyDescent="0.3">
      <c r="A75" s="254"/>
    </row>
    <row r="76" spans="1:30" x14ac:dyDescent="0.3">
      <c r="A76" s="254"/>
    </row>
    <row r="77" spans="1:30" x14ac:dyDescent="0.3">
      <c r="A77" s="254"/>
    </row>
    <row r="78" spans="1:30" x14ac:dyDescent="0.3">
      <c r="A78" s="254"/>
    </row>
    <row r="79" spans="1:30" x14ac:dyDescent="0.3">
      <c r="A79" s="254"/>
    </row>
    <row r="80" spans="1:30" x14ac:dyDescent="0.3">
      <c r="A80" s="254"/>
    </row>
    <row r="81" spans="1:1" x14ac:dyDescent="0.3">
      <c r="A81" s="254"/>
    </row>
    <row r="82" spans="1:1" x14ac:dyDescent="0.3">
      <c r="A82" s="254"/>
    </row>
    <row r="83" spans="1:1" x14ac:dyDescent="0.3">
      <c r="A83" s="254"/>
    </row>
    <row r="84" spans="1:1" x14ac:dyDescent="0.3">
      <c r="A84" s="254"/>
    </row>
    <row r="85" spans="1:1" x14ac:dyDescent="0.3">
      <c r="A85" s="254"/>
    </row>
    <row r="86" spans="1:1" x14ac:dyDescent="0.3">
      <c r="A86" s="254"/>
    </row>
    <row r="87" spans="1:1" x14ac:dyDescent="0.3">
      <c r="A87" s="254"/>
    </row>
    <row r="88" spans="1:1" x14ac:dyDescent="0.3">
      <c r="A88" s="254"/>
    </row>
    <row r="89" spans="1:1" x14ac:dyDescent="0.3">
      <c r="A89" s="254"/>
    </row>
    <row r="90" spans="1:1" x14ac:dyDescent="0.3">
      <c r="A90" s="254"/>
    </row>
    <row r="91" spans="1:1" x14ac:dyDescent="0.3">
      <c r="A91" s="254"/>
    </row>
    <row r="92" spans="1:1" x14ac:dyDescent="0.3">
      <c r="A92" s="254"/>
    </row>
    <row r="93" spans="1:1" x14ac:dyDescent="0.3">
      <c r="A93" s="254"/>
    </row>
    <row r="94" spans="1:1" x14ac:dyDescent="0.3">
      <c r="A94" s="254"/>
    </row>
  </sheetData>
  <mergeCells count="82">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Y41:AE42"/>
    <mergeCell ref="A38:AE38"/>
    <mergeCell ref="A39:A40"/>
    <mergeCell ref="B39:B40"/>
    <mergeCell ref="C39:C40"/>
    <mergeCell ref="D39:P39"/>
    <mergeCell ref="Q39:AE39"/>
    <mergeCell ref="Q40:X40"/>
    <mergeCell ref="Y40:AE40"/>
    <mergeCell ref="B35:B36"/>
    <mergeCell ref="Q35:T36"/>
    <mergeCell ref="A41:A42"/>
    <mergeCell ref="B41:B42"/>
    <mergeCell ref="Q41:X42"/>
    <mergeCell ref="U35:X36"/>
    <mergeCell ref="A55:A56"/>
    <mergeCell ref="B55:B56"/>
    <mergeCell ref="C55:P55"/>
    <mergeCell ref="A57:A58"/>
    <mergeCell ref="B57:B58"/>
    <mergeCell ref="A61:A62"/>
    <mergeCell ref="B61:B62"/>
    <mergeCell ref="A63:A64"/>
    <mergeCell ref="B63:B64"/>
    <mergeCell ref="A59:A60"/>
    <mergeCell ref="B59:B60"/>
  </mergeCells>
  <dataValidations count="3">
    <dataValidation type="list" allowBlank="1" showInputMessage="1" showErrorMessage="1" sqref="C7:C9" xr:uid="{00000000-0002-0000-0400-000000000000}">
      <formula1>$B$21:$M$21</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textLength" operator="lessThanOrEqual" allowBlank="1" showInputMessage="1" showErrorMessage="1" errorTitle="Máximo 2.000 caracteres" error="Máximo 2.000 caracteres" sqref="Q41 Y35 AC35 Q35" xr:uid="{00000000-0002-0000-0400-000002000000}">
      <formula1>2000</formula1>
    </dataValidation>
  </dataValidations>
  <hyperlinks>
    <hyperlink ref="Y41" r:id="rId1" xr:uid="{80D4B232-F199-4C29-978E-1DD8745064D6}"/>
  </hyperlinks>
  <printOptions horizontalCentered="1"/>
  <pageMargins left="0.23622047244094491" right="0.23622047244094491" top="0.74803149606299213" bottom="0.74803149606299213" header="0.31496062992125984" footer="0.31496062992125984"/>
  <pageSetup scale="2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94"/>
  <sheetViews>
    <sheetView showGridLines="0" view="pageBreakPreview" topLeftCell="A32" zoomScale="60" zoomScaleNormal="60" workbookViewId="0">
      <selection activeCell="C11" sqref="C11:AE13"/>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379"/>
      <c r="B1" s="382"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4"/>
      <c r="AB1" s="391" t="s">
        <v>1</v>
      </c>
      <c r="AC1" s="392"/>
      <c r="AD1" s="392"/>
      <c r="AE1" s="393"/>
    </row>
    <row r="2" spans="1:31" ht="30.75" customHeight="1" thickBot="1" x14ac:dyDescent="0.35">
      <c r="A2" s="380"/>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391" t="s">
        <v>3</v>
      </c>
      <c r="AC2" s="392"/>
      <c r="AD2" s="392"/>
      <c r="AE2" s="393"/>
    </row>
    <row r="3" spans="1:31" ht="24" customHeight="1" thickBot="1" x14ac:dyDescent="0.35">
      <c r="A3" s="380"/>
      <c r="B3" s="385" t="s">
        <v>4</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91" t="s">
        <v>5</v>
      </c>
      <c r="AC3" s="392"/>
      <c r="AD3" s="392"/>
      <c r="AE3" s="393"/>
    </row>
    <row r="4" spans="1:31" ht="21.75" customHeight="1" thickBot="1" x14ac:dyDescent="0.35">
      <c r="A4" s="381"/>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6</v>
      </c>
      <c r="AC4" s="392"/>
      <c r="AD4" s="392"/>
      <c r="AE4" s="393"/>
    </row>
    <row r="5" spans="1:31" ht="9" customHeight="1" thickBot="1" x14ac:dyDescent="0.35">
      <c r="A5" s="3"/>
      <c r="B5" s="101"/>
      <c r="C5" s="102"/>
      <c r="D5" s="4"/>
      <c r="E5" s="4"/>
      <c r="F5" s="4"/>
      <c r="G5" s="4"/>
      <c r="H5" s="4"/>
      <c r="I5" s="4"/>
      <c r="J5" s="4"/>
      <c r="K5" s="4"/>
      <c r="L5" s="4"/>
      <c r="M5" s="4"/>
      <c r="N5" s="4"/>
      <c r="O5" s="4"/>
      <c r="P5" s="4"/>
      <c r="Q5" s="4"/>
      <c r="R5" s="4"/>
      <c r="S5" s="4"/>
      <c r="T5" s="4"/>
      <c r="U5" s="4"/>
      <c r="V5" s="4"/>
      <c r="W5" s="4"/>
      <c r="X5" s="4"/>
      <c r="Y5" s="4"/>
      <c r="Z5" s="4"/>
      <c r="AA5" s="4"/>
      <c r="AB5" s="4"/>
      <c r="AC5" s="171"/>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4"/>
      <c r="AA6" s="4"/>
      <c r="AB6" s="4"/>
      <c r="AC6" s="171"/>
      <c r="AD6" s="7"/>
      <c r="AE6" s="8"/>
    </row>
    <row r="7" spans="1:31" x14ac:dyDescent="0.3">
      <c r="A7" s="336" t="s">
        <v>7</v>
      </c>
      <c r="B7" s="337"/>
      <c r="C7" s="374" t="s">
        <v>29</v>
      </c>
      <c r="D7" s="336" t="s">
        <v>8</v>
      </c>
      <c r="E7" s="342"/>
      <c r="F7" s="342"/>
      <c r="G7" s="342"/>
      <c r="H7" s="337"/>
      <c r="I7" s="366">
        <v>45357</v>
      </c>
      <c r="J7" s="367"/>
      <c r="K7" s="336" t="s">
        <v>9</v>
      </c>
      <c r="L7" s="337"/>
      <c r="M7" s="358" t="s">
        <v>10</v>
      </c>
      <c r="N7" s="359"/>
      <c r="O7" s="347"/>
      <c r="P7" s="348"/>
      <c r="Q7" s="4"/>
      <c r="R7" s="4"/>
      <c r="S7" s="4"/>
      <c r="T7" s="4"/>
      <c r="U7" s="4"/>
      <c r="V7" s="4"/>
      <c r="W7" s="4"/>
      <c r="X7" s="4"/>
      <c r="Y7" s="4"/>
      <c r="Z7" s="4"/>
      <c r="AA7" s="4"/>
      <c r="AB7" s="4"/>
      <c r="AC7" s="171"/>
      <c r="AD7" s="7"/>
      <c r="AE7" s="8"/>
    </row>
    <row r="8" spans="1:31" x14ac:dyDescent="0.3">
      <c r="A8" s="338"/>
      <c r="B8" s="339"/>
      <c r="C8" s="375"/>
      <c r="D8" s="338"/>
      <c r="E8" s="343"/>
      <c r="F8" s="343"/>
      <c r="G8" s="343"/>
      <c r="H8" s="339"/>
      <c r="I8" s="368"/>
      <c r="J8" s="369"/>
      <c r="K8" s="338"/>
      <c r="L8" s="339"/>
      <c r="M8" s="377" t="s">
        <v>11</v>
      </c>
      <c r="N8" s="378"/>
      <c r="O8" s="360"/>
      <c r="P8" s="361"/>
      <c r="Q8" s="4"/>
      <c r="R8" s="4"/>
      <c r="S8" s="4"/>
      <c r="T8" s="4"/>
      <c r="U8" s="4"/>
      <c r="V8" s="4"/>
      <c r="W8" s="4"/>
      <c r="X8" s="4"/>
      <c r="Y8" s="4"/>
      <c r="Z8" s="4"/>
      <c r="AA8" s="4"/>
      <c r="AB8" s="4"/>
      <c r="AC8" s="171"/>
      <c r="AD8" s="7"/>
      <c r="AE8" s="8"/>
    </row>
    <row r="9" spans="1:31" ht="15" thickBot="1" x14ac:dyDescent="0.35">
      <c r="A9" s="340"/>
      <c r="B9" s="341"/>
      <c r="C9" s="376"/>
      <c r="D9" s="340"/>
      <c r="E9" s="344"/>
      <c r="F9" s="344"/>
      <c r="G9" s="344"/>
      <c r="H9" s="341"/>
      <c r="I9" s="370"/>
      <c r="J9" s="371"/>
      <c r="K9" s="340"/>
      <c r="L9" s="341"/>
      <c r="M9" s="362" t="s">
        <v>13</v>
      </c>
      <c r="N9" s="363"/>
      <c r="O9" s="364" t="s">
        <v>12</v>
      </c>
      <c r="P9" s="365"/>
      <c r="Q9" s="4"/>
      <c r="R9" s="4"/>
      <c r="S9" s="4"/>
      <c r="T9" s="4"/>
      <c r="U9" s="4"/>
      <c r="V9" s="4"/>
      <c r="W9" s="4"/>
      <c r="X9" s="4"/>
      <c r="Y9" s="4"/>
      <c r="Z9" s="4"/>
      <c r="AA9" s="4"/>
      <c r="AB9" s="4"/>
      <c r="AC9" s="171"/>
      <c r="AD9" s="7"/>
      <c r="AE9" s="8"/>
    </row>
    <row r="10" spans="1:31" ht="15" customHeight="1" thickBot="1" x14ac:dyDescent="0.35">
      <c r="A10" s="75"/>
      <c r="B10" s="76"/>
      <c r="C10" s="76"/>
      <c r="D10" s="9"/>
      <c r="E10" s="9"/>
      <c r="F10" s="9"/>
      <c r="G10" s="9"/>
      <c r="H10" s="9"/>
      <c r="I10" s="172"/>
      <c r="J10" s="172"/>
      <c r="K10" s="9"/>
      <c r="L10" s="9"/>
      <c r="M10" s="173"/>
      <c r="N10" s="173"/>
      <c r="O10" s="174"/>
      <c r="P10" s="174"/>
      <c r="Q10" s="76"/>
      <c r="R10" s="76"/>
      <c r="S10" s="76"/>
      <c r="T10" s="76"/>
      <c r="U10" s="76"/>
      <c r="V10" s="76"/>
      <c r="W10" s="76"/>
      <c r="X10" s="76"/>
      <c r="Y10" s="76"/>
      <c r="Z10" s="76"/>
      <c r="AA10" s="76"/>
      <c r="AB10" s="76"/>
      <c r="AC10" s="171"/>
      <c r="AD10" s="78"/>
      <c r="AE10" s="79"/>
    </row>
    <row r="11" spans="1:31" ht="15" customHeight="1" x14ac:dyDescent="0.3">
      <c r="A11" s="336" t="s">
        <v>14</v>
      </c>
      <c r="B11" s="337"/>
      <c r="C11" s="308" t="s">
        <v>15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ht="15" customHeight="1" x14ac:dyDescent="0.3">
      <c r="A12" s="338"/>
      <c r="B12" s="339"/>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15" customHeight="1" thickBot="1" x14ac:dyDescent="0.35">
      <c r="A13" s="340"/>
      <c r="B13" s="341"/>
      <c r="C13" s="352"/>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C14" s="171"/>
      <c r="AD14" s="9"/>
      <c r="AE14" s="10"/>
    </row>
    <row r="15" spans="1:31" ht="55.5" customHeight="1" thickBot="1" x14ac:dyDescent="0.35">
      <c r="A15" s="345" t="s">
        <v>16</v>
      </c>
      <c r="B15" s="346"/>
      <c r="C15" s="355" t="s">
        <v>17</v>
      </c>
      <c r="D15" s="356"/>
      <c r="E15" s="356"/>
      <c r="F15" s="356"/>
      <c r="G15" s="356"/>
      <c r="H15" s="356"/>
      <c r="I15" s="356"/>
      <c r="J15" s="356"/>
      <c r="K15" s="357"/>
      <c r="L15" s="372" t="s">
        <v>18</v>
      </c>
      <c r="M15" s="399"/>
      <c r="N15" s="399"/>
      <c r="O15" s="399"/>
      <c r="P15" s="399"/>
      <c r="Q15" s="373"/>
      <c r="R15" s="400" t="s">
        <v>19</v>
      </c>
      <c r="S15" s="401"/>
      <c r="T15" s="401"/>
      <c r="U15" s="401"/>
      <c r="V15" s="401"/>
      <c r="W15" s="401"/>
      <c r="X15" s="402"/>
      <c r="Y15" s="372" t="s">
        <v>20</v>
      </c>
      <c r="Z15" s="373"/>
      <c r="AA15" s="355" t="s">
        <v>21</v>
      </c>
      <c r="AB15" s="356"/>
      <c r="AC15" s="356"/>
      <c r="AD15" s="356"/>
      <c r="AE15" s="357"/>
    </row>
    <row r="16" spans="1:31" ht="9" customHeight="1" thickBot="1" x14ac:dyDescent="0.35">
      <c r="A16" s="6"/>
      <c r="B16" s="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171"/>
      <c r="AD16" s="7"/>
      <c r="AE16" s="8"/>
    </row>
    <row r="17" spans="1:32" s="16" customFormat="1" ht="37.5" customHeight="1" thickBot="1" x14ac:dyDescent="0.35">
      <c r="A17" s="345" t="s">
        <v>22</v>
      </c>
      <c r="B17" s="346"/>
      <c r="C17" s="355" t="s">
        <v>93</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7"/>
    </row>
    <row r="18" spans="1:32" ht="16.5" customHeight="1" thickBot="1" x14ac:dyDescent="0.35">
      <c r="A18" s="175"/>
      <c r="B18" s="176"/>
      <c r="C18" s="176"/>
      <c r="D18" s="176"/>
      <c r="E18" s="176"/>
      <c r="F18" s="176"/>
      <c r="G18" s="176"/>
      <c r="H18" s="176"/>
      <c r="I18" s="176"/>
      <c r="J18" s="176"/>
      <c r="K18" s="176"/>
      <c r="L18" s="176"/>
      <c r="M18" s="176"/>
      <c r="N18" s="176"/>
      <c r="O18" s="176"/>
      <c r="P18" s="176"/>
      <c r="Q18" s="176"/>
      <c r="R18" s="176"/>
      <c r="S18" s="176"/>
      <c r="T18" s="200"/>
      <c r="U18" s="176"/>
      <c r="V18" s="176"/>
      <c r="W18" s="176"/>
      <c r="X18" s="197"/>
      <c r="Y18" s="176"/>
      <c r="Z18" s="176"/>
      <c r="AA18" s="176"/>
      <c r="AB18" s="176"/>
      <c r="AC18" s="171"/>
      <c r="AD18" s="176"/>
      <c r="AE18" s="177"/>
    </row>
    <row r="19" spans="1:32" ht="32.1" customHeight="1" thickBot="1" x14ac:dyDescent="0.35">
      <c r="A19" s="372" t="s">
        <v>24</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73"/>
      <c r="AF19" s="20"/>
    </row>
    <row r="20" spans="1:32" ht="32.1" customHeight="1" thickBot="1" x14ac:dyDescent="0.35">
      <c r="A20" s="104" t="s">
        <v>25</v>
      </c>
      <c r="B20" s="396" t="s">
        <v>26</v>
      </c>
      <c r="C20" s="397"/>
      <c r="D20" s="397"/>
      <c r="E20" s="397"/>
      <c r="F20" s="397"/>
      <c r="G20" s="397"/>
      <c r="H20" s="397"/>
      <c r="I20" s="397"/>
      <c r="J20" s="397"/>
      <c r="K20" s="397"/>
      <c r="L20" s="397"/>
      <c r="M20" s="397"/>
      <c r="N20" s="397"/>
      <c r="O20" s="398"/>
      <c r="P20" s="372" t="s">
        <v>27</v>
      </c>
      <c r="Q20" s="399"/>
      <c r="R20" s="399"/>
      <c r="S20" s="399"/>
      <c r="T20" s="399"/>
      <c r="U20" s="399"/>
      <c r="V20" s="399"/>
      <c r="W20" s="399"/>
      <c r="X20" s="399"/>
      <c r="Y20" s="399"/>
      <c r="Z20" s="399"/>
      <c r="AA20" s="399"/>
      <c r="AB20" s="399"/>
      <c r="AC20" s="399"/>
      <c r="AD20" s="399"/>
      <c r="AE20" s="373"/>
      <c r="AF20" s="20"/>
    </row>
    <row r="21" spans="1:32" ht="32.1" customHeight="1" thickBot="1" x14ac:dyDescent="0.35">
      <c r="A21" s="178">
        <f>9057180</f>
        <v>9057180</v>
      </c>
      <c r="B21" s="114" t="s">
        <v>28</v>
      </c>
      <c r="C21" s="115" t="s">
        <v>29</v>
      </c>
      <c r="D21" s="115" t="s">
        <v>30</v>
      </c>
      <c r="E21" s="115" t="s">
        <v>31</v>
      </c>
      <c r="F21" s="115" t="s">
        <v>32</v>
      </c>
      <c r="G21" s="115" t="s">
        <v>33</v>
      </c>
      <c r="H21" s="115" t="s">
        <v>34</v>
      </c>
      <c r="I21" s="115" t="s">
        <v>35</v>
      </c>
      <c r="J21" s="115" t="s">
        <v>36</v>
      </c>
      <c r="K21" s="115" t="s">
        <v>37</v>
      </c>
      <c r="L21" s="115" t="s">
        <v>38</v>
      </c>
      <c r="M21" s="115" t="s">
        <v>39</v>
      </c>
      <c r="N21" s="115" t="s">
        <v>40</v>
      </c>
      <c r="O21" s="116" t="s">
        <v>41</v>
      </c>
      <c r="P21" s="143"/>
      <c r="Q21" s="104" t="s">
        <v>28</v>
      </c>
      <c r="R21" s="105" t="s">
        <v>29</v>
      </c>
      <c r="S21" s="105" t="s">
        <v>30</v>
      </c>
      <c r="T21" s="105" t="s">
        <v>31</v>
      </c>
      <c r="U21" s="105" t="s">
        <v>32</v>
      </c>
      <c r="V21" s="105" t="s">
        <v>33</v>
      </c>
      <c r="W21" s="105" t="s">
        <v>34</v>
      </c>
      <c r="X21" s="105" t="s">
        <v>35</v>
      </c>
      <c r="Y21" s="105" t="s">
        <v>36</v>
      </c>
      <c r="Z21" s="105" t="s">
        <v>37</v>
      </c>
      <c r="AA21" s="105" t="s">
        <v>38</v>
      </c>
      <c r="AB21" s="105" t="s">
        <v>39</v>
      </c>
      <c r="AC21" s="105" t="s">
        <v>40</v>
      </c>
      <c r="AD21" s="142" t="s">
        <v>42</v>
      </c>
      <c r="AE21" s="142" t="s">
        <v>43</v>
      </c>
      <c r="AF21" s="1"/>
    </row>
    <row r="22" spans="1:32" ht="32.1" customHeight="1" x14ac:dyDescent="0.3">
      <c r="A22" s="139" t="s">
        <v>44</v>
      </c>
      <c r="B22" s="179"/>
      <c r="C22" s="178">
        <v>9057180</v>
      </c>
      <c r="D22" s="178"/>
      <c r="E22" s="178"/>
      <c r="F22" s="178"/>
      <c r="G22" s="178"/>
      <c r="H22" s="178"/>
      <c r="I22" s="178"/>
      <c r="J22" s="178"/>
      <c r="K22" s="178"/>
      <c r="L22" s="178"/>
      <c r="M22" s="178"/>
      <c r="N22" s="178">
        <f>SUM(B22:M22)</f>
        <v>9057180</v>
      </c>
      <c r="O22" s="180"/>
      <c r="P22" s="139" t="s">
        <v>45</v>
      </c>
      <c r="Q22" s="181"/>
      <c r="R22" s="182">
        <v>97497000</v>
      </c>
      <c r="S22" s="182"/>
      <c r="T22" s="182"/>
      <c r="U22" s="182"/>
      <c r="V22" s="182"/>
      <c r="W22" s="182"/>
      <c r="X22" s="182">
        <f>43186756+30693244</f>
        <v>73880000</v>
      </c>
      <c r="Y22" s="182"/>
      <c r="Z22" s="182"/>
      <c r="AA22" s="182"/>
      <c r="AB22" s="182"/>
      <c r="AC22" s="202">
        <f>SUM(Q22:AB22)</f>
        <v>171377000</v>
      </c>
      <c r="AD22" s="171"/>
      <c r="AE22" s="183"/>
      <c r="AF22" s="1"/>
    </row>
    <row r="23" spans="1:32" ht="32.1" customHeight="1" x14ac:dyDescent="0.3">
      <c r="A23" s="140" t="s">
        <v>46</v>
      </c>
      <c r="B23" s="184"/>
      <c r="C23" s="185"/>
      <c r="D23" s="185"/>
      <c r="E23" s="185"/>
      <c r="F23" s="185"/>
      <c r="G23" s="185"/>
      <c r="H23" s="185"/>
      <c r="I23" s="185"/>
      <c r="J23" s="185"/>
      <c r="K23" s="185"/>
      <c r="L23" s="185"/>
      <c r="M23" s="185"/>
      <c r="N23" s="185">
        <f>SUM(B23:M23)</f>
        <v>0</v>
      </c>
      <c r="O23" s="186" t="str">
        <f>IFERROR(N23/(SUMIF(B23:M23,"&gt;0",B22:M22))," ")</f>
        <v xml:space="preserve"> </v>
      </c>
      <c r="P23" s="140" t="s">
        <v>47</v>
      </c>
      <c r="Q23" s="184">
        <v>0</v>
      </c>
      <c r="R23" s="185">
        <f>46254780-Q23</f>
        <v>46254780</v>
      </c>
      <c r="S23" s="185"/>
      <c r="T23" s="185"/>
      <c r="U23" s="185"/>
      <c r="V23" s="185"/>
      <c r="W23" s="185"/>
      <c r="X23" s="185"/>
      <c r="Y23" s="185"/>
      <c r="Z23" s="185"/>
      <c r="AA23" s="185"/>
      <c r="AB23" s="185"/>
      <c r="AC23" s="203">
        <f>SUM(Q23:AB23)</f>
        <v>46254780</v>
      </c>
      <c r="AD23" s="185">
        <f>AC23/SUM(Q22:AB22)</f>
        <v>0.26990074514082985</v>
      </c>
      <c r="AE23" s="187">
        <f>AC23/AC22</f>
        <v>0.26990074514082985</v>
      </c>
      <c r="AF23" s="1"/>
    </row>
    <row r="24" spans="1:32" ht="32.1" customHeight="1" x14ac:dyDescent="0.3">
      <c r="A24" s="140" t="s">
        <v>48</v>
      </c>
      <c r="B24" s="184"/>
      <c r="C24" s="185"/>
      <c r="D24" s="185"/>
      <c r="E24" s="185"/>
      <c r="F24" s="185"/>
      <c r="G24" s="185"/>
      <c r="H24" s="185"/>
      <c r="I24" s="185"/>
      <c r="J24" s="185"/>
      <c r="K24" s="185"/>
      <c r="L24" s="185"/>
      <c r="M24" s="185"/>
      <c r="N24" s="185">
        <f>SUM(B24:M24)</f>
        <v>0</v>
      </c>
      <c r="O24" s="188"/>
      <c r="P24" s="140" t="s">
        <v>44</v>
      </c>
      <c r="Q24" s="184"/>
      <c r="R24" s="185"/>
      <c r="S24" s="185">
        <v>15567000</v>
      </c>
      <c r="T24" s="185">
        <v>15581000</v>
      </c>
      <c r="U24" s="185">
        <v>15581000</v>
      </c>
      <c r="V24" s="185">
        <v>15581000</v>
      </c>
      <c r="W24" s="185">
        <v>15581000</v>
      </c>
      <c r="X24" s="185">
        <v>15581000</v>
      </c>
      <c r="Y24" s="185">
        <f>15581000-7673311+7673311</f>
        <v>15581000</v>
      </c>
      <c r="Z24" s="185">
        <f>15581000-7673311+7673311</f>
        <v>15581000</v>
      </c>
      <c r="AA24" s="185">
        <f>15581000-7673311+7673311</f>
        <v>15581000</v>
      </c>
      <c r="AB24" s="185">
        <f>31162000-7673311+7673311</f>
        <v>31162000</v>
      </c>
      <c r="AC24" s="203">
        <f>SUM(Q24:AB24)</f>
        <v>171377000</v>
      </c>
      <c r="AD24" s="185"/>
      <c r="AE24" s="189"/>
      <c r="AF24" s="1"/>
    </row>
    <row r="25" spans="1:32" ht="32.1" customHeight="1" thickBot="1" x14ac:dyDescent="0.35">
      <c r="A25" s="141" t="s">
        <v>49</v>
      </c>
      <c r="B25" s="190">
        <v>0</v>
      </c>
      <c r="C25" s="191">
        <f>5922180</f>
        <v>5922180</v>
      </c>
      <c r="D25" s="191"/>
      <c r="E25" s="191"/>
      <c r="F25" s="191"/>
      <c r="G25" s="191"/>
      <c r="H25" s="191"/>
      <c r="I25" s="191"/>
      <c r="J25" s="191"/>
      <c r="K25" s="191"/>
      <c r="L25" s="191"/>
      <c r="M25" s="191"/>
      <c r="N25" s="191">
        <f>SUM(B25:M25)</f>
        <v>5922180</v>
      </c>
      <c r="O25" s="192" t="str">
        <f>IFERROR(N25/(SUMIF(B25:M25,"&gt;0",B24:M24))," ")</f>
        <v xml:space="preserve"> </v>
      </c>
      <c r="P25" s="141" t="s">
        <v>49</v>
      </c>
      <c r="Q25" s="190">
        <v>0</v>
      </c>
      <c r="R25" s="191">
        <v>0</v>
      </c>
      <c r="S25" s="191"/>
      <c r="T25" s="191"/>
      <c r="U25" s="191"/>
      <c r="V25" s="191"/>
      <c r="W25" s="191"/>
      <c r="X25" s="191"/>
      <c r="Y25" s="191"/>
      <c r="Z25" s="191"/>
      <c r="AA25" s="191"/>
      <c r="AB25" s="191"/>
      <c r="AC25" s="191">
        <f>SUM(Q25:AB25)</f>
        <v>0</v>
      </c>
      <c r="AD25" s="191">
        <f>AC25/SUM(Q24:AB24)</f>
        <v>0</v>
      </c>
      <c r="AE25" s="193">
        <f>AC25/AC24</f>
        <v>0</v>
      </c>
      <c r="AF25" s="1"/>
    </row>
    <row r="26" spans="1:32" customFormat="1" ht="16.5" customHeight="1" thickBot="1" x14ac:dyDescent="0.3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row>
    <row r="27" spans="1:32" ht="33.9" customHeight="1" x14ac:dyDescent="0.3">
      <c r="A27" s="329" t="s">
        <v>50</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1"/>
    </row>
    <row r="28" spans="1:32" ht="15" customHeight="1" x14ac:dyDescent="0.3">
      <c r="A28" s="305" t="s">
        <v>51</v>
      </c>
      <c r="B28" s="307" t="s">
        <v>52</v>
      </c>
      <c r="C28" s="307"/>
      <c r="D28" s="307" t="s">
        <v>53</v>
      </c>
      <c r="E28" s="307"/>
      <c r="F28" s="307"/>
      <c r="G28" s="307"/>
      <c r="H28" s="307"/>
      <c r="I28" s="307"/>
      <c r="J28" s="307"/>
      <c r="K28" s="307"/>
      <c r="L28" s="307"/>
      <c r="M28" s="307"/>
      <c r="N28" s="307"/>
      <c r="O28" s="307"/>
      <c r="P28" s="307" t="s">
        <v>40</v>
      </c>
      <c r="Q28" s="307" t="s">
        <v>54</v>
      </c>
      <c r="R28" s="307"/>
      <c r="S28" s="307"/>
      <c r="T28" s="307"/>
      <c r="U28" s="307"/>
      <c r="V28" s="307"/>
      <c r="W28" s="307"/>
      <c r="X28" s="307"/>
      <c r="Y28" s="307" t="s">
        <v>55</v>
      </c>
      <c r="Z28" s="307"/>
      <c r="AA28" s="307"/>
      <c r="AB28" s="307"/>
      <c r="AC28" s="307"/>
      <c r="AD28" s="307"/>
      <c r="AE28" s="332"/>
    </row>
    <row r="29" spans="1:32" ht="27" customHeight="1" x14ac:dyDescent="0.3">
      <c r="A29" s="305"/>
      <c r="B29" s="307"/>
      <c r="C29" s="307"/>
      <c r="D29" s="100" t="s">
        <v>28</v>
      </c>
      <c r="E29" s="100" t="s">
        <v>29</v>
      </c>
      <c r="F29" s="100" t="s">
        <v>30</v>
      </c>
      <c r="G29" s="100" t="s">
        <v>31</v>
      </c>
      <c r="H29" s="100" t="s">
        <v>32</v>
      </c>
      <c r="I29" s="100" t="s">
        <v>33</v>
      </c>
      <c r="J29" s="100" t="s">
        <v>34</v>
      </c>
      <c r="K29" s="100" t="s">
        <v>35</v>
      </c>
      <c r="L29" s="100" t="s">
        <v>36</v>
      </c>
      <c r="M29" s="100" t="s">
        <v>37</v>
      </c>
      <c r="N29" s="100" t="s">
        <v>38</v>
      </c>
      <c r="O29" s="100" t="s">
        <v>39</v>
      </c>
      <c r="P29" s="307"/>
      <c r="Q29" s="307"/>
      <c r="R29" s="307"/>
      <c r="S29" s="307"/>
      <c r="T29" s="307"/>
      <c r="U29" s="307"/>
      <c r="V29" s="307"/>
      <c r="W29" s="307"/>
      <c r="X29" s="307"/>
      <c r="Y29" s="307"/>
      <c r="Z29" s="307"/>
      <c r="AA29" s="307"/>
      <c r="AB29" s="307"/>
      <c r="AC29" s="307"/>
      <c r="AD29" s="307"/>
      <c r="AE29" s="332"/>
    </row>
    <row r="30" spans="1:32" ht="61.95" customHeight="1" thickBot="1" x14ac:dyDescent="0.35">
      <c r="A30" s="110" t="s">
        <v>93</v>
      </c>
      <c r="B30" s="403"/>
      <c r="C30" s="403"/>
      <c r="D30" s="103"/>
      <c r="E30" s="103"/>
      <c r="F30" s="103"/>
      <c r="G30" s="103"/>
      <c r="H30" s="103"/>
      <c r="I30" s="103"/>
      <c r="J30" s="103"/>
      <c r="K30" s="103"/>
      <c r="L30" s="103"/>
      <c r="M30" s="103"/>
      <c r="N30" s="103"/>
      <c r="O30" s="103"/>
      <c r="P30" s="111">
        <f>SUM(D30:O30)</f>
        <v>0</v>
      </c>
      <c r="Q30" s="394" t="s">
        <v>487</v>
      </c>
      <c r="R30" s="394"/>
      <c r="S30" s="394"/>
      <c r="T30" s="394"/>
      <c r="U30" s="394"/>
      <c r="V30" s="394"/>
      <c r="W30" s="394"/>
      <c r="X30" s="394"/>
      <c r="Y30" s="394" t="s">
        <v>116</v>
      </c>
      <c r="Z30" s="394"/>
      <c r="AA30" s="394"/>
      <c r="AB30" s="394"/>
      <c r="AC30" s="394"/>
      <c r="AD30" s="394"/>
      <c r="AE30" s="395"/>
    </row>
    <row r="31" spans="1:32" ht="12" customHeight="1" thickBot="1" x14ac:dyDescent="0.35">
      <c r="A31" s="121"/>
      <c r="B31" s="122"/>
      <c r="C31" s="122"/>
      <c r="D31" s="9"/>
      <c r="E31" s="9"/>
      <c r="F31" s="9"/>
      <c r="G31" s="9"/>
      <c r="H31" s="9"/>
      <c r="I31" s="9"/>
      <c r="J31" s="9"/>
      <c r="K31" s="9"/>
      <c r="L31" s="9"/>
      <c r="M31" s="9"/>
      <c r="N31" s="9"/>
      <c r="O31" s="9"/>
      <c r="P31" s="123"/>
      <c r="Q31" s="195"/>
      <c r="R31" s="195"/>
      <c r="S31" s="195"/>
      <c r="T31" s="195"/>
      <c r="U31" s="195"/>
      <c r="V31" s="195"/>
      <c r="W31" s="195"/>
      <c r="X31" s="195"/>
      <c r="Y31" s="195"/>
      <c r="Z31" s="195"/>
      <c r="AA31" s="195"/>
      <c r="AB31" s="195"/>
      <c r="AC31" s="195"/>
      <c r="AD31" s="195"/>
      <c r="AE31" s="196"/>
    </row>
    <row r="32" spans="1:32" ht="45" customHeight="1" x14ac:dyDescent="0.3">
      <c r="A32" s="308" t="s">
        <v>56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10"/>
    </row>
    <row r="33" spans="1:41" ht="23.1" customHeight="1" x14ac:dyDescent="0.3">
      <c r="A33" s="305" t="s">
        <v>57</v>
      </c>
      <c r="B33" s="307" t="s">
        <v>58</v>
      </c>
      <c r="C33" s="307" t="s">
        <v>52</v>
      </c>
      <c r="D33" s="307" t="s">
        <v>59</v>
      </c>
      <c r="E33" s="307"/>
      <c r="F33" s="307"/>
      <c r="G33" s="307"/>
      <c r="H33" s="307"/>
      <c r="I33" s="307"/>
      <c r="J33" s="307"/>
      <c r="K33" s="307"/>
      <c r="L33" s="307"/>
      <c r="M33" s="307"/>
      <c r="N33" s="307"/>
      <c r="O33" s="307"/>
      <c r="P33" s="307"/>
      <c r="Q33" s="307" t="s">
        <v>60</v>
      </c>
      <c r="R33" s="307"/>
      <c r="S33" s="307"/>
      <c r="T33" s="307"/>
      <c r="U33" s="307"/>
      <c r="V33" s="307"/>
      <c r="W33" s="307"/>
      <c r="X33" s="307"/>
      <c r="Y33" s="307"/>
      <c r="Z33" s="307"/>
      <c r="AA33" s="307"/>
      <c r="AB33" s="307"/>
      <c r="AC33" s="307"/>
      <c r="AD33" s="307"/>
      <c r="AE33" s="332"/>
      <c r="AG33" s="21"/>
      <c r="AH33" s="21"/>
      <c r="AI33" s="21"/>
      <c r="AJ33" s="21"/>
      <c r="AK33" s="21"/>
      <c r="AL33" s="21"/>
      <c r="AM33" s="21"/>
      <c r="AN33" s="21"/>
      <c r="AO33" s="21"/>
    </row>
    <row r="34" spans="1:41" ht="27" customHeight="1" x14ac:dyDescent="0.3">
      <c r="A34" s="305"/>
      <c r="B34" s="307"/>
      <c r="C34" s="333"/>
      <c r="D34" s="100" t="s">
        <v>28</v>
      </c>
      <c r="E34" s="100" t="s">
        <v>29</v>
      </c>
      <c r="F34" s="100" t="s">
        <v>30</v>
      </c>
      <c r="G34" s="100" t="s">
        <v>31</v>
      </c>
      <c r="H34" s="100" t="s">
        <v>32</v>
      </c>
      <c r="I34" s="100" t="s">
        <v>33</v>
      </c>
      <c r="J34" s="100" t="s">
        <v>34</v>
      </c>
      <c r="K34" s="100" t="s">
        <v>35</v>
      </c>
      <c r="L34" s="100" t="s">
        <v>36</v>
      </c>
      <c r="M34" s="100" t="s">
        <v>37</v>
      </c>
      <c r="N34" s="100" t="s">
        <v>38</v>
      </c>
      <c r="O34" s="100" t="s">
        <v>39</v>
      </c>
      <c r="P34" s="100" t="s">
        <v>40</v>
      </c>
      <c r="Q34" s="287" t="s">
        <v>61</v>
      </c>
      <c r="R34" s="288"/>
      <c r="S34" s="288"/>
      <c r="T34" s="311"/>
      <c r="U34" s="307" t="s">
        <v>62</v>
      </c>
      <c r="V34" s="307"/>
      <c r="W34" s="307"/>
      <c r="X34" s="307"/>
      <c r="Y34" s="307" t="s">
        <v>63</v>
      </c>
      <c r="Z34" s="307"/>
      <c r="AA34" s="307"/>
      <c r="AB34" s="307"/>
      <c r="AC34" s="307" t="s">
        <v>64</v>
      </c>
      <c r="AD34" s="307"/>
      <c r="AE34" s="332"/>
      <c r="AG34" s="21"/>
      <c r="AH34" s="21"/>
      <c r="AI34" s="21"/>
      <c r="AJ34" s="21"/>
      <c r="AK34" s="21"/>
      <c r="AL34" s="21"/>
      <c r="AM34" s="21"/>
      <c r="AN34" s="21"/>
      <c r="AO34" s="21"/>
    </row>
    <row r="35" spans="1:41" ht="45" customHeight="1" x14ac:dyDescent="0.3">
      <c r="A35" s="300" t="s">
        <v>117</v>
      </c>
      <c r="B35" s="528">
        <v>5</v>
      </c>
      <c r="C35" s="23" t="s">
        <v>65</v>
      </c>
      <c r="D35" s="253">
        <f>D93</f>
        <v>0.12</v>
      </c>
      <c r="E35" s="253">
        <f t="shared" ref="E35:O35" si="0">E93</f>
        <v>0.96</v>
      </c>
      <c r="F35" s="253">
        <f t="shared" si="0"/>
        <v>0.96</v>
      </c>
      <c r="G35" s="253">
        <f t="shared" si="0"/>
        <v>0.96</v>
      </c>
      <c r="H35" s="253">
        <f t="shared" si="0"/>
        <v>1</v>
      </c>
      <c r="I35" s="253">
        <f t="shared" si="0"/>
        <v>0</v>
      </c>
      <c r="J35" s="253">
        <f t="shared" si="0"/>
        <v>0</v>
      </c>
      <c r="K35" s="253">
        <f t="shared" si="0"/>
        <v>0</v>
      </c>
      <c r="L35" s="253">
        <f t="shared" si="0"/>
        <v>0</v>
      </c>
      <c r="M35" s="253">
        <f t="shared" si="0"/>
        <v>0</v>
      </c>
      <c r="N35" s="253">
        <f t="shared" si="0"/>
        <v>0</v>
      </c>
      <c r="O35" s="253">
        <f t="shared" si="0"/>
        <v>0</v>
      </c>
      <c r="P35" s="245">
        <f>SUM(D35:O35)</f>
        <v>4</v>
      </c>
      <c r="Q35" s="487" t="s">
        <v>536</v>
      </c>
      <c r="R35" s="488"/>
      <c r="S35" s="488"/>
      <c r="T35" s="489"/>
      <c r="U35" s="499" t="s">
        <v>537</v>
      </c>
      <c r="V35" s="499"/>
      <c r="W35" s="499"/>
      <c r="X35" s="499"/>
      <c r="Y35" s="499" t="s">
        <v>462</v>
      </c>
      <c r="Z35" s="499"/>
      <c r="AA35" s="499"/>
      <c r="AB35" s="499"/>
      <c r="AC35" s="499" t="s">
        <v>464</v>
      </c>
      <c r="AD35" s="499"/>
      <c r="AE35" s="507"/>
      <c r="AG35" s="21"/>
      <c r="AH35" s="21"/>
      <c r="AI35" s="21"/>
      <c r="AJ35" s="21"/>
      <c r="AK35" s="21"/>
      <c r="AL35" s="21"/>
      <c r="AM35" s="21"/>
      <c r="AN35" s="21"/>
      <c r="AO35" s="21"/>
    </row>
    <row r="36" spans="1:41" ht="45" customHeight="1" thickBot="1" x14ac:dyDescent="0.35">
      <c r="A36" s="301"/>
      <c r="B36" s="529"/>
      <c r="C36" s="24" t="s">
        <v>66</v>
      </c>
      <c r="D36" s="247">
        <f>D90</f>
        <v>0.12</v>
      </c>
      <c r="E36" s="247">
        <f t="shared" ref="E36:O36" si="1">E90</f>
        <v>0.96</v>
      </c>
      <c r="F36" s="247">
        <f t="shared" si="1"/>
        <v>0</v>
      </c>
      <c r="G36" s="247">
        <f t="shared" si="1"/>
        <v>0</v>
      </c>
      <c r="H36" s="247">
        <f t="shared" si="1"/>
        <v>0</v>
      </c>
      <c r="I36" s="247">
        <f t="shared" si="1"/>
        <v>0</v>
      </c>
      <c r="J36" s="247">
        <f t="shared" si="1"/>
        <v>0</v>
      </c>
      <c r="K36" s="247">
        <f t="shared" si="1"/>
        <v>0</v>
      </c>
      <c r="L36" s="247">
        <f t="shared" si="1"/>
        <v>0</v>
      </c>
      <c r="M36" s="247">
        <f t="shared" si="1"/>
        <v>0</v>
      </c>
      <c r="N36" s="247">
        <f t="shared" si="1"/>
        <v>0</v>
      </c>
      <c r="O36" s="247">
        <f t="shared" si="1"/>
        <v>0</v>
      </c>
      <c r="P36" s="246">
        <f>SUM(D36:O36)</f>
        <v>1.08</v>
      </c>
      <c r="Q36" s="490"/>
      <c r="R36" s="491"/>
      <c r="S36" s="491"/>
      <c r="T36" s="492"/>
      <c r="U36" s="500"/>
      <c r="V36" s="500"/>
      <c r="W36" s="500"/>
      <c r="X36" s="500"/>
      <c r="Y36" s="500"/>
      <c r="Z36" s="500"/>
      <c r="AA36" s="500"/>
      <c r="AB36" s="500"/>
      <c r="AC36" s="500"/>
      <c r="AD36" s="500"/>
      <c r="AE36" s="508"/>
      <c r="AG36" s="21"/>
      <c r="AH36" s="21"/>
      <c r="AI36" s="21"/>
      <c r="AJ36" s="21"/>
      <c r="AK36" s="21"/>
      <c r="AL36" s="21"/>
      <c r="AM36" s="21"/>
      <c r="AN36" s="21"/>
      <c r="AO36" s="21"/>
    </row>
    <row r="37" spans="1:41" customFormat="1" ht="17.25" customHeight="1" thickBot="1" x14ac:dyDescent="0.35">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row>
    <row r="38" spans="1:41" ht="45" customHeight="1" thickBot="1" x14ac:dyDescent="0.35">
      <c r="A38" s="308" t="s">
        <v>67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G38" s="21"/>
      <c r="AH38" s="21"/>
      <c r="AI38" s="21"/>
      <c r="AJ38" s="21"/>
      <c r="AK38" s="21"/>
      <c r="AL38" s="21"/>
      <c r="AM38" s="21"/>
      <c r="AN38" s="21"/>
      <c r="AO38" s="21"/>
    </row>
    <row r="39" spans="1:41" ht="26.1" customHeight="1" x14ac:dyDescent="0.3">
      <c r="A39" s="304" t="s">
        <v>68</v>
      </c>
      <c r="B39" s="306" t="s">
        <v>69</v>
      </c>
      <c r="C39" s="312" t="s">
        <v>70</v>
      </c>
      <c r="D39" s="314" t="s">
        <v>71</v>
      </c>
      <c r="E39" s="315"/>
      <c r="F39" s="315"/>
      <c r="G39" s="315"/>
      <c r="H39" s="315"/>
      <c r="I39" s="315"/>
      <c r="J39" s="315"/>
      <c r="K39" s="315"/>
      <c r="L39" s="315"/>
      <c r="M39" s="315"/>
      <c r="N39" s="315"/>
      <c r="O39" s="315"/>
      <c r="P39" s="316"/>
      <c r="Q39" s="306" t="s">
        <v>72</v>
      </c>
      <c r="R39" s="306"/>
      <c r="S39" s="306"/>
      <c r="T39" s="306"/>
      <c r="U39" s="306"/>
      <c r="V39" s="306"/>
      <c r="W39" s="306"/>
      <c r="X39" s="306"/>
      <c r="Y39" s="306"/>
      <c r="Z39" s="306"/>
      <c r="AA39" s="306"/>
      <c r="AB39" s="306"/>
      <c r="AC39" s="306"/>
      <c r="AD39" s="306"/>
      <c r="AE39" s="328"/>
      <c r="AG39" s="21"/>
      <c r="AH39" s="21"/>
      <c r="AI39" s="21"/>
      <c r="AJ39" s="21"/>
      <c r="AK39" s="21"/>
      <c r="AL39" s="21"/>
      <c r="AM39" s="21"/>
      <c r="AN39" s="21"/>
      <c r="AO39" s="21"/>
    </row>
    <row r="40" spans="1:41" ht="26.1" customHeight="1" x14ac:dyDescent="0.3">
      <c r="A40" s="305"/>
      <c r="B40" s="307"/>
      <c r="C40" s="313"/>
      <c r="D40" s="100" t="s">
        <v>73</v>
      </c>
      <c r="E40" s="100" t="s">
        <v>74</v>
      </c>
      <c r="F40" s="100" t="s">
        <v>75</v>
      </c>
      <c r="G40" s="100" t="s">
        <v>76</v>
      </c>
      <c r="H40" s="100" t="s">
        <v>77</v>
      </c>
      <c r="I40" s="100" t="s">
        <v>78</v>
      </c>
      <c r="J40" s="100" t="s">
        <v>79</v>
      </c>
      <c r="K40" s="100" t="s">
        <v>80</v>
      </c>
      <c r="L40" s="100" t="s">
        <v>81</v>
      </c>
      <c r="M40" s="100" t="s">
        <v>82</v>
      </c>
      <c r="N40" s="100" t="s">
        <v>83</v>
      </c>
      <c r="O40" s="100" t="s">
        <v>84</v>
      </c>
      <c r="P40" s="100" t="s">
        <v>85</v>
      </c>
      <c r="Q40" s="287" t="s">
        <v>86</v>
      </c>
      <c r="R40" s="288"/>
      <c r="S40" s="288"/>
      <c r="T40" s="288"/>
      <c r="U40" s="288"/>
      <c r="V40" s="288"/>
      <c r="W40" s="288"/>
      <c r="X40" s="311"/>
      <c r="Y40" s="287" t="s">
        <v>87</v>
      </c>
      <c r="Z40" s="288"/>
      <c r="AA40" s="288"/>
      <c r="AB40" s="288"/>
      <c r="AC40" s="288"/>
      <c r="AD40" s="288"/>
      <c r="AE40" s="289"/>
      <c r="AG40" s="26"/>
      <c r="AH40" s="26"/>
      <c r="AI40" s="26"/>
      <c r="AJ40" s="26"/>
      <c r="AK40" s="26"/>
      <c r="AL40" s="26"/>
      <c r="AM40" s="26"/>
      <c r="AN40" s="26"/>
      <c r="AO40" s="26"/>
    </row>
    <row r="41" spans="1:41" ht="50.4" customHeight="1" x14ac:dyDescent="0.3">
      <c r="A41" s="515" t="s">
        <v>118</v>
      </c>
      <c r="B41" s="513">
        <v>1</v>
      </c>
      <c r="C41" s="30" t="s">
        <v>65</v>
      </c>
      <c r="D41" s="31">
        <v>0.15</v>
      </c>
      <c r="E41" s="31">
        <v>0.2</v>
      </c>
      <c r="F41" s="31">
        <v>0.2</v>
      </c>
      <c r="G41" s="31">
        <v>0.2</v>
      </c>
      <c r="H41" s="31">
        <v>0.25</v>
      </c>
      <c r="I41" s="31">
        <v>0</v>
      </c>
      <c r="J41" s="31"/>
      <c r="K41" s="31"/>
      <c r="L41" s="31"/>
      <c r="M41" s="31"/>
      <c r="N41" s="31"/>
      <c r="O41" s="31"/>
      <c r="P41" s="112">
        <f>SUM(D41:O41)</f>
        <v>1</v>
      </c>
      <c r="Q41" s="516" t="s">
        <v>538</v>
      </c>
      <c r="R41" s="517"/>
      <c r="S41" s="517"/>
      <c r="T41" s="517"/>
      <c r="U41" s="517"/>
      <c r="V41" s="517"/>
      <c r="W41" s="517"/>
      <c r="X41" s="518"/>
      <c r="Y41" s="522" t="s">
        <v>539</v>
      </c>
      <c r="Z41" s="523"/>
      <c r="AA41" s="523"/>
      <c r="AB41" s="523"/>
      <c r="AC41" s="523"/>
      <c r="AD41" s="523"/>
      <c r="AE41" s="524"/>
      <c r="AG41" s="26"/>
      <c r="AH41" s="26"/>
      <c r="AI41" s="26"/>
      <c r="AJ41" s="26"/>
      <c r="AK41" s="26"/>
      <c r="AL41" s="26"/>
      <c r="AM41" s="26"/>
      <c r="AN41" s="26"/>
      <c r="AO41" s="26"/>
    </row>
    <row r="42" spans="1:41" ht="50.4" customHeight="1" x14ac:dyDescent="0.3">
      <c r="A42" s="515"/>
      <c r="B42" s="514"/>
      <c r="C42" s="28" t="s">
        <v>66</v>
      </c>
      <c r="D42" s="29">
        <v>0.15</v>
      </c>
      <c r="E42" s="29">
        <v>0.2</v>
      </c>
      <c r="F42" s="29"/>
      <c r="G42" s="29"/>
      <c r="H42" s="29"/>
      <c r="I42" s="29"/>
      <c r="J42" s="29"/>
      <c r="K42" s="29"/>
      <c r="L42" s="29"/>
      <c r="M42" s="29"/>
      <c r="N42" s="29"/>
      <c r="O42" s="29"/>
      <c r="P42" s="112">
        <f t="shared" ref="P42" si="2">SUM(D42:O42)</f>
        <v>0.35</v>
      </c>
      <c r="Q42" s="519"/>
      <c r="R42" s="520"/>
      <c r="S42" s="520"/>
      <c r="T42" s="520"/>
      <c r="U42" s="520"/>
      <c r="V42" s="520"/>
      <c r="W42" s="520"/>
      <c r="X42" s="521"/>
      <c r="Y42" s="525"/>
      <c r="Z42" s="526"/>
      <c r="AA42" s="526"/>
      <c r="AB42" s="526"/>
      <c r="AC42" s="526"/>
      <c r="AD42" s="526"/>
      <c r="AE42" s="527"/>
      <c r="AG42" s="26"/>
      <c r="AH42" s="26"/>
      <c r="AI42" s="26"/>
      <c r="AJ42" s="26"/>
      <c r="AK42" s="26"/>
      <c r="AL42" s="26"/>
      <c r="AM42" s="26"/>
      <c r="AN42" s="26"/>
      <c r="AO42" s="26"/>
    </row>
    <row r="43" spans="1:41" ht="50.4" customHeight="1" x14ac:dyDescent="0.3">
      <c r="A43" s="515" t="s">
        <v>119</v>
      </c>
      <c r="B43" s="513">
        <v>0.5</v>
      </c>
      <c r="C43" s="30" t="s">
        <v>65</v>
      </c>
      <c r="D43" s="148">
        <v>0</v>
      </c>
      <c r="E43" s="148">
        <v>0.25</v>
      </c>
      <c r="F43" s="148">
        <v>0.25</v>
      </c>
      <c r="G43" s="148">
        <v>0.25</v>
      </c>
      <c r="H43" s="148">
        <v>0.25</v>
      </c>
      <c r="I43" s="148">
        <v>0</v>
      </c>
      <c r="J43" s="31"/>
      <c r="K43" s="31"/>
      <c r="L43" s="31"/>
      <c r="M43" s="31"/>
      <c r="N43" s="31"/>
      <c r="O43" s="31"/>
      <c r="P43" s="112">
        <f>SUM(D43:O43)</f>
        <v>1</v>
      </c>
      <c r="Q43" s="417" t="s">
        <v>540</v>
      </c>
      <c r="R43" s="418"/>
      <c r="S43" s="418"/>
      <c r="T43" s="418"/>
      <c r="U43" s="418"/>
      <c r="V43" s="418"/>
      <c r="W43" s="418"/>
      <c r="X43" s="419"/>
      <c r="Y43" s="281" t="s">
        <v>541</v>
      </c>
      <c r="Z43" s="282"/>
      <c r="AA43" s="282"/>
      <c r="AB43" s="282"/>
      <c r="AC43" s="282"/>
      <c r="AD43" s="282"/>
      <c r="AE43" s="283"/>
      <c r="AG43" s="26"/>
      <c r="AH43" s="26"/>
      <c r="AI43" s="26"/>
      <c r="AJ43" s="26"/>
      <c r="AK43" s="26"/>
      <c r="AL43" s="26"/>
      <c r="AM43" s="26"/>
      <c r="AN43" s="26"/>
      <c r="AO43" s="26"/>
    </row>
    <row r="44" spans="1:41" ht="50.4" customHeight="1" x14ac:dyDescent="0.3">
      <c r="A44" s="515"/>
      <c r="B44" s="514"/>
      <c r="C44" s="28" t="s">
        <v>66</v>
      </c>
      <c r="D44" s="29">
        <v>0</v>
      </c>
      <c r="E44" s="29">
        <v>0.25</v>
      </c>
      <c r="F44" s="29"/>
      <c r="G44" s="29"/>
      <c r="H44" s="29"/>
      <c r="I44" s="29"/>
      <c r="J44" s="29"/>
      <c r="K44" s="29"/>
      <c r="L44" s="29"/>
      <c r="M44" s="29"/>
      <c r="N44" s="29"/>
      <c r="O44" s="29"/>
      <c r="P44" s="112">
        <f t="shared" ref="P44:P54" si="3">SUM(D44:O44)</f>
        <v>0.25</v>
      </c>
      <c r="Q44" s="420"/>
      <c r="R44" s="421"/>
      <c r="S44" s="421"/>
      <c r="T44" s="421"/>
      <c r="U44" s="421"/>
      <c r="V44" s="421"/>
      <c r="W44" s="421"/>
      <c r="X44" s="422"/>
      <c r="Y44" s="284"/>
      <c r="Z44" s="285"/>
      <c r="AA44" s="285"/>
      <c r="AB44" s="285"/>
      <c r="AC44" s="285"/>
      <c r="AD44" s="285"/>
      <c r="AE44" s="286"/>
      <c r="AG44" s="26"/>
      <c r="AH44" s="26"/>
      <c r="AI44" s="26"/>
      <c r="AJ44" s="26"/>
      <c r="AK44" s="26"/>
      <c r="AL44" s="26"/>
      <c r="AM44" s="26"/>
      <c r="AN44" s="26"/>
      <c r="AO44" s="26"/>
    </row>
    <row r="45" spans="1:41" ht="50.4" customHeight="1" x14ac:dyDescent="0.3">
      <c r="A45" s="515" t="s">
        <v>120</v>
      </c>
      <c r="B45" s="513">
        <v>1</v>
      </c>
      <c r="C45" s="30" t="s">
        <v>65</v>
      </c>
      <c r="D45" s="148">
        <v>0</v>
      </c>
      <c r="E45" s="148">
        <v>0.25</v>
      </c>
      <c r="F45" s="148">
        <v>0.25</v>
      </c>
      <c r="G45" s="148">
        <v>0.25</v>
      </c>
      <c r="H45" s="148">
        <v>0.25</v>
      </c>
      <c r="I45" s="148">
        <v>0</v>
      </c>
      <c r="J45" s="31"/>
      <c r="K45" s="31"/>
      <c r="L45" s="31"/>
      <c r="M45" s="31"/>
      <c r="N45" s="31"/>
      <c r="O45" s="31"/>
      <c r="P45" s="112">
        <f>SUM(D45:O45)</f>
        <v>1</v>
      </c>
      <c r="Q45" s="417" t="s">
        <v>542</v>
      </c>
      <c r="R45" s="418"/>
      <c r="S45" s="418"/>
      <c r="T45" s="418"/>
      <c r="U45" s="418"/>
      <c r="V45" s="418"/>
      <c r="W45" s="418"/>
      <c r="X45" s="419"/>
      <c r="Y45" s="413" t="s">
        <v>457</v>
      </c>
      <c r="Z45" s="282"/>
      <c r="AA45" s="282"/>
      <c r="AB45" s="282"/>
      <c r="AC45" s="282"/>
      <c r="AD45" s="282"/>
      <c r="AE45" s="283"/>
      <c r="AG45" s="26"/>
      <c r="AH45" s="26"/>
      <c r="AI45" s="26"/>
      <c r="AJ45" s="26"/>
      <c r="AK45" s="26"/>
      <c r="AL45" s="26"/>
      <c r="AM45" s="26"/>
      <c r="AN45" s="26"/>
      <c r="AO45" s="26"/>
    </row>
    <row r="46" spans="1:41" ht="50.4" customHeight="1" x14ac:dyDescent="0.3">
      <c r="A46" s="515"/>
      <c r="B46" s="514"/>
      <c r="C46" s="28" t="s">
        <v>66</v>
      </c>
      <c r="D46" s="29">
        <v>0</v>
      </c>
      <c r="E46" s="29">
        <v>0.25</v>
      </c>
      <c r="F46" s="29"/>
      <c r="G46" s="29"/>
      <c r="H46" s="29"/>
      <c r="I46" s="29"/>
      <c r="J46" s="29"/>
      <c r="K46" s="29"/>
      <c r="L46" s="29"/>
      <c r="M46" s="29"/>
      <c r="N46" s="29"/>
      <c r="O46" s="29"/>
      <c r="P46" s="112">
        <f t="shared" si="3"/>
        <v>0.25</v>
      </c>
      <c r="Q46" s="420"/>
      <c r="R46" s="421"/>
      <c r="S46" s="421"/>
      <c r="T46" s="421"/>
      <c r="U46" s="421"/>
      <c r="V46" s="421"/>
      <c r="W46" s="421"/>
      <c r="X46" s="422"/>
      <c r="Y46" s="284"/>
      <c r="Z46" s="285"/>
      <c r="AA46" s="285"/>
      <c r="AB46" s="285"/>
      <c r="AC46" s="285"/>
      <c r="AD46" s="285"/>
      <c r="AE46" s="286"/>
      <c r="AG46" s="26"/>
      <c r="AH46" s="26"/>
      <c r="AI46" s="26"/>
      <c r="AJ46" s="26"/>
      <c r="AK46" s="26"/>
      <c r="AL46" s="26"/>
      <c r="AM46" s="26"/>
      <c r="AN46" s="26"/>
      <c r="AO46" s="26"/>
    </row>
    <row r="47" spans="1:41" ht="50.4" customHeight="1" x14ac:dyDescent="0.3">
      <c r="A47" s="509" t="s">
        <v>121</v>
      </c>
      <c r="B47" s="513">
        <v>1</v>
      </c>
      <c r="C47" s="30" t="s">
        <v>65</v>
      </c>
      <c r="D47" s="148">
        <v>0</v>
      </c>
      <c r="E47" s="148">
        <v>0.25</v>
      </c>
      <c r="F47" s="148">
        <v>0.25</v>
      </c>
      <c r="G47" s="148">
        <v>0.25</v>
      </c>
      <c r="H47" s="148">
        <v>0.25</v>
      </c>
      <c r="I47" s="148">
        <v>0</v>
      </c>
      <c r="J47" s="31"/>
      <c r="K47" s="31"/>
      <c r="L47" s="31"/>
      <c r="M47" s="31"/>
      <c r="N47" s="31"/>
      <c r="O47" s="31"/>
      <c r="P47" s="112">
        <f>SUM(D47:O47)</f>
        <v>1</v>
      </c>
      <c r="Q47" s="417" t="s">
        <v>543</v>
      </c>
      <c r="R47" s="418"/>
      <c r="S47" s="418"/>
      <c r="T47" s="418"/>
      <c r="U47" s="418"/>
      <c r="V47" s="418"/>
      <c r="W47" s="418"/>
      <c r="X47" s="419"/>
      <c r="Y47" s="413" t="s">
        <v>457</v>
      </c>
      <c r="Z47" s="282"/>
      <c r="AA47" s="282"/>
      <c r="AB47" s="282"/>
      <c r="AC47" s="282"/>
      <c r="AD47" s="282"/>
      <c r="AE47" s="283"/>
      <c r="AG47" s="26"/>
      <c r="AH47" s="26"/>
      <c r="AI47" s="26"/>
      <c r="AJ47" s="26"/>
      <c r="AK47" s="26"/>
      <c r="AL47" s="26"/>
      <c r="AM47" s="26"/>
      <c r="AN47" s="26"/>
      <c r="AO47" s="26"/>
    </row>
    <row r="48" spans="1:41" ht="50.4" customHeight="1" x14ac:dyDescent="0.3">
      <c r="A48" s="509"/>
      <c r="B48" s="514"/>
      <c r="C48" s="28" t="s">
        <v>66</v>
      </c>
      <c r="D48" s="29">
        <v>0</v>
      </c>
      <c r="E48" s="29">
        <v>0.25</v>
      </c>
      <c r="F48" s="29"/>
      <c r="G48" s="29"/>
      <c r="H48" s="29"/>
      <c r="I48" s="29"/>
      <c r="J48" s="29"/>
      <c r="K48" s="29"/>
      <c r="L48" s="29"/>
      <c r="M48" s="29"/>
      <c r="N48" s="29"/>
      <c r="O48" s="29"/>
      <c r="P48" s="112">
        <f t="shared" si="3"/>
        <v>0.25</v>
      </c>
      <c r="Q48" s="420"/>
      <c r="R48" s="421"/>
      <c r="S48" s="421"/>
      <c r="T48" s="421"/>
      <c r="U48" s="421"/>
      <c r="V48" s="421"/>
      <c r="W48" s="421"/>
      <c r="X48" s="422"/>
      <c r="Y48" s="284"/>
      <c r="Z48" s="285"/>
      <c r="AA48" s="285"/>
      <c r="AB48" s="285"/>
      <c r="AC48" s="285"/>
      <c r="AD48" s="285"/>
      <c r="AE48" s="286"/>
      <c r="AG48" s="26"/>
      <c r="AH48" s="26"/>
      <c r="AI48" s="26"/>
      <c r="AJ48" s="26"/>
      <c r="AK48" s="26"/>
      <c r="AL48" s="26"/>
      <c r="AM48" s="26"/>
      <c r="AN48" s="26"/>
      <c r="AO48" s="26"/>
    </row>
    <row r="49" spans="1:41" ht="50.4" customHeight="1" x14ac:dyDescent="0.3">
      <c r="A49" s="509" t="s">
        <v>122</v>
      </c>
      <c r="B49" s="513">
        <v>0.5</v>
      </c>
      <c r="C49" s="30" t="s">
        <v>65</v>
      </c>
      <c r="D49" s="148">
        <v>0</v>
      </c>
      <c r="E49" s="148">
        <v>0.25</v>
      </c>
      <c r="F49" s="148">
        <v>0.25</v>
      </c>
      <c r="G49" s="148">
        <v>0.25</v>
      </c>
      <c r="H49" s="148">
        <v>0.25</v>
      </c>
      <c r="I49" s="148">
        <v>0</v>
      </c>
      <c r="J49" s="31"/>
      <c r="K49" s="31"/>
      <c r="L49" s="31"/>
      <c r="M49" s="31"/>
      <c r="N49" s="31"/>
      <c r="O49" s="31"/>
      <c r="P49" s="112">
        <f t="shared" si="3"/>
        <v>1</v>
      </c>
      <c r="Q49" s="417" t="s">
        <v>544</v>
      </c>
      <c r="R49" s="418"/>
      <c r="S49" s="418"/>
      <c r="T49" s="418"/>
      <c r="U49" s="418"/>
      <c r="V49" s="418"/>
      <c r="W49" s="418"/>
      <c r="X49" s="419"/>
      <c r="Y49" s="281" t="s">
        <v>545</v>
      </c>
      <c r="Z49" s="282"/>
      <c r="AA49" s="282"/>
      <c r="AB49" s="282"/>
      <c r="AC49" s="282"/>
      <c r="AD49" s="282"/>
      <c r="AE49" s="283"/>
      <c r="AG49" s="27"/>
      <c r="AH49" s="27"/>
      <c r="AI49" s="27"/>
      <c r="AJ49" s="27"/>
      <c r="AK49" s="27"/>
      <c r="AL49" s="27"/>
      <c r="AM49" s="27"/>
      <c r="AN49" s="27"/>
      <c r="AO49" s="27"/>
    </row>
    <row r="50" spans="1:41" ht="50.4" customHeight="1" x14ac:dyDescent="0.3">
      <c r="A50" s="509"/>
      <c r="B50" s="514"/>
      <c r="C50" s="28" t="s">
        <v>66</v>
      </c>
      <c r="D50" s="29">
        <v>0</v>
      </c>
      <c r="E50" s="29">
        <v>0.25</v>
      </c>
      <c r="F50" s="29"/>
      <c r="G50" s="29"/>
      <c r="H50" s="29"/>
      <c r="I50" s="29"/>
      <c r="J50" s="29"/>
      <c r="K50" s="29"/>
      <c r="L50" s="29"/>
      <c r="M50" s="29"/>
      <c r="N50" s="29"/>
      <c r="O50" s="29"/>
      <c r="P50" s="112">
        <f t="shared" si="3"/>
        <v>0.25</v>
      </c>
      <c r="Q50" s="420"/>
      <c r="R50" s="421"/>
      <c r="S50" s="421"/>
      <c r="T50" s="421"/>
      <c r="U50" s="421"/>
      <c r="V50" s="421"/>
      <c r="W50" s="421"/>
      <c r="X50" s="422"/>
      <c r="Y50" s="284"/>
      <c r="Z50" s="285"/>
      <c r="AA50" s="285"/>
      <c r="AB50" s="285"/>
      <c r="AC50" s="285"/>
      <c r="AD50" s="285"/>
      <c r="AE50" s="286"/>
    </row>
    <row r="51" spans="1:41" ht="50.4" customHeight="1" x14ac:dyDescent="0.3">
      <c r="A51" s="509" t="s">
        <v>123</v>
      </c>
      <c r="B51" s="513">
        <v>0.5</v>
      </c>
      <c r="C51" s="30" t="s">
        <v>65</v>
      </c>
      <c r="D51" s="148">
        <v>0</v>
      </c>
      <c r="E51" s="148">
        <v>0.25</v>
      </c>
      <c r="F51" s="148">
        <v>0.25</v>
      </c>
      <c r="G51" s="148">
        <v>0.25</v>
      </c>
      <c r="H51" s="148">
        <v>0.25</v>
      </c>
      <c r="I51" s="148">
        <v>0</v>
      </c>
      <c r="J51" s="31"/>
      <c r="K51" s="31"/>
      <c r="L51" s="31"/>
      <c r="M51" s="31"/>
      <c r="N51" s="31"/>
      <c r="O51" s="31"/>
      <c r="P51" s="112">
        <f t="shared" si="3"/>
        <v>1</v>
      </c>
      <c r="Q51" s="417" t="s">
        <v>546</v>
      </c>
      <c r="R51" s="418"/>
      <c r="S51" s="418"/>
      <c r="T51" s="418"/>
      <c r="U51" s="418"/>
      <c r="V51" s="418"/>
      <c r="W51" s="418"/>
      <c r="X51" s="419"/>
      <c r="Y51" s="413" t="s">
        <v>457</v>
      </c>
      <c r="Z51" s="282"/>
      <c r="AA51" s="282"/>
      <c r="AB51" s="282"/>
      <c r="AC51" s="282"/>
      <c r="AD51" s="282"/>
      <c r="AE51" s="283"/>
    </row>
    <row r="52" spans="1:41" ht="50.4" customHeight="1" x14ac:dyDescent="0.3">
      <c r="A52" s="509"/>
      <c r="B52" s="514"/>
      <c r="C52" s="28" t="s">
        <v>66</v>
      </c>
      <c r="D52" s="29">
        <v>0</v>
      </c>
      <c r="E52" s="29">
        <v>0.25</v>
      </c>
      <c r="F52" s="29"/>
      <c r="G52" s="29"/>
      <c r="H52" s="29"/>
      <c r="I52" s="29"/>
      <c r="J52" s="29"/>
      <c r="K52" s="29"/>
      <c r="L52" s="29"/>
      <c r="M52" s="29"/>
      <c r="N52" s="29"/>
      <c r="O52" s="29"/>
      <c r="P52" s="112">
        <f t="shared" si="3"/>
        <v>0.25</v>
      </c>
      <c r="Q52" s="420"/>
      <c r="R52" s="421"/>
      <c r="S52" s="421"/>
      <c r="T52" s="421"/>
      <c r="U52" s="421"/>
      <c r="V52" s="421"/>
      <c r="W52" s="421"/>
      <c r="X52" s="422"/>
      <c r="Y52" s="284"/>
      <c r="Z52" s="285"/>
      <c r="AA52" s="285"/>
      <c r="AB52" s="285"/>
      <c r="AC52" s="285"/>
      <c r="AD52" s="285"/>
      <c r="AE52" s="286"/>
    </row>
    <row r="53" spans="1:41" ht="50.4" customHeight="1" x14ac:dyDescent="0.3">
      <c r="A53" s="509" t="s">
        <v>124</v>
      </c>
      <c r="B53" s="511">
        <v>0.5</v>
      </c>
      <c r="C53" s="30" t="s">
        <v>65</v>
      </c>
      <c r="D53" s="148">
        <v>0</v>
      </c>
      <c r="E53" s="148">
        <v>0.25</v>
      </c>
      <c r="F53" s="148">
        <v>0.25</v>
      </c>
      <c r="G53" s="148">
        <v>0.25</v>
      </c>
      <c r="H53" s="148">
        <v>0.25</v>
      </c>
      <c r="I53" s="148">
        <v>0</v>
      </c>
      <c r="J53" s="31"/>
      <c r="K53" s="31"/>
      <c r="L53" s="31"/>
      <c r="M53" s="31"/>
      <c r="N53" s="31"/>
      <c r="O53" s="31"/>
      <c r="P53" s="112">
        <f t="shared" si="3"/>
        <v>1</v>
      </c>
      <c r="Q53" s="417" t="s">
        <v>547</v>
      </c>
      <c r="R53" s="418"/>
      <c r="S53" s="418"/>
      <c r="T53" s="418"/>
      <c r="U53" s="418"/>
      <c r="V53" s="418"/>
      <c r="W53" s="418"/>
      <c r="X53" s="419"/>
      <c r="Y53" s="281" t="s">
        <v>548</v>
      </c>
      <c r="Z53" s="282"/>
      <c r="AA53" s="282"/>
      <c r="AB53" s="282"/>
      <c r="AC53" s="282"/>
      <c r="AD53" s="282"/>
      <c r="AE53" s="283"/>
    </row>
    <row r="54" spans="1:41" ht="50.4" customHeight="1" thickBot="1" x14ac:dyDescent="0.35">
      <c r="A54" s="510"/>
      <c r="B54" s="512"/>
      <c r="C54" s="28" t="s">
        <v>66</v>
      </c>
      <c r="D54" s="29">
        <v>0</v>
      </c>
      <c r="E54" s="29">
        <v>0.25</v>
      </c>
      <c r="F54" s="29"/>
      <c r="G54" s="29"/>
      <c r="H54" s="29"/>
      <c r="I54" s="29"/>
      <c r="J54" s="29"/>
      <c r="K54" s="29"/>
      <c r="L54" s="29"/>
      <c r="M54" s="29"/>
      <c r="N54" s="29"/>
      <c r="O54" s="29"/>
      <c r="P54" s="112">
        <f t="shared" si="3"/>
        <v>0.25</v>
      </c>
      <c r="Q54" s="420"/>
      <c r="R54" s="421"/>
      <c r="S54" s="421"/>
      <c r="T54" s="421"/>
      <c r="U54" s="421"/>
      <c r="V54" s="421"/>
      <c r="W54" s="421"/>
      <c r="X54" s="422"/>
      <c r="Y54" s="284"/>
      <c r="Z54" s="285"/>
      <c r="AA54" s="285"/>
      <c r="AB54" s="285"/>
      <c r="AC54" s="285"/>
      <c r="AD54" s="285"/>
      <c r="AE54" s="286"/>
    </row>
    <row r="55" spans="1:41" x14ac:dyDescent="0.3">
      <c r="A55" s="254" t="s">
        <v>92</v>
      </c>
    </row>
    <row r="56" spans="1:41" x14ac:dyDescent="0.3">
      <c r="A56" s="254"/>
    </row>
    <row r="57" spans="1:41" x14ac:dyDescent="0.3">
      <c r="A57" s="254"/>
    </row>
    <row r="58" spans="1:41" x14ac:dyDescent="0.3">
      <c r="A58" s="254"/>
    </row>
    <row r="59" spans="1:41" x14ac:dyDescent="0.3">
      <c r="A59" s="254"/>
    </row>
    <row r="60" spans="1:41" x14ac:dyDescent="0.3">
      <c r="A60" s="254"/>
    </row>
    <row r="61" spans="1:41" x14ac:dyDescent="0.3">
      <c r="A61" s="254"/>
    </row>
    <row r="62" spans="1:41" x14ac:dyDescent="0.3">
      <c r="A62" s="254"/>
    </row>
    <row r="63" spans="1:41" x14ac:dyDescent="0.3">
      <c r="A63" s="254"/>
    </row>
    <row r="64" spans="1:41" x14ac:dyDescent="0.3">
      <c r="A64" s="254"/>
    </row>
    <row r="65" spans="1:30" x14ac:dyDescent="0.3">
      <c r="A65" s="254"/>
    </row>
    <row r="66" spans="1:30" ht="15" thickBot="1" x14ac:dyDescent="0.35">
      <c r="A66" s="254"/>
    </row>
    <row r="67" spans="1:30" x14ac:dyDescent="0.3">
      <c r="A67" s="268" t="s">
        <v>68</v>
      </c>
      <c r="B67" s="270" t="s">
        <v>69</v>
      </c>
      <c r="C67" s="272" t="s">
        <v>71</v>
      </c>
      <c r="D67" s="273"/>
      <c r="E67" s="273"/>
      <c r="F67" s="273"/>
      <c r="G67" s="273"/>
      <c r="H67" s="273"/>
      <c r="I67" s="273"/>
      <c r="J67" s="273"/>
      <c r="K67" s="273"/>
      <c r="L67" s="273"/>
      <c r="M67" s="273"/>
      <c r="N67" s="273"/>
      <c r="O67" s="273"/>
      <c r="P67" s="274"/>
      <c r="Q67" s="215"/>
      <c r="R67" s="215"/>
      <c r="S67" s="216"/>
      <c r="T67" s="216"/>
      <c r="U67" s="216"/>
      <c r="V67" s="216"/>
      <c r="W67" s="216"/>
      <c r="X67" s="216"/>
      <c r="Y67" s="216"/>
      <c r="Z67" s="216"/>
      <c r="AA67" s="216"/>
      <c r="AB67" s="216"/>
      <c r="AC67" s="216"/>
      <c r="AD67" s="216"/>
    </row>
    <row r="68" spans="1:30" x14ac:dyDescent="0.3">
      <c r="A68" s="269"/>
      <c r="B68" s="271"/>
      <c r="C68" s="217" t="s">
        <v>70</v>
      </c>
      <c r="D68" s="217" t="s">
        <v>73</v>
      </c>
      <c r="E68" s="217" t="s">
        <v>74</v>
      </c>
      <c r="F68" s="217" t="s">
        <v>75</v>
      </c>
      <c r="G68" s="217" t="s">
        <v>76</v>
      </c>
      <c r="H68" s="217" t="s">
        <v>77</v>
      </c>
      <c r="I68" s="217" t="s">
        <v>78</v>
      </c>
      <c r="J68" s="217" t="s">
        <v>79</v>
      </c>
      <c r="K68" s="217" t="s">
        <v>80</v>
      </c>
      <c r="L68" s="217" t="s">
        <v>81</v>
      </c>
      <c r="M68" s="217" t="s">
        <v>82</v>
      </c>
      <c r="N68" s="217" t="s">
        <v>83</v>
      </c>
      <c r="O68" s="217" t="s">
        <v>84</v>
      </c>
      <c r="P68" s="218" t="s">
        <v>85</v>
      </c>
      <c r="Q68" s="215"/>
      <c r="R68" s="215"/>
      <c r="S68" s="216"/>
      <c r="T68" s="216"/>
      <c r="U68" s="216"/>
      <c r="V68" s="216"/>
      <c r="W68" s="216"/>
      <c r="X68" s="216"/>
      <c r="Y68" s="216"/>
      <c r="Z68" s="216"/>
      <c r="AA68" s="216"/>
      <c r="AB68" s="216"/>
      <c r="AC68" s="216"/>
      <c r="AD68" s="216"/>
    </row>
    <row r="69" spans="1:30" ht="18" customHeight="1" x14ac:dyDescent="0.3">
      <c r="A69" s="264" t="str">
        <f>A41</f>
        <v>23. Acompañar técnica y operativamente el desarrollo de la Mesa coordinadora, el Espacio Ampliado y cuando se solicite por parte del CCM la plenaria del espacio autónomo.</v>
      </c>
      <c r="B69" s="405">
        <f>B41</f>
        <v>1</v>
      </c>
      <c r="C69" s="219" t="s">
        <v>65</v>
      </c>
      <c r="D69" s="220">
        <f>D41*$B$41/$P$41</f>
        <v>0.15</v>
      </c>
      <c r="E69" s="220">
        <f t="shared" ref="E69:O70" si="4">E41*$B$41/$P$41</f>
        <v>0.2</v>
      </c>
      <c r="F69" s="220">
        <f t="shared" si="4"/>
        <v>0.2</v>
      </c>
      <c r="G69" s="220">
        <f t="shared" si="4"/>
        <v>0.2</v>
      </c>
      <c r="H69" s="220">
        <f t="shared" si="4"/>
        <v>0.25</v>
      </c>
      <c r="I69" s="220">
        <f t="shared" si="4"/>
        <v>0</v>
      </c>
      <c r="J69" s="220">
        <f t="shared" si="4"/>
        <v>0</v>
      </c>
      <c r="K69" s="220">
        <f t="shared" si="4"/>
        <v>0</v>
      </c>
      <c r="L69" s="220">
        <f t="shared" si="4"/>
        <v>0</v>
      </c>
      <c r="M69" s="220">
        <f t="shared" si="4"/>
        <v>0</v>
      </c>
      <c r="N69" s="220">
        <f t="shared" si="4"/>
        <v>0</v>
      </c>
      <c r="O69" s="220">
        <f t="shared" si="4"/>
        <v>0</v>
      </c>
      <c r="P69" s="221">
        <f t="shared" ref="P69:P74" si="5">SUM(D69:O69)</f>
        <v>1</v>
      </c>
      <c r="Q69" s="222"/>
      <c r="R69" s="223"/>
      <c r="S69" s="216"/>
      <c r="T69" s="216"/>
      <c r="U69" s="216"/>
      <c r="V69" s="216"/>
      <c r="W69" s="216"/>
      <c r="X69" s="216"/>
      <c r="Y69" s="216"/>
      <c r="Z69" s="216"/>
      <c r="AA69" s="216"/>
      <c r="AB69" s="216"/>
      <c r="AC69" s="216"/>
      <c r="AD69" s="216"/>
    </row>
    <row r="70" spans="1:30" ht="18" customHeight="1" x14ac:dyDescent="0.3">
      <c r="A70" s="265"/>
      <c r="B70" s="406"/>
      <c r="C70" s="224" t="s">
        <v>66</v>
      </c>
      <c r="D70" s="225">
        <f>D42*$B$41/$P$41</f>
        <v>0.15</v>
      </c>
      <c r="E70" s="225">
        <f t="shared" si="4"/>
        <v>0.2</v>
      </c>
      <c r="F70" s="225">
        <f t="shared" si="4"/>
        <v>0</v>
      </c>
      <c r="G70" s="225">
        <f t="shared" si="4"/>
        <v>0</v>
      </c>
      <c r="H70" s="225">
        <f t="shared" si="4"/>
        <v>0</v>
      </c>
      <c r="I70" s="225">
        <f t="shared" si="4"/>
        <v>0</v>
      </c>
      <c r="J70" s="225">
        <f t="shared" si="4"/>
        <v>0</v>
      </c>
      <c r="K70" s="225">
        <f t="shared" si="4"/>
        <v>0</v>
      </c>
      <c r="L70" s="225">
        <f t="shared" si="4"/>
        <v>0</v>
      </c>
      <c r="M70" s="225">
        <f t="shared" si="4"/>
        <v>0</v>
      </c>
      <c r="N70" s="225">
        <f t="shared" si="4"/>
        <v>0</v>
      </c>
      <c r="O70" s="225">
        <f t="shared" si="4"/>
        <v>0</v>
      </c>
      <c r="P70" s="226">
        <f t="shared" si="5"/>
        <v>0.35</v>
      </c>
      <c r="Q70" s="227"/>
      <c r="R70" s="223"/>
      <c r="S70" s="216"/>
      <c r="T70" s="216"/>
      <c r="U70" s="216"/>
      <c r="V70" s="216"/>
      <c r="W70" s="216"/>
      <c r="X70" s="216"/>
      <c r="Y70" s="216"/>
      <c r="Z70" s="216"/>
      <c r="AA70" s="216"/>
      <c r="AB70" s="216"/>
      <c r="AC70" s="216"/>
      <c r="AD70" s="216"/>
    </row>
    <row r="71" spans="1:30" ht="18" customHeight="1" x14ac:dyDescent="0.3">
      <c r="A71" s="264" t="str">
        <f t="shared" ref="A71:B71" si="6">A43</f>
        <v>24.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71" s="405">
        <f t="shared" si="6"/>
        <v>0.5</v>
      </c>
      <c r="C71" s="219" t="s">
        <v>65</v>
      </c>
      <c r="D71" s="220">
        <f>D43*$B$43/$P$43</f>
        <v>0</v>
      </c>
      <c r="E71" s="220">
        <f t="shared" ref="E71:O72" si="7">E43*$B$43/$P$43</f>
        <v>0.125</v>
      </c>
      <c r="F71" s="220">
        <f t="shared" si="7"/>
        <v>0.125</v>
      </c>
      <c r="G71" s="220">
        <f t="shared" si="7"/>
        <v>0.125</v>
      </c>
      <c r="H71" s="220">
        <f t="shared" si="7"/>
        <v>0.125</v>
      </c>
      <c r="I71" s="220">
        <f t="shared" si="7"/>
        <v>0</v>
      </c>
      <c r="J71" s="220">
        <f t="shared" si="7"/>
        <v>0</v>
      </c>
      <c r="K71" s="220">
        <f t="shared" si="7"/>
        <v>0</v>
      </c>
      <c r="L71" s="220">
        <f t="shared" si="7"/>
        <v>0</v>
      </c>
      <c r="M71" s="220">
        <f t="shared" si="7"/>
        <v>0</v>
      </c>
      <c r="N71" s="220">
        <f t="shared" si="7"/>
        <v>0</v>
      </c>
      <c r="O71" s="220">
        <f t="shared" si="7"/>
        <v>0</v>
      </c>
      <c r="P71" s="221">
        <f t="shared" si="5"/>
        <v>0.5</v>
      </c>
      <c r="Q71" s="222"/>
      <c r="R71" s="223"/>
      <c r="S71" s="216"/>
      <c r="T71" s="216"/>
      <c r="U71" s="216"/>
      <c r="V71" s="216"/>
      <c r="W71" s="216"/>
      <c r="X71" s="216"/>
      <c r="Y71" s="216"/>
      <c r="Z71" s="216"/>
      <c r="AA71" s="216"/>
      <c r="AB71" s="216"/>
      <c r="AC71" s="216"/>
      <c r="AD71" s="216"/>
    </row>
    <row r="72" spans="1:30" ht="18" customHeight="1" x14ac:dyDescent="0.3">
      <c r="A72" s="265"/>
      <c r="B72" s="406"/>
      <c r="C72" s="224" t="s">
        <v>66</v>
      </c>
      <c r="D72" s="225">
        <f>D44*$B$43/$P$43</f>
        <v>0</v>
      </c>
      <c r="E72" s="225">
        <f t="shared" si="7"/>
        <v>0.125</v>
      </c>
      <c r="F72" s="225">
        <f t="shared" si="7"/>
        <v>0</v>
      </c>
      <c r="G72" s="225">
        <f t="shared" si="7"/>
        <v>0</v>
      </c>
      <c r="H72" s="225">
        <f t="shared" si="7"/>
        <v>0</v>
      </c>
      <c r="I72" s="225">
        <f t="shared" si="7"/>
        <v>0</v>
      </c>
      <c r="J72" s="225">
        <f t="shared" si="7"/>
        <v>0</v>
      </c>
      <c r="K72" s="225">
        <f t="shared" si="7"/>
        <v>0</v>
      </c>
      <c r="L72" s="225">
        <f t="shared" si="7"/>
        <v>0</v>
      </c>
      <c r="M72" s="225">
        <f t="shared" si="7"/>
        <v>0</v>
      </c>
      <c r="N72" s="225">
        <f t="shared" si="7"/>
        <v>0</v>
      </c>
      <c r="O72" s="225">
        <f t="shared" si="7"/>
        <v>0</v>
      </c>
      <c r="P72" s="226">
        <f t="shared" si="5"/>
        <v>0.125</v>
      </c>
      <c r="Q72" s="227"/>
      <c r="R72" s="223"/>
      <c r="S72" s="216"/>
      <c r="T72" s="216"/>
      <c r="U72" s="216"/>
      <c r="V72" s="216"/>
      <c r="W72" s="216"/>
      <c r="X72" s="216"/>
      <c r="Y72" s="216"/>
      <c r="Z72" s="216"/>
      <c r="AA72" s="216"/>
      <c r="AB72" s="216"/>
      <c r="AC72" s="216"/>
      <c r="AD72" s="216"/>
    </row>
    <row r="73" spans="1:30" ht="18" customHeight="1" x14ac:dyDescent="0.3">
      <c r="A73" s="264" t="str">
        <f t="shared" ref="A73:B73" si="8">A45</f>
        <v>25. Acompañar técnicamente el desarrollo de comisiones de trabajo del Espacio Autónomo del Consejo Consultivo de Mujeres.</v>
      </c>
      <c r="B73" s="405">
        <f t="shared" si="8"/>
        <v>1</v>
      </c>
      <c r="C73" s="219" t="s">
        <v>65</v>
      </c>
      <c r="D73" s="220">
        <f>D45*$B$45/$P$45</f>
        <v>0</v>
      </c>
      <c r="E73" s="220">
        <f t="shared" ref="E73:O74" si="9">E45*$B$45/$P$45</f>
        <v>0.25</v>
      </c>
      <c r="F73" s="220">
        <f t="shared" si="9"/>
        <v>0.25</v>
      </c>
      <c r="G73" s="220">
        <f t="shared" si="9"/>
        <v>0.25</v>
      </c>
      <c r="H73" s="220">
        <f t="shared" si="9"/>
        <v>0.25</v>
      </c>
      <c r="I73" s="220">
        <f t="shared" si="9"/>
        <v>0</v>
      </c>
      <c r="J73" s="220">
        <f t="shared" si="9"/>
        <v>0</v>
      </c>
      <c r="K73" s="220">
        <f t="shared" si="9"/>
        <v>0</v>
      </c>
      <c r="L73" s="220">
        <f t="shared" si="9"/>
        <v>0</v>
      </c>
      <c r="M73" s="220">
        <f t="shared" si="9"/>
        <v>0</v>
      </c>
      <c r="N73" s="220">
        <f t="shared" si="9"/>
        <v>0</v>
      </c>
      <c r="O73" s="220">
        <f t="shared" si="9"/>
        <v>0</v>
      </c>
      <c r="P73" s="221">
        <f t="shared" si="5"/>
        <v>1</v>
      </c>
      <c r="Q73" s="222"/>
      <c r="R73" s="223"/>
      <c r="S73" s="216"/>
      <c r="T73" s="216"/>
      <c r="U73" s="216"/>
      <c r="V73" s="216"/>
      <c r="W73" s="216"/>
      <c r="X73" s="216"/>
      <c r="Y73" s="216"/>
      <c r="Z73" s="216"/>
      <c r="AA73" s="216"/>
      <c r="AB73" s="216"/>
      <c r="AC73" s="216"/>
      <c r="AD73" s="216"/>
    </row>
    <row r="74" spans="1:30" ht="18" customHeight="1" x14ac:dyDescent="0.3">
      <c r="A74" s="265"/>
      <c r="B74" s="406"/>
      <c r="C74" s="224" t="s">
        <v>66</v>
      </c>
      <c r="D74" s="225">
        <f>D46*$B$45/$P$45</f>
        <v>0</v>
      </c>
      <c r="E74" s="225">
        <f t="shared" si="9"/>
        <v>0.25</v>
      </c>
      <c r="F74" s="225">
        <f t="shared" si="9"/>
        <v>0</v>
      </c>
      <c r="G74" s="225">
        <f t="shared" si="9"/>
        <v>0</v>
      </c>
      <c r="H74" s="225">
        <f t="shared" si="9"/>
        <v>0</v>
      </c>
      <c r="I74" s="225">
        <f t="shared" si="9"/>
        <v>0</v>
      </c>
      <c r="J74" s="225">
        <f t="shared" si="9"/>
        <v>0</v>
      </c>
      <c r="K74" s="225">
        <f t="shared" si="9"/>
        <v>0</v>
      </c>
      <c r="L74" s="225">
        <f t="shared" si="9"/>
        <v>0</v>
      </c>
      <c r="M74" s="225">
        <f t="shared" si="9"/>
        <v>0</v>
      </c>
      <c r="N74" s="225">
        <f t="shared" si="9"/>
        <v>0</v>
      </c>
      <c r="O74" s="225">
        <f t="shared" si="9"/>
        <v>0</v>
      </c>
      <c r="P74" s="226">
        <f t="shared" si="5"/>
        <v>0.25</v>
      </c>
      <c r="Q74" s="227"/>
      <c r="R74" s="223"/>
      <c r="S74" s="216"/>
      <c r="T74" s="216"/>
      <c r="U74" s="216"/>
      <c r="V74" s="216"/>
      <c r="W74" s="216"/>
      <c r="X74" s="216"/>
      <c r="Y74" s="216"/>
      <c r="Z74" s="216"/>
      <c r="AA74" s="216"/>
      <c r="AB74" s="216"/>
      <c r="AC74" s="216"/>
      <c r="AD74" s="216"/>
    </row>
    <row r="75" spans="1:30" ht="18" customHeight="1" x14ac:dyDescent="0.3">
      <c r="A75" s="264" t="str">
        <f t="shared" ref="A75:B75" si="10">A47</f>
        <v>26. Acompañar técnicamente la transversalización del enfoque de género en el Concejo de Bogotá, con énfasis en las bancadas de mujeres de este órgano</v>
      </c>
      <c r="B75" s="405">
        <f t="shared" si="10"/>
        <v>1</v>
      </c>
      <c r="C75" s="219" t="s">
        <v>65</v>
      </c>
      <c r="D75" s="220">
        <f>D47*$B$47/$P$47</f>
        <v>0</v>
      </c>
      <c r="E75" s="220">
        <f t="shared" ref="E75:O76" si="11">E47*$B$47/$P$47</f>
        <v>0.25</v>
      </c>
      <c r="F75" s="220">
        <f t="shared" si="11"/>
        <v>0.25</v>
      </c>
      <c r="G75" s="220">
        <f t="shared" si="11"/>
        <v>0.25</v>
      </c>
      <c r="H75" s="220">
        <f t="shared" si="11"/>
        <v>0.25</v>
      </c>
      <c r="I75" s="220">
        <f t="shared" si="11"/>
        <v>0</v>
      </c>
      <c r="J75" s="220">
        <f t="shared" si="11"/>
        <v>0</v>
      </c>
      <c r="K75" s="220">
        <f t="shared" si="11"/>
        <v>0</v>
      </c>
      <c r="L75" s="220">
        <f t="shared" si="11"/>
        <v>0</v>
      </c>
      <c r="M75" s="220">
        <f t="shared" si="11"/>
        <v>0</v>
      </c>
      <c r="N75" s="220">
        <f t="shared" si="11"/>
        <v>0</v>
      </c>
      <c r="O75" s="220">
        <f t="shared" si="11"/>
        <v>0</v>
      </c>
      <c r="P75" s="221">
        <f t="shared" ref="P75:P82" si="12">SUM(D75:O75)</f>
        <v>1</v>
      </c>
      <c r="Q75" s="222"/>
      <c r="R75" s="223"/>
      <c r="S75" s="216"/>
      <c r="T75" s="216"/>
      <c r="U75" s="216"/>
      <c r="V75" s="216"/>
      <c r="W75" s="216"/>
      <c r="X75" s="216"/>
      <c r="Y75" s="216"/>
      <c r="Z75" s="216"/>
      <c r="AA75" s="216"/>
      <c r="AB75" s="216"/>
      <c r="AC75" s="216"/>
      <c r="AD75" s="216"/>
    </row>
    <row r="76" spans="1:30" ht="18" customHeight="1" x14ac:dyDescent="0.3">
      <c r="A76" s="265"/>
      <c r="B76" s="406"/>
      <c r="C76" s="224" t="s">
        <v>66</v>
      </c>
      <c r="D76" s="225">
        <f>D48*$B$47/$P$47</f>
        <v>0</v>
      </c>
      <c r="E76" s="225">
        <f t="shared" si="11"/>
        <v>0.25</v>
      </c>
      <c r="F76" s="225">
        <f t="shared" si="11"/>
        <v>0</v>
      </c>
      <c r="G76" s="225">
        <f t="shared" si="11"/>
        <v>0</v>
      </c>
      <c r="H76" s="225">
        <f t="shared" si="11"/>
        <v>0</v>
      </c>
      <c r="I76" s="225">
        <f t="shared" si="11"/>
        <v>0</v>
      </c>
      <c r="J76" s="225">
        <f t="shared" si="11"/>
        <v>0</v>
      </c>
      <c r="K76" s="225">
        <f t="shared" si="11"/>
        <v>0</v>
      </c>
      <c r="L76" s="225">
        <f t="shared" si="11"/>
        <v>0</v>
      </c>
      <c r="M76" s="225">
        <f t="shared" si="11"/>
        <v>0</v>
      </c>
      <c r="N76" s="225">
        <f t="shared" si="11"/>
        <v>0</v>
      </c>
      <c r="O76" s="225">
        <f t="shared" si="11"/>
        <v>0</v>
      </c>
      <c r="P76" s="226">
        <f t="shared" si="12"/>
        <v>0.25</v>
      </c>
      <c r="Q76" s="227"/>
      <c r="R76" s="223"/>
      <c r="S76" s="216"/>
      <c r="T76" s="216"/>
      <c r="U76" s="216"/>
      <c r="V76" s="216"/>
      <c r="W76" s="216"/>
      <c r="X76" s="216"/>
      <c r="Y76" s="216"/>
      <c r="Z76" s="216"/>
      <c r="AA76" s="216"/>
      <c r="AB76" s="216"/>
      <c r="AC76" s="216"/>
      <c r="AD76" s="216"/>
    </row>
    <row r="77" spans="1:30" ht="18" customHeight="1" x14ac:dyDescent="0.3">
      <c r="A77" s="264" t="str">
        <f t="shared" ref="A77:B77" si="13">A49</f>
        <v>27. Gestionar, coordinar y acompañar técnicamente las reuniones de la Submesa para la garantía y seguimiento de los derechos de las mujeres, diversidades, disidencias sexuales y de Género.</v>
      </c>
      <c r="B77" s="405">
        <f t="shared" si="13"/>
        <v>0.5</v>
      </c>
      <c r="C77" s="219" t="s">
        <v>65</v>
      </c>
      <c r="D77" s="220">
        <f>D49*$B$49/$P$49</f>
        <v>0</v>
      </c>
      <c r="E77" s="220">
        <f t="shared" ref="E77:O78" si="14">E49*$B$49/$P$49</f>
        <v>0.125</v>
      </c>
      <c r="F77" s="220">
        <f t="shared" si="14"/>
        <v>0.125</v>
      </c>
      <c r="G77" s="220">
        <f t="shared" si="14"/>
        <v>0.125</v>
      </c>
      <c r="H77" s="220">
        <f t="shared" si="14"/>
        <v>0.125</v>
      </c>
      <c r="I77" s="220">
        <f t="shared" si="14"/>
        <v>0</v>
      </c>
      <c r="J77" s="220">
        <f t="shared" si="14"/>
        <v>0</v>
      </c>
      <c r="K77" s="220">
        <f t="shared" si="14"/>
        <v>0</v>
      </c>
      <c r="L77" s="220">
        <f t="shared" si="14"/>
        <v>0</v>
      </c>
      <c r="M77" s="220">
        <f t="shared" si="14"/>
        <v>0</v>
      </c>
      <c r="N77" s="220">
        <f t="shared" si="14"/>
        <v>0</v>
      </c>
      <c r="O77" s="220">
        <f t="shared" si="14"/>
        <v>0</v>
      </c>
      <c r="P77" s="221">
        <f t="shared" si="12"/>
        <v>0.5</v>
      </c>
      <c r="Q77" s="222"/>
      <c r="R77" s="223"/>
      <c r="S77" s="216"/>
      <c r="T77" s="216"/>
      <c r="U77" s="216"/>
      <c r="V77" s="216"/>
      <c r="W77" s="216"/>
      <c r="X77" s="216"/>
      <c r="Y77" s="216"/>
      <c r="Z77" s="216"/>
      <c r="AA77" s="216"/>
      <c r="AB77" s="216"/>
      <c r="AC77" s="216"/>
      <c r="AD77" s="216"/>
    </row>
    <row r="78" spans="1:30" ht="18" customHeight="1" x14ac:dyDescent="0.3">
      <c r="A78" s="265"/>
      <c r="B78" s="406"/>
      <c r="C78" s="224" t="s">
        <v>66</v>
      </c>
      <c r="D78" s="225">
        <f>D50*$B$49/$P$49</f>
        <v>0</v>
      </c>
      <c r="E78" s="225">
        <f t="shared" si="14"/>
        <v>0.125</v>
      </c>
      <c r="F78" s="225">
        <f t="shared" si="14"/>
        <v>0</v>
      </c>
      <c r="G78" s="225">
        <f t="shared" si="14"/>
        <v>0</v>
      </c>
      <c r="H78" s="225">
        <f t="shared" si="14"/>
        <v>0</v>
      </c>
      <c r="I78" s="225">
        <f t="shared" si="14"/>
        <v>0</v>
      </c>
      <c r="J78" s="225">
        <f t="shared" si="14"/>
        <v>0</v>
      </c>
      <c r="K78" s="225">
        <f t="shared" si="14"/>
        <v>0</v>
      </c>
      <c r="L78" s="225">
        <f t="shared" si="14"/>
        <v>0</v>
      </c>
      <c r="M78" s="225">
        <f t="shared" si="14"/>
        <v>0</v>
      </c>
      <c r="N78" s="225">
        <f t="shared" si="14"/>
        <v>0</v>
      </c>
      <c r="O78" s="225">
        <f t="shared" si="14"/>
        <v>0</v>
      </c>
      <c r="P78" s="226">
        <f t="shared" si="12"/>
        <v>0.125</v>
      </c>
      <c r="Q78" s="227"/>
      <c r="R78" s="223"/>
      <c r="S78" s="216"/>
      <c r="T78" s="216"/>
      <c r="U78" s="216"/>
      <c r="V78" s="216"/>
      <c r="W78" s="216"/>
      <c r="X78" s="216"/>
      <c r="Y78" s="216"/>
      <c r="Z78" s="216"/>
      <c r="AA78" s="216"/>
      <c r="AB78" s="216"/>
      <c r="AC78" s="216"/>
      <c r="AD78" s="216"/>
    </row>
    <row r="79" spans="1:30" ht="18" customHeight="1" x14ac:dyDescent="0.3">
      <c r="A79" s="264" t="str">
        <f t="shared" ref="A79:B79" si="15">A51</f>
        <v>28. Realizar acompañamiento técnico al Puesto de mando Unificado (PMU) a los cuales se convoque a la SDMujer, durante las movilizaciones y protesta social que se realicen.</v>
      </c>
      <c r="B79" s="405">
        <f t="shared" si="15"/>
        <v>0.5</v>
      </c>
      <c r="C79" s="219" t="s">
        <v>65</v>
      </c>
      <c r="D79" s="220">
        <f>D51*$B$51/$P$51</f>
        <v>0</v>
      </c>
      <c r="E79" s="220">
        <f t="shared" ref="E79:O80" si="16">E51*$B$51/$P$51</f>
        <v>0.125</v>
      </c>
      <c r="F79" s="220">
        <f t="shared" si="16"/>
        <v>0.125</v>
      </c>
      <c r="G79" s="220">
        <f t="shared" si="16"/>
        <v>0.125</v>
      </c>
      <c r="H79" s="220">
        <f t="shared" si="16"/>
        <v>0.125</v>
      </c>
      <c r="I79" s="220">
        <f t="shared" si="16"/>
        <v>0</v>
      </c>
      <c r="J79" s="220">
        <f t="shared" si="16"/>
        <v>0</v>
      </c>
      <c r="K79" s="220">
        <f t="shared" si="16"/>
        <v>0</v>
      </c>
      <c r="L79" s="220">
        <f t="shared" si="16"/>
        <v>0</v>
      </c>
      <c r="M79" s="220">
        <f t="shared" si="16"/>
        <v>0</v>
      </c>
      <c r="N79" s="220">
        <f t="shared" si="16"/>
        <v>0</v>
      </c>
      <c r="O79" s="220">
        <f t="shared" si="16"/>
        <v>0</v>
      </c>
      <c r="P79" s="221">
        <f t="shared" si="12"/>
        <v>0.5</v>
      </c>
      <c r="Q79" s="222"/>
      <c r="R79" s="223"/>
      <c r="S79" s="216"/>
      <c r="T79" s="216"/>
      <c r="U79" s="216"/>
      <c r="V79" s="216"/>
      <c r="W79" s="216"/>
      <c r="X79" s="216"/>
      <c r="Y79" s="216"/>
      <c r="Z79" s="216"/>
      <c r="AA79" s="216"/>
      <c r="AB79" s="216"/>
      <c r="AC79" s="216"/>
      <c r="AD79" s="216"/>
    </row>
    <row r="80" spans="1:30" ht="18" customHeight="1" x14ac:dyDescent="0.3">
      <c r="A80" s="265"/>
      <c r="B80" s="406"/>
      <c r="C80" s="224" t="s">
        <v>66</v>
      </c>
      <c r="D80" s="225">
        <f>D52*$B$51/$P$51</f>
        <v>0</v>
      </c>
      <c r="E80" s="225">
        <f t="shared" si="16"/>
        <v>0.125</v>
      </c>
      <c r="F80" s="225">
        <f t="shared" si="16"/>
        <v>0</v>
      </c>
      <c r="G80" s="225">
        <f t="shared" si="16"/>
        <v>0</v>
      </c>
      <c r="H80" s="225">
        <f t="shared" si="16"/>
        <v>0</v>
      </c>
      <c r="I80" s="225">
        <f t="shared" si="16"/>
        <v>0</v>
      </c>
      <c r="J80" s="225">
        <f t="shared" si="16"/>
        <v>0</v>
      </c>
      <c r="K80" s="225">
        <f t="shared" si="16"/>
        <v>0</v>
      </c>
      <c r="L80" s="225">
        <f t="shared" si="16"/>
        <v>0</v>
      </c>
      <c r="M80" s="225">
        <f t="shared" si="16"/>
        <v>0</v>
      </c>
      <c r="N80" s="225">
        <f t="shared" si="16"/>
        <v>0</v>
      </c>
      <c r="O80" s="225">
        <f t="shared" si="16"/>
        <v>0</v>
      </c>
      <c r="P80" s="226">
        <f t="shared" si="12"/>
        <v>0.125</v>
      </c>
      <c r="Q80" s="227"/>
      <c r="R80" s="223"/>
      <c r="S80" s="216"/>
      <c r="T80" s="216"/>
      <c r="U80" s="216"/>
      <c r="V80" s="216"/>
      <c r="W80" s="216"/>
      <c r="X80" s="216"/>
      <c r="Y80" s="216"/>
      <c r="Z80" s="216"/>
      <c r="AA80" s="216"/>
      <c r="AB80" s="216"/>
      <c r="AC80" s="216"/>
      <c r="AD80" s="216"/>
    </row>
    <row r="81" spans="1:30" ht="18" customHeight="1" x14ac:dyDescent="0.3">
      <c r="A81" s="264" t="str">
        <f t="shared" ref="A81:B81" si="17">A53</f>
        <v>29. Acompañar técnicamente la transversalización del enfoque de género en dos instancias de participación del Distrito Capital</v>
      </c>
      <c r="B81" s="405">
        <f t="shared" si="17"/>
        <v>0.5</v>
      </c>
      <c r="C81" s="219" t="s">
        <v>65</v>
      </c>
      <c r="D81" s="220">
        <f>D53*$B$53/$P$53</f>
        <v>0</v>
      </c>
      <c r="E81" s="220">
        <f t="shared" ref="E81:O82" si="18">E53*$B$53/$P$53</f>
        <v>0.125</v>
      </c>
      <c r="F81" s="220">
        <f t="shared" si="18"/>
        <v>0.125</v>
      </c>
      <c r="G81" s="220">
        <f t="shared" si="18"/>
        <v>0.125</v>
      </c>
      <c r="H81" s="220">
        <f t="shared" si="18"/>
        <v>0.125</v>
      </c>
      <c r="I81" s="220">
        <f t="shared" si="18"/>
        <v>0</v>
      </c>
      <c r="J81" s="220">
        <f t="shared" si="18"/>
        <v>0</v>
      </c>
      <c r="K81" s="220">
        <f t="shared" si="18"/>
        <v>0</v>
      </c>
      <c r="L81" s="220">
        <f t="shared" si="18"/>
        <v>0</v>
      </c>
      <c r="M81" s="220">
        <f t="shared" si="18"/>
        <v>0</v>
      </c>
      <c r="N81" s="220">
        <f t="shared" si="18"/>
        <v>0</v>
      </c>
      <c r="O81" s="220">
        <f t="shared" si="18"/>
        <v>0</v>
      </c>
      <c r="P81" s="221">
        <f t="shared" si="12"/>
        <v>0.5</v>
      </c>
      <c r="Q81" s="222"/>
      <c r="R81" s="223"/>
      <c r="S81" s="216"/>
      <c r="T81" s="216"/>
      <c r="U81" s="216"/>
      <c r="V81" s="216"/>
      <c r="W81" s="216"/>
      <c r="X81" s="216"/>
      <c r="Y81" s="216"/>
      <c r="Z81" s="216"/>
      <c r="AA81" s="216"/>
      <c r="AB81" s="216"/>
      <c r="AC81" s="216"/>
      <c r="AD81" s="216"/>
    </row>
    <row r="82" spans="1:30" ht="18" customHeight="1" x14ac:dyDescent="0.3">
      <c r="A82" s="265"/>
      <c r="B82" s="406"/>
      <c r="C82" s="224" t="s">
        <v>66</v>
      </c>
      <c r="D82" s="220">
        <f>D54*$B$53/$P$53</f>
        <v>0</v>
      </c>
      <c r="E82" s="220">
        <f t="shared" si="18"/>
        <v>0.125</v>
      </c>
      <c r="F82" s="220">
        <f t="shared" si="18"/>
        <v>0</v>
      </c>
      <c r="G82" s="220">
        <f t="shared" si="18"/>
        <v>0</v>
      </c>
      <c r="H82" s="220">
        <f t="shared" si="18"/>
        <v>0</v>
      </c>
      <c r="I82" s="220">
        <f t="shared" si="18"/>
        <v>0</v>
      </c>
      <c r="J82" s="220">
        <f t="shared" si="18"/>
        <v>0</v>
      </c>
      <c r="K82" s="220">
        <f t="shared" si="18"/>
        <v>0</v>
      </c>
      <c r="L82" s="220">
        <f t="shared" si="18"/>
        <v>0</v>
      </c>
      <c r="M82" s="220">
        <f t="shared" si="18"/>
        <v>0</v>
      </c>
      <c r="N82" s="220">
        <f t="shared" si="18"/>
        <v>0</v>
      </c>
      <c r="O82" s="220">
        <f t="shared" si="18"/>
        <v>0</v>
      </c>
      <c r="P82" s="226">
        <f t="shared" si="12"/>
        <v>0.125</v>
      </c>
      <c r="Q82" s="227"/>
      <c r="R82" s="223"/>
      <c r="S82" s="216"/>
      <c r="T82" s="216"/>
      <c r="U82" s="216"/>
      <c r="V82" s="216"/>
      <c r="W82" s="216"/>
      <c r="X82" s="216"/>
      <c r="Y82" s="216"/>
      <c r="Z82" s="216"/>
      <c r="AA82" s="216"/>
      <c r="AB82" s="216"/>
      <c r="AC82" s="216"/>
      <c r="AD82" s="216"/>
    </row>
    <row r="83" spans="1:30" x14ac:dyDescent="0.3">
      <c r="A83" s="260"/>
      <c r="B83" s="262"/>
      <c r="C83" s="231"/>
      <c r="D83" s="220"/>
      <c r="E83" s="220"/>
      <c r="F83" s="220"/>
      <c r="G83" s="220"/>
      <c r="H83" s="220"/>
      <c r="I83" s="220"/>
      <c r="J83" s="220"/>
      <c r="K83" s="220"/>
      <c r="L83" s="220"/>
      <c r="M83" s="220"/>
      <c r="N83" s="220"/>
      <c r="O83" s="220"/>
      <c r="P83" s="232"/>
      <c r="Q83" s="222"/>
      <c r="R83" s="223"/>
      <c r="S83" s="216"/>
      <c r="T83" s="216"/>
      <c r="U83" s="216"/>
      <c r="V83" s="216"/>
      <c r="W83" s="216"/>
      <c r="X83" s="216"/>
      <c r="Y83" s="216"/>
      <c r="Z83" s="216"/>
      <c r="AA83" s="216"/>
      <c r="AB83" s="216"/>
      <c r="AC83" s="216"/>
      <c r="AD83" s="216"/>
    </row>
    <row r="84" spans="1:30" x14ac:dyDescent="0.3">
      <c r="A84" s="261"/>
      <c r="B84" s="263"/>
      <c r="C84" s="231"/>
      <c r="D84" s="233"/>
      <c r="E84" s="233"/>
      <c r="F84" s="233"/>
      <c r="G84" s="233"/>
      <c r="H84" s="233"/>
      <c r="I84" s="233"/>
      <c r="J84" s="233"/>
      <c r="K84" s="233"/>
      <c r="L84" s="233"/>
      <c r="M84" s="233"/>
      <c r="N84" s="233"/>
      <c r="O84" s="233"/>
      <c r="P84" s="232"/>
      <c r="Q84" s="227"/>
      <c r="R84" s="223"/>
      <c r="S84" s="216"/>
      <c r="T84" s="216"/>
      <c r="U84" s="216"/>
      <c r="V84" s="216"/>
      <c r="W84" s="216"/>
      <c r="X84" s="216"/>
      <c r="Y84" s="216"/>
      <c r="Z84" s="216"/>
      <c r="AA84" s="216"/>
      <c r="AB84" s="216"/>
      <c r="AC84" s="216"/>
      <c r="AD84" s="216"/>
    </row>
    <row r="85" spans="1:30" x14ac:dyDescent="0.3">
      <c r="A85" s="260"/>
      <c r="B85" s="262"/>
      <c r="C85" s="231"/>
      <c r="D85" s="220"/>
      <c r="E85" s="220"/>
      <c r="F85" s="220"/>
      <c r="G85" s="220"/>
      <c r="H85" s="220"/>
      <c r="I85" s="220"/>
      <c r="J85" s="220"/>
      <c r="K85" s="220"/>
      <c r="L85" s="220"/>
      <c r="M85" s="220"/>
      <c r="N85" s="220"/>
      <c r="O85" s="220"/>
      <c r="P85" s="232"/>
      <c r="Q85" s="222"/>
      <c r="R85" s="223"/>
      <c r="S85" s="216"/>
      <c r="T85" s="216"/>
      <c r="U85" s="216"/>
      <c r="V85" s="216"/>
      <c r="W85" s="216"/>
      <c r="X85" s="216"/>
      <c r="Y85" s="216"/>
      <c r="Z85" s="216"/>
      <c r="AA85" s="216"/>
      <c r="AB85" s="216"/>
      <c r="AC85" s="216"/>
      <c r="AD85" s="216"/>
    </row>
    <row r="86" spans="1:30" x14ac:dyDescent="0.3">
      <c r="A86" s="261"/>
      <c r="B86" s="263"/>
      <c r="C86" s="231"/>
      <c r="D86" s="233"/>
      <c r="E86" s="233"/>
      <c r="F86" s="233"/>
      <c r="G86" s="233"/>
      <c r="H86" s="233"/>
      <c r="I86" s="233"/>
      <c r="J86" s="233"/>
      <c r="K86" s="233"/>
      <c r="L86" s="233"/>
      <c r="M86" s="233"/>
      <c r="N86" s="233"/>
      <c r="O86" s="233"/>
      <c r="P86" s="232"/>
      <c r="Q86" s="227"/>
      <c r="R86" s="223"/>
      <c r="S86" s="216"/>
      <c r="T86" s="216"/>
      <c r="U86" s="216"/>
      <c r="V86" s="216"/>
      <c r="W86" s="216"/>
      <c r="X86" s="216"/>
      <c r="Y86" s="216"/>
      <c r="Z86" s="216"/>
      <c r="AA86" s="216"/>
      <c r="AB86" s="216"/>
      <c r="AC86" s="216"/>
      <c r="AD86" s="216"/>
    </row>
    <row r="87" spans="1:30" x14ac:dyDescent="0.3">
      <c r="A87" s="260"/>
      <c r="B87" s="262"/>
      <c r="C87" s="231"/>
      <c r="D87" s="220"/>
      <c r="E87" s="220"/>
      <c r="F87" s="220"/>
      <c r="G87" s="220"/>
      <c r="H87" s="220"/>
      <c r="I87" s="220"/>
      <c r="J87" s="220"/>
      <c r="K87" s="220"/>
      <c r="L87" s="220"/>
      <c r="M87" s="220"/>
      <c r="N87" s="220"/>
      <c r="O87" s="220"/>
      <c r="P87" s="232"/>
      <c r="Q87" s="222"/>
      <c r="R87" s="223"/>
      <c r="S87" s="216"/>
      <c r="T87" s="216"/>
      <c r="U87" s="216"/>
      <c r="V87" s="216"/>
      <c r="W87" s="216"/>
      <c r="X87" s="216"/>
      <c r="Y87" s="216"/>
      <c r="Z87" s="216"/>
      <c r="AA87" s="216"/>
      <c r="AB87" s="216"/>
      <c r="AC87" s="216"/>
      <c r="AD87" s="216"/>
    </row>
    <row r="88" spans="1:30" x14ac:dyDescent="0.3">
      <c r="A88" s="261"/>
      <c r="B88" s="263"/>
      <c r="C88" s="231"/>
      <c r="D88" s="233"/>
      <c r="E88" s="233"/>
      <c r="F88" s="233"/>
      <c r="G88" s="233"/>
      <c r="H88" s="233"/>
      <c r="I88" s="233"/>
      <c r="J88" s="233"/>
      <c r="K88" s="233"/>
      <c r="L88" s="233"/>
      <c r="M88" s="233"/>
      <c r="N88" s="233"/>
      <c r="O88" s="233"/>
      <c r="P88" s="232"/>
      <c r="Q88" s="227"/>
      <c r="R88" s="223"/>
      <c r="S88" s="216"/>
      <c r="T88" s="216"/>
      <c r="U88" s="216"/>
      <c r="V88" s="216"/>
      <c r="W88" s="216"/>
      <c r="X88" s="216"/>
      <c r="Y88" s="216"/>
      <c r="Z88" s="216"/>
      <c r="AA88" s="216"/>
      <c r="AB88" s="216"/>
      <c r="AC88" s="216"/>
      <c r="AD88" s="216"/>
    </row>
    <row r="89" spans="1:30" x14ac:dyDescent="0.3">
      <c r="A89" s="215"/>
      <c r="B89" s="234"/>
      <c r="C89" s="235"/>
      <c r="D89" s="236">
        <f>+D70+D72+D74+D76+D78+D80+D82</f>
        <v>0.15</v>
      </c>
      <c r="E89" s="236">
        <f t="shared" ref="E89:O89" si="19">+E70+E72+E74+E76+E78+E80+E82</f>
        <v>1.2</v>
      </c>
      <c r="F89" s="236">
        <f t="shared" si="19"/>
        <v>0</v>
      </c>
      <c r="G89" s="236">
        <f t="shared" si="19"/>
        <v>0</v>
      </c>
      <c r="H89" s="236">
        <f t="shared" si="19"/>
        <v>0</v>
      </c>
      <c r="I89" s="236">
        <f t="shared" si="19"/>
        <v>0</v>
      </c>
      <c r="J89" s="236">
        <f t="shared" si="19"/>
        <v>0</v>
      </c>
      <c r="K89" s="236">
        <f t="shared" si="19"/>
        <v>0</v>
      </c>
      <c r="L89" s="236">
        <f t="shared" si="19"/>
        <v>0</v>
      </c>
      <c r="M89" s="236">
        <f t="shared" si="19"/>
        <v>0</v>
      </c>
      <c r="N89" s="236">
        <f t="shared" si="19"/>
        <v>0</v>
      </c>
      <c r="O89" s="236">
        <f t="shared" si="19"/>
        <v>0</v>
      </c>
      <c r="P89" s="236">
        <f>+P70+P72+P74+P76+P78+P80+P82</f>
        <v>1.35</v>
      </c>
      <c r="Q89" s="215"/>
      <c r="R89" s="223"/>
      <c r="S89" s="216"/>
      <c r="T89" s="216"/>
      <c r="U89" s="216"/>
      <c r="V89" s="216"/>
      <c r="W89" s="216"/>
      <c r="X89" s="216"/>
      <c r="Y89" s="216"/>
      <c r="Z89" s="216"/>
      <c r="AA89" s="216"/>
      <c r="AB89" s="216"/>
      <c r="AC89" s="216"/>
      <c r="AD89" s="216"/>
    </row>
    <row r="90" spans="1:30" x14ac:dyDescent="0.3">
      <c r="A90" s="215"/>
      <c r="B90" s="237"/>
      <c r="C90" s="238" t="s">
        <v>66</v>
      </c>
      <c r="D90" s="239">
        <f>D89*4/$B$35</f>
        <v>0.12</v>
      </c>
      <c r="E90" s="239">
        <f t="shared" ref="E90:O90" si="20">E89*4/$B$35</f>
        <v>0.96</v>
      </c>
      <c r="F90" s="239">
        <f t="shared" si="20"/>
        <v>0</v>
      </c>
      <c r="G90" s="239">
        <f t="shared" si="20"/>
        <v>0</v>
      </c>
      <c r="H90" s="239">
        <f t="shared" si="20"/>
        <v>0</v>
      </c>
      <c r="I90" s="239">
        <f t="shared" si="20"/>
        <v>0</v>
      </c>
      <c r="J90" s="239">
        <f t="shared" si="20"/>
        <v>0</v>
      </c>
      <c r="K90" s="239">
        <f t="shared" si="20"/>
        <v>0</v>
      </c>
      <c r="L90" s="239">
        <f t="shared" si="20"/>
        <v>0</v>
      </c>
      <c r="M90" s="239">
        <f t="shared" si="20"/>
        <v>0</v>
      </c>
      <c r="N90" s="239">
        <f t="shared" si="20"/>
        <v>0</v>
      </c>
      <c r="O90" s="239">
        <f t="shared" si="20"/>
        <v>0</v>
      </c>
      <c r="P90" s="240">
        <f>SUM(D90:O90)</f>
        <v>1.08</v>
      </c>
      <c r="Q90" s="241"/>
      <c r="R90" s="215"/>
      <c r="S90" s="216"/>
      <c r="T90" s="216"/>
      <c r="U90" s="216"/>
      <c r="V90" s="216"/>
      <c r="W90" s="216"/>
      <c r="X90" s="216"/>
      <c r="Y90" s="216"/>
      <c r="Z90" s="216"/>
      <c r="AA90" s="216"/>
      <c r="AB90" s="216"/>
      <c r="AC90" s="216"/>
      <c r="AD90" s="216"/>
    </row>
    <row r="91" spans="1:30" x14ac:dyDescent="0.3">
      <c r="A91" s="241"/>
      <c r="B91" s="242"/>
      <c r="C91" s="242"/>
      <c r="D91" s="242"/>
      <c r="E91" s="242"/>
      <c r="F91" s="242"/>
      <c r="G91" s="242"/>
      <c r="H91" s="242"/>
      <c r="I91" s="242"/>
      <c r="J91" s="242"/>
      <c r="K91" s="242"/>
      <c r="L91" s="242"/>
      <c r="M91" s="242"/>
      <c r="N91" s="242"/>
      <c r="O91" s="242"/>
      <c r="P91" s="242"/>
      <c r="Q91" s="241"/>
      <c r="R91" s="241"/>
      <c r="S91" s="216"/>
      <c r="T91" s="216"/>
      <c r="U91" s="216"/>
      <c r="V91" s="216"/>
      <c r="W91" s="216"/>
      <c r="X91" s="216"/>
      <c r="Y91" s="216"/>
      <c r="Z91" s="216"/>
      <c r="AA91" s="216"/>
      <c r="AB91" s="216"/>
      <c r="AC91" s="216"/>
      <c r="AD91" s="216"/>
    </row>
    <row r="92" spans="1:30" x14ac:dyDescent="0.3">
      <c r="A92" s="222"/>
      <c r="B92" s="33"/>
      <c r="C92" s="33"/>
      <c r="D92" s="236">
        <f>D69+D71+D73+D75+D77+D79+D81</f>
        <v>0.15</v>
      </c>
      <c r="E92" s="236">
        <f t="shared" ref="E92:O92" si="21">E69+E71+E73+E75+E77+E79+E81</f>
        <v>1.2</v>
      </c>
      <c r="F92" s="236">
        <f t="shared" si="21"/>
        <v>1.2</v>
      </c>
      <c r="G92" s="236">
        <f t="shared" si="21"/>
        <v>1.2</v>
      </c>
      <c r="H92" s="236">
        <f t="shared" si="21"/>
        <v>1.25</v>
      </c>
      <c r="I92" s="236">
        <f t="shared" si="21"/>
        <v>0</v>
      </c>
      <c r="J92" s="236">
        <f t="shared" si="21"/>
        <v>0</v>
      </c>
      <c r="K92" s="236">
        <f t="shared" si="21"/>
        <v>0</v>
      </c>
      <c r="L92" s="236">
        <f t="shared" si="21"/>
        <v>0</v>
      </c>
      <c r="M92" s="236">
        <f t="shared" si="21"/>
        <v>0</v>
      </c>
      <c r="N92" s="236">
        <f t="shared" si="21"/>
        <v>0</v>
      </c>
      <c r="O92" s="236">
        <f t="shared" si="21"/>
        <v>0</v>
      </c>
      <c r="P92" s="236">
        <f>P69+P71+P73+P75+P77+P79+P81</f>
        <v>5</v>
      </c>
      <c r="Q92" s="222"/>
      <c r="R92" s="222"/>
      <c r="S92" s="216"/>
      <c r="T92" s="216"/>
      <c r="U92" s="216"/>
      <c r="V92" s="216"/>
      <c r="W92" s="216"/>
      <c r="X92" s="216"/>
      <c r="Y92" s="216"/>
      <c r="Z92" s="216"/>
      <c r="AA92" s="216"/>
      <c r="AB92" s="216"/>
      <c r="AC92" s="216"/>
      <c r="AD92" s="216"/>
    </row>
    <row r="93" spans="1:30" x14ac:dyDescent="0.3">
      <c r="A93" s="222"/>
      <c r="B93" s="33"/>
      <c r="C93" s="238" t="s">
        <v>65</v>
      </c>
      <c r="D93" s="239">
        <f>D92*4/$B$35</f>
        <v>0.12</v>
      </c>
      <c r="E93" s="239">
        <f t="shared" ref="E93:O93" si="22">E92*4/$B$35</f>
        <v>0.96</v>
      </c>
      <c r="F93" s="239">
        <f t="shared" si="22"/>
        <v>0.96</v>
      </c>
      <c r="G93" s="239">
        <f t="shared" si="22"/>
        <v>0.96</v>
      </c>
      <c r="H93" s="239">
        <f t="shared" si="22"/>
        <v>1</v>
      </c>
      <c r="I93" s="239">
        <f t="shared" si="22"/>
        <v>0</v>
      </c>
      <c r="J93" s="239">
        <f t="shared" si="22"/>
        <v>0</v>
      </c>
      <c r="K93" s="239">
        <f t="shared" si="22"/>
        <v>0</v>
      </c>
      <c r="L93" s="239">
        <f t="shared" si="22"/>
        <v>0</v>
      </c>
      <c r="M93" s="239">
        <f t="shared" si="22"/>
        <v>0</v>
      </c>
      <c r="N93" s="239">
        <f t="shared" si="22"/>
        <v>0</v>
      </c>
      <c r="O93" s="239">
        <f t="shared" si="22"/>
        <v>0</v>
      </c>
      <c r="P93" s="240">
        <f>SUM(D93:O93)</f>
        <v>4</v>
      </c>
      <c r="Q93" s="222"/>
      <c r="R93" s="222"/>
      <c r="S93" s="216"/>
      <c r="T93" s="216"/>
      <c r="U93" s="216"/>
      <c r="V93" s="216"/>
      <c r="W93" s="216"/>
      <c r="X93" s="216"/>
      <c r="Y93" s="216"/>
      <c r="Z93" s="216"/>
      <c r="AA93" s="216"/>
      <c r="AB93" s="216"/>
      <c r="AC93" s="216"/>
      <c r="AD93" s="216"/>
    </row>
    <row r="94" spans="1:30" x14ac:dyDescent="0.3">
      <c r="A94" s="216"/>
      <c r="Q94" s="216"/>
      <c r="R94" s="216"/>
      <c r="S94" s="216"/>
      <c r="T94" s="216"/>
      <c r="U94" s="216"/>
      <c r="V94" s="216"/>
      <c r="W94" s="216"/>
      <c r="X94" s="216"/>
      <c r="Y94" s="216"/>
      <c r="Z94" s="216"/>
      <c r="AA94" s="216"/>
      <c r="AB94" s="216"/>
      <c r="AC94" s="216"/>
      <c r="AD94" s="216"/>
    </row>
  </sheetData>
  <mergeCells count="118">
    <mergeCell ref="A1:A4"/>
    <mergeCell ref="B1:AA1"/>
    <mergeCell ref="AB1:AE1"/>
    <mergeCell ref="B2:AA2"/>
    <mergeCell ref="AB2:AE2"/>
    <mergeCell ref="B3:AA4"/>
    <mergeCell ref="AB3:AE3"/>
    <mergeCell ref="AB4:AE4"/>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7:A48"/>
    <mergeCell ref="B47:B48"/>
    <mergeCell ref="Q47:X48"/>
    <mergeCell ref="Y47:AE48"/>
    <mergeCell ref="A41:A42"/>
    <mergeCell ref="B41:B42"/>
    <mergeCell ref="Q41:X42"/>
    <mergeCell ref="Y41:AE42"/>
    <mergeCell ref="A43:A44"/>
    <mergeCell ref="B43:B44"/>
    <mergeCell ref="Q43:X44"/>
    <mergeCell ref="Y43:AE44"/>
    <mergeCell ref="A53:A54"/>
    <mergeCell ref="B53:B54"/>
    <mergeCell ref="Q53:X54"/>
    <mergeCell ref="Y53:AE54"/>
    <mergeCell ref="A49:A50"/>
    <mergeCell ref="B49:B50"/>
    <mergeCell ref="Q49:X50"/>
    <mergeCell ref="Y49:AE50"/>
    <mergeCell ref="A51:A52"/>
    <mergeCell ref="B51:B52"/>
    <mergeCell ref="Q51:X52"/>
    <mergeCell ref="Y51:AE52"/>
    <mergeCell ref="A71:A72"/>
    <mergeCell ref="B71:B72"/>
    <mergeCell ref="A73:A74"/>
    <mergeCell ref="B73:B74"/>
    <mergeCell ref="A75:A76"/>
    <mergeCell ref="B75:B76"/>
    <mergeCell ref="A67:A68"/>
    <mergeCell ref="B67:B68"/>
    <mergeCell ref="C67:P67"/>
    <mergeCell ref="A69:A70"/>
    <mergeCell ref="B69:B70"/>
    <mergeCell ref="A83:A84"/>
    <mergeCell ref="B83:B84"/>
    <mergeCell ref="A85:A86"/>
    <mergeCell ref="B85:B86"/>
    <mergeCell ref="A87:A88"/>
    <mergeCell ref="B87:B88"/>
    <mergeCell ref="A77:A78"/>
    <mergeCell ref="B77:B78"/>
    <mergeCell ref="A79:A80"/>
    <mergeCell ref="B79:B80"/>
    <mergeCell ref="A81:A82"/>
    <mergeCell ref="B81:B82"/>
  </mergeCells>
  <dataValidations count="3">
    <dataValidation type="textLength" operator="lessThanOrEqual" allowBlank="1" showInputMessage="1" showErrorMessage="1" errorTitle="Máximo 2.000 caracteres" error="Máximo 2.000 caracteres" sqref="Y35 Q35 AC35 Q43 Q47 Q45 Q49 Q51 Q53" xr:uid="{00000000-0002-0000-0500-000000000000}">
      <formula1>2000</formula1>
    </dataValidation>
    <dataValidation type="textLength" operator="lessThanOrEqual" allowBlank="1" showInputMessage="1" showErrorMessage="1" errorTitle="Máximo 2.000 caracteres" error="Máximo 2.000 caracteres" promptTitle="2.000 caracteres" sqref="Q30:Q31" xr:uid="{00000000-0002-0000-0500-000001000000}">
      <formula1>2000</formula1>
    </dataValidation>
    <dataValidation type="list" allowBlank="1" showInputMessage="1" showErrorMessage="1" sqref="C7:C9" xr:uid="{00000000-0002-0000-0500-000002000000}">
      <formula1>$B$21:$M$21</formula1>
    </dataValidation>
  </dataValidations>
  <hyperlinks>
    <hyperlink ref="Y49" r:id="rId1" xr:uid="{72463DB5-FB4F-482C-827B-CC8A8BEE220C}"/>
    <hyperlink ref="Y53" r:id="rId2" xr:uid="{1A7F0BC6-0658-40F7-A5FD-97807776287B}"/>
    <hyperlink ref="Y43" r:id="rId3" xr:uid="{1FC35028-FC46-4E30-BF53-32BA01505AAA}"/>
    <hyperlink ref="Y41" r:id="rId4" xr:uid="{C9F8B96D-7572-4950-809D-6217BFC20CBE}"/>
  </hyperlinks>
  <pageMargins left="0.25" right="0.25" top="0.75" bottom="0.75" header="0.3" footer="0.3"/>
  <pageSetup scale="20" orientation="landscape" r:id="rId5"/>
  <drawing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94"/>
  <sheetViews>
    <sheetView showGridLines="0" view="pageBreakPreview" topLeftCell="K27" zoomScale="60" zoomScaleNormal="60" workbookViewId="0">
      <selection activeCell="Q41" sqref="Q41:X42"/>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379"/>
      <c r="B1" s="382"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4"/>
      <c r="AB1" s="391" t="s">
        <v>1</v>
      </c>
      <c r="AC1" s="392"/>
      <c r="AD1" s="392"/>
      <c r="AE1" s="393"/>
    </row>
    <row r="2" spans="1:31" ht="30.75" customHeight="1" thickBot="1" x14ac:dyDescent="0.35">
      <c r="A2" s="380"/>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391" t="s">
        <v>3</v>
      </c>
      <c r="AC2" s="392"/>
      <c r="AD2" s="392"/>
      <c r="AE2" s="393"/>
    </row>
    <row r="3" spans="1:31" ht="24" customHeight="1" thickBot="1" x14ac:dyDescent="0.35">
      <c r="A3" s="380"/>
      <c r="B3" s="385" t="s">
        <v>4</v>
      </c>
      <c r="C3" s="386"/>
      <c r="D3" s="386"/>
      <c r="E3" s="386"/>
      <c r="F3" s="386"/>
      <c r="G3" s="386"/>
      <c r="H3" s="386"/>
      <c r="I3" s="386"/>
      <c r="J3" s="386"/>
      <c r="K3" s="386"/>
      <c r="L3" s="386"/>
      <c r="M3" s="386"/>
      <c r="N3" s="386"/>
      <c r="O3" s="386"/>
      <c r="P3" s="386"/>
      <c r="Q3" s="386"/>
      <c r="R3" s="386"/>
      <c r="S3" s="386"/>
      <c r="T3" s="386"/>
      <c r="U3" s="386"/>
      <c r="V3" s="386"/>
      <c r="W3" s="386"/>
      <c r="X3" s="386"/>
      <c r="Y3" s="386"/>
      <c r="Z3" s="386"/>
      <c r="AA3" s="387"/>
      <c r="AB3" s="391" t="s">
        <v>5</v>
      </c>
      <c r="AC3" s="392"/>
      <c r="AD3" s="392"/>
      <c r="AE3" s="393"/>
    </row>
    <row r="4" spans="1:31" ht="21.75" customHeight="1" thickBot="1" x14ac:dyDescent="0.35">
      <c r="A4" s="381"/>
      <c r="B4" s="388"/>
      <c r="C4" s="389"/>
      <c r="D4" s="389"/>
      <c r="E4" s="389"/>
      <c r="F4" s="389"/>
      <c r="G4" s="389"/>
      <c r="H4" s="389"/>
      <c r="I4" s="389"/>
      <c r="J4" s="389"/>
      <c r="K4" s="389"/>
      <c r="L4" s="389"/>
      <c r="M4" s="389"/>
      <c r="N4" s="389"/>
      <c r="O4" s="389"/>
      <c r="P4" s="389"/>
      <c r="Q4" s="389"/>
      <c r="R4" s="389"/>
      <c r="S4" s="389"/>
      <c r="T4" s="389"/>
      <c r="U4" s="389"/>
      <c r="V4" s="389"/>
      <c r="W4" s="389"/>
      <c r="X4" s="389"/>
      <c r="Y4" s="389"/>
      <c r="Z4" s="389"/>
      <c r="AA4" s="390"/>
      <c r="AB4" s="391" t="s">
        <v>6</v>
      </c>
      <c r="AC4" s="392"/>
      <c r="AD4" s="392"/>
      <c r="AE4" s="393"/>
    </row>
    <row r="5" spans="1:31" ht="9" customHeight="1" thickBot="1" x14ac:dyDescent="0.35">
      <c r="A5" s="3"/>
      <c r="B5" s="101"/>
      <c r="C5" s="102"/>
      <c r="D5" s="4"/>
      <c r="E5" s="4"/>
      <c r="F5" s="4"/>
      <c r="G5" s="4"/>
      <c r="H5" s="4"/>
      <c r="I5" s="4"/>
      <c r="J5" s="4"/>
      <c r="K5" s="4"/>
      <c r="L5" s="4"/>
      <c r="M5" s="4"/>
      <c r="N5" s="4"/>
      <c r="O5" s="4"/>
      <c r="P5" s="4"/>
      <c r="Q5" s="4"/>
      <c r="R5" s="4"/>
      <c r="S5" s="4"/>
      <c r="T5" s="4"/>
      <c r="U5" s="4"/>
      <c r="V5" s="4"/>
      <c r="W5" s="4"/>
      <c r="X5" s="4"/>
      <c r="Y5" s="4"/>
      <c r="Z5" s="4"/>
      <c r="AA5" s="4"/>
      <c r="AB5" s="4"/>
      <c r="AC5" s="171"/>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4"/>
      <c r="AA6" s="4"/>
      <c r="AB6" s="4"/>
      <c r="AC6" s="171"/>
      <c r="AD6" s="7"/>
      <c r="AE6" s="8"/>
    </row>
    <row r="7" spans="1:31" x14ac:dyDescent="0.3">
      <c r="A7" s="336" t="s">
        <v>7</v>
      </c>
      <c r="B7" s="337"/>
      <c r="C7" s="374" t="s">
        <v>29</v>
      </c>
      <c r="D7" s="336" t="s">
        <v>8</v>
      </c>
      <c r="E7" s="342"/>
      <c r="F7" s="342"/>
      <c r="G7" s="342"/>
      <c r="H7" s="337"/>
      <c r="I7" s="366">
        <v>45357</v>
      </c>
      <c r="J7" s="367"/>
      <c r="K7" s="336" t="s">
        <v>9</v>
      </c>
      <c r="L7" s="337"/>
      <c r="M7" s="358" t="s">
        <v>10</v>
      </c>
      <c r="N7" s="359"/>
      <c r="O7" s="347"/>
      <c r="P7" s="348"/>
      <c r="Q7" s="4"/>
      <c r="R7" s="4"/>
      <c r="S7" s="4"/>
      <c r="T7" s="4"/>
      <c r="U7" s="4"/>
      <c r="V7" s="4"/>
      <c r="W7" s="4"/>
      <c r="X7" s="4"/>
      <c r="Y7" s="4"/>
      <c r="Z7" s="4"/>
      <c r="AA7" s="4"/>
      <c r="AB7" s="4"/>
      <c r="AC7" s="171"/>
      <c r="AD7" s="7"/>
      <c r="AE7" s="8"/>
    </row>
    <row r="8" spans="1:31" x14ac:dyDescent="0.3">
      <c r="A8" s="338"/>
      <c r="B8" s="339"/>
      <c r="C8" s="375"/>
      <c r="D8" s="338"/>
      <c r="E8" s="343"/>
      <c r="F8" s="343"/>
      <c r="G8" s="343"/>
      <c r="H8" s="339"/>
      <c r="I8" s="368"/>
      <c r="J8" s="369"/>
      <c r="K8" s="338"/>
      <c r="L8" s="339"/>
      <c r="M8" s="377" t="s">
        <v>11</v>
      </c>
      <c r="N8" s="378"/>
      <c r="O8" s="360"/>
      <c r="P8" s="361"/>
      <c r="Q8" s="4"/>
      <c r="R8" s="4"/>
      <c r="S8" s="4"/>
      <c r="T8" s="4"/>
      <c r="U8" s="4"/>
      <c r="V8" s="4"/>
      <c r="W8" s="4"/>
      <c r="X8" s="4"/>
      <c r="Y8" s="4"/>
      <c r="Z8" s="4"/>
      <c r="AA8" s="4"/>
      <c r="AB8" s="4"/>
      <c r="AC8" s="171"/>
      <c r="AD8" s="7"/>
      <c r="AE8" s="8"/>
    </row>
    <row r="9" spans="1:31" ht="15" thickBot="1" x14ac:dyDescent="0.35">
      <c r="A9" s="340"/>
      <c r="B9" s="341"/>
      <c r="C9" s="376"/>
      <c r="D9" s="340"/>
      <c r="E9" s="344"/>
      <c r="F9" s="344"/>
      <c r="G9" s="344"/>
      <c r="H9" s="341"/>
      <c r="I9" s="370"/>
      <c r="J9" s="371"/>
      <c r="K9" s="340"/>
      <c r="L9" s="341"/>
      <c r="M9" s="362" t="s">
        <v>13</v>
      </c>
      <c r="N9" s="363"/>
      <c r="O9" s="364" t="s">
        <v>12</v>
      </c>
      <c r="P9" s="365"/>
      <c r="Q9" s="4"/>
      <c r="R9" s="4"/>
      <c r="S9" s="4"/>
      <c r="T9" s="4"/>
      <c r="U9" s="4"/>
      <c r="V9" s="4"/>
      <c r="W9" s="4"/>
      <c r="X9" s="4"/>
      <c r="Y9" s="4"/>
      <c r="Z9" s="4"/>
      <c r="AA9" s="4"/>
      <c r="AB9" s="4"/>
      <c r="AC9" s="171"/>
      <c r="AD9" s="7"/>
      <c r="AE9" s="8"/>
    </row>
    <row r="10" spans="1:31" ht="15" customHeight="1" thickBot="1" x14ac:dyDescent="0.35">
      <c r="A10" s="75"/>
      <c r="B10" s="76"/>
      <c r="C10" s="76"/>
      <c r="D10" s="9"/>
      <c r="E10" s="9"/>
      <c r="F10" s="9"/>
      <c r="G10" s="9"/>
      <c r="H10" s="9"/>
      <c r="I10" s="172"/>
      <c r="J10" s="172"/>
      <c r="K10" s="9"/>
      <c r="L10" s="9"/>
      <c r="M10" s="173"/>
      <c r="N10" s="173"/>
      <c r="O10" s="174"/>
      <c r="P10" s="174"/>
      <c r="Q10" s="76"/>
      <c r="R10" s="76"/>
      <c r="S10" s="76"/>
      <c r="T10" s="76"/>
      <c r="U10" s="76"/>
      <c r="V10" s="76"/>
      <c r="W10" s="76"/>
      <c r="X10" s="76"/>
      <c r="Y10" s="76"/>
      <c r="Z10" s="76"/>
      <c r="AA10" s="76"/>
      <c r="AB10" s="76"/>
      <c r="AC10" s="171"/>
      <c r="AD10" s="78"/>
      <c r="AE10" s="79"/>
    </row>
    <row r="11" spans="1:31" ht="15" customHeight="1" x14ac:dyDescent="0.3">
      <c r="A11" s="336" t="s">
        <v>14</v>
      </c>
      <c r="B11" s="337"/>
      <c r="C11" s="308" t="s">
        <v>15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ht="15" customHeight="1" x14ac:dyDescent="0.3">
      <c r="A12" s="338"/>
      <c r="B12" s="339"/>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15" customHeight="1" thickBot="1" x14ac:dyDescent="0.35">
      <c r="A13" s="340"/>
      <c r="B13" s="341"/>
      <c r="C13" s="352"/>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C14" s="171"/>
      <c r="AD14" s="9"/>
      <c r="AE14" s="10"/>
    </row>
    <row r="15" spans="1:31" ht="42.75" customHeight="1" thickBot="1" x14ac:dyDescent="0.35">
      <c r="A15" s="345" t="s">
        <v>16</v>
      </c>
      <c r="B15" s="346"/>
      <c r="C15" s="355" t="s">
        <v>17</v>
      </c>
      <c r="D15" s="356"/>
      <c r="E15" s="356"/>
      <c r="F15" s="356"/>
      <c r="G15" s="356"/>
      <c r="H15" s="356"/>
      <c r="I15" s="356"/>
      <c r="J15" s="356"/>
      <c r="K15" s="357"/>
      <c r="L15" s="372" t="s">
        <v>18</v>
      </c>
      <c r="M15" s="399"/>
      <c r="N15" s="399"/>
      <c r="O15" s="399"/>
      <c r="P15" s="399"/>
      <c r="Q15" s="373"/>
      <c r="R15" s="400" t="s">
        <v>19</v>
      </c>
      <c r="S15" s="401"/>
      <c r="T15" s="401"/>
      <c r="U15" s="401"/>
      <c r="V15" s="401"/>
      <c r="W15" s="401"/>
      <c r="X15" s="402"/>
      <c r="Y15" s="372" t="s">
        <v>20</v>
      </c>
      <c r="Z15" s="373"/>
      <c r="AA15" s="355" t="s">
        <v>21</v>
      </c>
      <c r="AB15" s="356"/>
      <c r="AC15" s="356"/>
      <c r="AD15" s="356"/>
      <c r="AE15" s="357"/>
    </row>
    <row r="16" spans="1:31" ht="9" customHeight="1" thickBot="1" x14ac:dyDescent="0.35">
      <c r="A16" s="6"/>
      <c r="B16" s="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171"/>
      <c r="AD16" s="7"/>
      <c r="AE16" s="8"/>
    </row>
    <row r="17" spans="1:32" s="16" customFormat="1" ht="37.5" customHeight="1" thickBot="1" x14ac:dyDescent="0.35">
      <c r="A17" s="345" t="s">
        <v>22</v>
      </c>
      <c r="B17" s="346"/>
      <c r="C17" s="355" t="s">
        <v>125</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7"/>
    </row>
    <row r="18" spans="1:32" ht="16.5" customHeight="1" thickBot="1" x14ac:dyDescent="0.35">
      <c r="A18" s="175"/>
      <c r="B18" s="176"/>
      <c r="C18" s="176"/>
      <c r="D18" s="176"/>
      <c r="E18" s="176"/>
      <c r="F18" s="176"/>
      <c r="G18" s="176"/>
      <c r="H18" s="176"/>
      <c r="I18" s="176"/>
      <c r="J18" s="176"/>
      <c r="K18" s="176"/>
      <c r="L18" s="176"/>
      <c r="M18" s="176"/>
      <c r="N18" s="176"/>
      <c r="O18" s="176"/>
      <c r="P18" s="176"/>
      <c r="Q18" s="176"/>
      <c r="R18" s="176"/>
      <c r="S18" s="176"/>
      <c r="T18" s="197"/>
      <c r="U18" s="176"/>
      <c r="V18" s="176"/>
      <c r="W18" s="197"/>
      <c r="X18" s="176"/>
      <c r="Y18" s="176"/>
      <c r="Z18" s="176"/>
      <c r="AA18" s="176"/>
      <c r="AB18" s="176"/>
      <c r="AC18" s="198"/>
      <c r="AD18" s="176"/>
      <c r="AE18" s="177"/>
    </row>
    <row r="19" spans="1:32" ht="32.1" customHeight="1" thickBot="1" x14ac:dyDescent="0.35">
      <c r="A19" s="372" t="s">
        <v>24</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73"/>
      <c r="AF19" s="20"/>
    </row>
    <row r="20" spans="1:32" ht="32.1" customHeight="1" thickBot="1" x14ac:dyDescent="0.35">
      <c r="A20" s="104" t="s">
        <v>25</v>
      </c>
      <c r="B20" s="396" t="s">
        <v>26</v>
      </c>
      <c r="C20" s="397"/>
      <c r="D20" s="397"/>
      <c r="E20" s="397"/>
      <c r="F20" s="397"/>
      <c r="G20" s="397"/>
      <c r="H20" s="397"/>
      <c r="I20" s="397"/>
      <c r="J20" s="397"/>
      <c r="K20" s="397"/>
      <c r="L20" s="397"/>
      <c r="M20" s="397"/>
      <c r="N20" s="397"/>
      <c r="O20" s="398"/>
      <c r="P20" s="372" t="s">
        <v>27</v>
      </c>
      <c r="Q20" s="399"/>
      <c r="R20" s="399"/>
      <c r="S20" s="399"/>
      <c r="T20" s="399"/>
      <c r="U20" s="399"/>
      <c r="V20" s="399"/>
      <c r="W20" s="399"/>
      <c r="X20" s="399"/>
      <c r="Y20" s="399"/>
      <c r="Z20" s="399"/>
      <c r="AA20" s="399"/>
      <c r="AB20" s="399"/>
      <c r="AC20" s="399"/>
      <c r="AD20" s="399"/>
      <c r="AE20" s="373"/>
      <c r="AF20" s="20"/>
    </row>
    <row r="21" spans="1:32" ht="32.1" customHeight="1" thickBot="1" x14ac:dyDescent="0.35">
      <c r="A21" s="184">
        <f>20762292</f>
        <v>20762292</v>
      </c>
      <c r="B21" s="114" t="s">
        <v>28</v>
      </c>
      <c r="C21" s="115" t="s">
        <v>29</v>
      </c>
      <c r="D21" s="115" t="s">
        <v>30</v>
      </c>
      <c r="E21" s="115" t="s">
        <v>31</v>
      </c>
      <c r="F21" s="115" t="s">
        <v>32</v>
      </c>
      <c r="G21" s="115" t="s">
        <v>33</v>
      </c>
      <c r="H21" s="115" t="s">
        <v>34</v>
      </c>
      <c r="I21" s="115" t="s">
        <v>35</v>
      </c>
      <c r="J21" s="115" t="s">
        <v>36</v>
      </c>
      <c r="K21" s="115" t="s">
        <v>37</v>
      </c>
      <c r="L21" s="115" t="s">
        <v>38</v>
      </c>
      <c r="M21" s="115" t="s">
        <v>39</v>
      </c>
      <c r="N21" s="115" t="s">
        <v>40</v>
      </c>
      <c r="O21" s="116" t="s">
        <v>41</v>
      </c>
      <c r="P21" s="143"/>
      <c r="Q21" s="104" t="s">
        <v>28</v>
      </c>
      <c r="R21" s="105" t="s">
        <v>29</v>
      </c>
      <c r="S21" s="105" t="s">
        <v>30</v>
      </c>
      <c r="T21" s="105" t="s">
        <v>31</v>
      </c>
      <c r="U21" s="105" t="s">
        <v>32</v>
      </c>
      <c r="V21" s="105" t="s">
        <v>33</v>
      </c>
      <c r="W21" s="105" t="s">
        <v>34</v>
      </c>
      <c r="X21" s="105" t="s">
        <v>35</v>
      </c>
      <c r="Y21" s="105" t="s">
        <v>36</v>
      </c>
      <c r="Z21" s="105" t="s">
        <v>37</v>
      </c>
      <c r="AA21" s="105" t="s">
        <v>38</v>
      </c>
      <c r="AB21" s="105" t="s">
        <v>39</v>
      </c>
      <c r="AC21" s="105" t="s">
        <v>40</v>
      </c>
      <c r="AD21" s="142" t="s">
        <v>42</v>
      </c>
      <c r="AE21" s="142" t="s">
        <v>43</v>
      </c>
      <c r="AF21" s="1"/>
    </row>
    <row r="22" spans="1:32" ht="32.1" customHeight="1" x14ac:dyDescent="0.3">
      <c r="A22" s="139" t="s">
        <v>44</v>
      </c>
      <c r="B22" s="179"/>
      <c r="C22" s="178">
        <f>6513634</f>
        <v>6513634</v>
      </c>
      <c r="D22" s="178">
        <f>6166843</f>
        <v>6166843</v>
      </c>
      <c r="E22" s="178">
        <f>A21-12680476</f>
        <v>8081816</v>
      </c>
      <c r="F22" s="178"/>
      <c r="G22" s="178"/>
      <c r="H22" s="178"/>
      <c r="I22" s="178"/>
      <c r="J22" s="178"/>
      <c r="K22" s="178"/>
      <c r="L22" s="178"/>
      <c r="M22" s="178"/>
      <c r="N22" s="178">
        <f>SUM(B22:M22)</f>
        <v>20762293</v>
      </c>
      <c r="O22" s="180"/>
      <c r="P22" s="139" t="s">
        <v>45</v>
      </c>
      <c r="Q22" s="181"/>
      <c r="R22" s="182">
        <f>445731592</f>
        <v>445731592</v>
      </c>
      <c r="S22" s="182"/>
      <c r="T22" s="182"/>
      <c r="U22" s="182">
        <f>77378000+7521855</f>
        <v>84899855</v>
      </c>
      <c r="V22" s="182"/>
      <c r="W22" s="182">
        <v>34142000</v>
      </c>
      <c r="X22" s="182">
        <v>99678553</v>
      </c>
      <c r="Y22" s="182"/>
      <c r="Z22" s="182"/>
      <c r="AA22" s="182"/>
      <c r="AB22" s="182"/>
      <c r="AC22" s="182">
        <f>SUM(Q22:AB22)</f>
        <v>664452000</v>
      </c>
      <c r="AD22" s="171"/>
      <c r="AE22" s="183"/>
      <c r="AF22" s="1"/>
    </row>
    <row r="23" spans="1:32" ht="32.1" customHeight="1" x14ac:dyDescent="0.3">
      <c r="A23" s="140" t="s">
        <v>46</v>
      </c>
      <c r="B23" s="184"/>
      <c r="C23" s="185"/>
      <c r="D23" s="185"/>
      <c r="E23" s="185"/>
      <c r="F23" s="185"/>
      <c r="G23" s="185"/>
      <c r="H23" s="185"/>
      <c r="I23" s="185"/>
      <c r="J23" s="185"/>
      <c r="K23" s="185"/>
      <c r="L23" s="185"/>
      <c r="M23" s="185"/>
      <c r="N23" s="185">
        <f>SUM(B23:M23)</f>
        <v>0</v>
      </c>
      <c r="O23" s="186" t="str">
        <f>IFERROR(N23/(SUMIF(B23:M23,"&gt;0",B22:M22))," ")</f>
        <v xml:space="preserve"> </v>
      </c>
      <c r="P23" s="140" t="s">
        <v>47</v>
      </c>
      <c r="Q23" s="184">
        <v>11962500</v>
      </c>
      <c r="R23" s="185">
        <f>232483055-Q23</f>
        <v>220520555</v>
      </c>
      <c r="S23" s="185"/>
      <c r="T23" s="185"/>
      <c r="U23" s="185"/>
      <c r="V23" s="185"/>
      <c r="W23" s="185"/>
      <c r="X23" s="185"/>
      <c r="Y23" s="185"/>
      <c r="Z23" s="185"/>
      <c r="AA23" s="185"/>
      <c r="AB23" s="185"/>
      <c r="AC23" s="185">
        <f>SUM(Q23:AB23)</f>
        <v>232483055</v>
      </c>
      <c r="AD23" s="185">
        <f>AC23/SUM(Q22:AB22)</f>
        <v>0.34988690680440421</v>
      </c>
      <c r="AE23" s="187">
        <f>AC23/AC22</f>
        <v>0.34988690680440421</v>
      </c>
      <c r="AF23" s="1"/>
    </row>
    <row r="24" spans="1:32" ht="32.1" customHeight="1" x14ac:dyDescent="0.3">
      <c r="A24" s="140" t="s">
        <v>48</v>
      </c>
      <c r="B24" s="184"/>
      <c r="C24" s="185"/>
      <c r="D24" s="185"/>
      <c r="E24" s="185"/>
      <c r="F24" s="185"/>
      <c r="G24" s="185"/>
      <c r="H24" s="185"/>
      <c r="I24" s="185"/>
      <c r="J24" s="185"/>
      <c r="K24" s="185"/>
      <c r="L24" s="185"/>
      <c r="M24" s="185"/>
      <c r="N24" s="185">
        <f>SUM(B24:M24)</f>
        <v>0</v>
      </c>
      <c r="O24" s="188"/>
      <c r="P24" s="140" t="s">
        <v>44</v>
      </c>
      <c r="Q24" s="184"/>
      <c r="R24" s="185">
        <v>7740930.9301543795</v>
      </c>
      <c r="S24" s="185">
        <v>58338430.930154376</v>
      </c>
      <c r="T24" s="185">
        <v>61878792.790463135</v>
      </c>
      <c r="U24" s="185">
        <v>63325457.840763487</v>
      </c>
      <c r="V24" s="185">
        <v>64052923.305840679</v>
      </c>
      <c r="W24" s="185">
        <v>79058423.305840671</v>
      </c>
      <c r="X24" s="185">
        <f>68396944+6828400</f>
        <v>75225344</v>
      </c>
      <c r="Y24" s="185">
        <f>30000000+7521855+6828400</f>
        <v>44350255</v>
      </c>
      <c r="Z24" s="185">
        <f>65053388+6828400</f>
        <v>71881788</v>
      </c>
      <c r="AA24" s="185">
        <f>65053388+6828400</f>
        <v>71881788</v>
      </c>
      <c r="AB24" s="185">
        <f>128323250-103755855+35322069+6828402</f>
        <v>66717866</v>
      </c>
      <c r="AC24" s="185">
        <f>SUM(Q24:AB24)</f>
        <v>664452000.10321665</v>
      </c>
      <c r="AD24" s="185"/>
      <c r="AE24" s="189"/>
      <c r="AF24" s="1"/>
    </row>
    <row r="25" spans="1:32" ht="32.1" customHeight="1" thickBot="1" x14ac:dyDescent="0.35">
      <c r="A25" s="141" t="s">
        <v>49</v>
      </c>
      <c r="B25" s="190">
        <f>2408332</f>
        <v>2408332</v>
      </c>
      <c r="C25" s="191">
        <f>6513633-B25</f>
        <v>4105301</v>
      </c>
      <c r="D25" s="191"/>
      <c r="E25" s="191"/>
      <c r="F25" s="191"/>
      <c r="G25" s="191"/>
      <c r="H25" s="191"/>
      <c r="I25" s="191"/>
      <c r="J25" s="191"/>
      <c r="K25" s="191"/>
      <c r="L25" s="191"/>
      <c r="M25" s="191"/>
      <c r="N25" s="191">
        <f>SUM(B25:M25)</f>
        <v>6513633</v>
      </c>
      <c r="O25" s="192" t="str">
        <f>IFERROR(N25/(SUMIF(B25:M25,"&gt;0",B24:M24))," ")</f>
        <v xml:space="preserve"> </v>
      </c>
      <c r="P25" s="141" t="s">
        <v>49</v>
      </c>
      <c r="Q25" s="190">
        <v>0</v>
      </c>
      <c r="R25" s="191">
        <v>0</v>
      </c>
      <c r="S25" s="191"/>
      <c r="T25" s="191"/>
      <c r="U25" s="191"/>
      <c r="V25" s="191"/>
      <c r="W25" s="191"/>
      <c r="X25" s="191"/>
      <c r="Y25" s="191"/>
      <c r="Z25" s="191"/>
      <c r="AA25" s="191"/>
      <c r="AB25" s="191"/>
      <c r="AC25" s="191">
        <f>SUM(Q25:AB25)</f>
        <v>0</v>
      </c>
      <c r="AD25" s="191">
        <f>AC25/SUM(Q24:AB24)</f>
        <v>0</v>
      </c>
      <c r="AE25" s="193">
        <f>AC25/AC24</f>
        <v>0</v>
      </c>
      <c r="AF25" s="1"/>
    </row>
    <row r="26" spans="1:32" customFormat="1" ht="16.5" customHeight="1" thickBot="1" x14ac:dyDescent="0.3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row>
    <row r="27" spans="1:32" ht="33.9" customHeight="1" x14ac:dyDescent="0.3">
      <c r="A27" s="329" t="s">
        <v>50</v>
      </c>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1"/>
    </row>
    <row r="28" spans="1:32" ht="15" customHeight="1" x14ac:dyDescent="0.3">
      <c r="A28" s="305" t="s">
        <v>51</v>
      </c>
      <c r="B28" s="307" t="s">
        <v>52</v>
      </c>
      <c r="C28" s="307"/>
      <c r="D28" s="307" t="s">
        <v>53</v>
      </c>
      <c r="E28" s="307"/>
      <c r="F28" s="307"/>
      <c r="G28" s="307"/>
      <c r="H28" s="307"/>
      <c r="I28" s="307"/>
      <c r="J28" s="307"/>
      <c r="K28" s="307"/>
      <c r="L28" s="307"/>
      <c r="M28" s="307"/>
      <c r="N28" s="307"/>
      <c r="O28" s="307"/>
      <c r="P28" s="307" t="s">
        <v>40</v>
      </c>
      <c r="Q28" s="307" t="s">
        <v>54</v>
      </c>
      <c r="R28" s="307"/>
      <c r="S28" s="307"/>
      <c r="T28" s="307"/>
      <c r="U28" s="307"/>
      <c r="V28" s="307"/>
      <c r="W28" s="307"/>
      <c r="X28" s="307"/>
      <c r="Y28" s="307" t="s">
        <v>55</v>
      </c>
      <c r="Z28" s="307"/>
      <c r="AA28" s="307"/>
      <c r="AB28" s="307"/>
      <c r="AC28" s="307"/>
      <c r="AD28" s="307"/>
      <c r="AE28" s="332"/>
    </row>
    <row r="29" spans="1:32" ht="27" customHeight="1" x14ac:dyDescent="0.3">
      <c r="A29" s="305"/>
      <c r="B29" s="307"/>
      <c r="C29" s="307"/>
      <c r="D29" s="100" t="s">
        <v>28</v>
      </c>
      <c r="E29" s="100" t="s">
        <v>29</v>
      </c>
      <c r="F29" s="100" t="s">
        <v>30</v>
      </c>
      <c r="G29" s="100" t="s">
        <v>31</v>
      </c>
      <c r="H29" s="100" t="s">
        <v>32</v>
      </c>
      <c r="I29" s="100" t="s">
        <v>33</v>
      </c>
      <c r="J29" s="100" t="s">
        <v>34</v>
      </c>
      <c r="K29" s="100" t="s">
        <v>35</v>
      </c>
      <c r="L29" s="100" t="s">
        <v>36</v>
      </c>
      <c r="M29" s="100" t="s">
        <v>37</v>
      </c>
      <c r="N29" s="100" t="s">
        <v>38</v>
      </c>
      <c r="O29" s="100" t="s">
        <v>39</v>
      </c>
      <c r="P29" s="307"/>
      <c r="Q29" s="307"/>
      <c r="R29" s="307"/>
      <c r="S29" s="307"/>
      <c r="T29" s="307"/>
      <c r="U29" s="307"/>
      <c r="V29" s="307"/>
      <c r="W29" s="307"/>
      <c r="X29" s="307"/>
      <c r="Y29" s="307"/>
      <c r="Z29" s="307"/>
      <c r="AA29" s="307"/>
      <c r="AB29" s="307"/>
      <c r="AC29" s="307"/>
      <c r="AD29" s="307"/>
      <c r="AE29" s="332"/>
    </row>
    <row r="30" spans="1:32" ht="94.2" customHeight="1" thickBot="1" x14ac:dyDescent="0.35">
      <c r="A30" s="110" t="s">
        <v>125</v>
      </c>
      <c r="B30" s="403"/>
      <c r="C30" s="403"/>
      <c r="D30" s="103"/>
      <c r="E30" s="103"/>
      <c r="F30" s="103"/>
      <c r="G30" s="103"/>
      <c r="H30" s="103"/>
      <c r="I30" s="103"/>
      <c r="J30" s="103"/>
      <c r="K30" s="103"/>
      <c r="L30" s="103"/>
      <c r="M30" s="103"/>
      <c r="N30" s="103"/>
      <c r="O30" s="103"/>
      <c r="P30" s="111">
        <f>SUM(D30:O30)</f>
        <v>0</v>
      </c>
      <c r="Q30" s="394" t="s">
        <v>488</v>
      </c>
      <c r="R30" s="394"/>
      <c r="S30" s="394"/>
      <c r="T30" s="394"/>
      <c r="U30" s="394"/>
      <c r="V30" s="394"/>
      <c r="W30" s="394"/>
      <c r="X30" s="394"/>
      <c r="Y30" s="394" t="s">
        <v>114</v>
      </c>
      <c r="Z30" s="394"/>
      <c r="AA30" s="394"/>
      <c r="AB30" s="394"/>
      <c r="AC30" s="394"/>
      <c r="AD30" s="394"/>
      <c r="AE30" s="395"/>
    </row>
    <row r="31" spans="1:32" ht="12" customHeight="1" thickBot="1" x14ac:dyDescent="0.35">
      <c r="A31" s="121"/>
      <c r="B31" s="122"/>
      <c r="C31" s="122"/>
      <c r="D31" s="9"/>
      <c r="E31" s="9"/>
      <c r="F31" s="9"/>
      <c r="G31" s="9"/>
      <c r="H31" s="9"/>
      <c r="I31" s="9"/>
      <c r="J31" s="9"/>
      <c r="K31" s="9"/>
      <c r="L31" s="9"/>
      <c r="M31" s="9"/>
      <c r="N31" s="9"/>
      <c r="O31" s="9"/>
      <c r="P31" s="123"/>
      <c r="Q31" s="195"/>
      <c r="R31" s="195"/>
      <c r="S31" s="195"/>
      <c r="T31" s="195"/>
      <c r="U31" s="195"/>
      <c r="V31" s="195"/>
      <c r="W31" s="195"/>
      <c r="X31" s="195"/>
      <c r="Y31" s="195"/>
      <c r="Z31" s="195"/>
      <c r="AA31" s="195"/>
      <c r="AB31" s="195"/>
      <c r="AC31" s="195"/>
      <c r="AD31" s="195"/>
      <c r="AE31" s="196"/>
    </row>
    <row r="32" spans="1:32" ht="45" customHeight="1" x14ac:dyDescent="0.3">
      <c r="A32" s="308" t="s">
        <v>56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10"/>
    </row>
    <row r="33" spans="1:41" ht="23.1" customHeight="1" x14ac:dyDescent="0.3">
      <c r="A33" s="305" t="s">
        <v>57</v>
      </c>
      <c r="B33" s="307" t="s">
        <v>58</v>
      </c>
      <c r="C33" s="307" t="s">
        <v>52</v>
      </c>
      <c r="D33" s="307" t="s">
        <v>59</v>
      </c>
      <c r="E33" s="307"/>
      <c r="F33" s="307"/>
      <c r="G33" s="307"/>
      <c r="H33" s="307"/>
      <c r="I33" s="307"/>
      <c r="J33" s="307"/>
      <c r="K33" s="307"/>
      <c r="L33" s="307"/>
      <c r="M33" s="307"/>
      <c r="N33" s="307"/>
      <c r="O33" s="307"/>
      <c r="P33" s="307"/>
      <c r="Q33" s="307" t="s">
        <v>60</v>
      </c>
      <c r="R33" s="307"/>
      <c r="S33" s="307"/>
      <c r="T33" s="307"/>
      <c r="U33" s="307"/>
      <c r="V33" s="307"/>
      <c r="W33" s="307"/>
      <c r="X33" s="307"/>
      <c r="Y33" s="307"/>
      <c r="Z33" s="307"/>
      <c r="AA33" s="307"/>
      <c r="AB33" s="307"/>
      <c r="AC33" s="307"/>
      <c r="AD33" s="307"/>
      <c r="AE33" s="332"/>
      <c r="AG33" s="21"/>
      <c r="AH33" s="21"/>
      <c r="AI33" s="21"/>
      <c r="AJ33" s="21"/>
      <c r="AK33" s="21"/>
      <c r="AL33" s="21"/>
      <c r="AM33" s="21"/>
      <c r="AN33" s="21"/>
      <c r="AO33" s="21"/>
    </row>
    <row r="34" spans="1:41" ht="27" customHeight="1" x14ac:dyDescent="0.3">
      <c r="A34" s="305"/>
      <c r="B34" s="307"/>
      <c r="C34" s="333"/>
      <c r="D34" s="100" t="s">
        <v>28</v>
      </c>
      <c r="E34" s="100" t="s">
        <v>29</v>
      </c>
      <c r="F34" s="100" t="s">
        <v>30</v>
      </c>
      <c r="G34" s="100" t="s">
        <v>31</v>
      </c>
      <c r="H34" s="100" t="s">
        <v>32</v>
      </c>
      <c r="I34" s="100" t="s">
        <v>33</v>
      </c>
      <c r="J34" s="100" t="s">
        <v>34</v>
      </c>
      <c r="K34" s="100" t="s">
        <v>35</v>
      </c>
      <c r="L34" s="100" t="s">
        <v>36</v>
      </c>
      <c r="M34" s="100" t="s">
        <v>37</v>
      </c>
      <c r="N34" s="100" t="s">
        <v>38</v>
      </c>
      <c r="O34" s="100" t="s">
        <v>39</v>
      </c>
      <c r="P34" s="100" t="s">
        <v>40</v>
      </c>
      <c r="Q34" s="287" t="s">
        <v>61</v>
      </c>
      <c r="R34" s="288"/>
      <c r="S34" s="288"/>
      <c r="T34" s="311"/>
      <c r="U34" s="307" t="s">
        <v>62</v>
      </c>
      <c r="V34" s="307"/>
      <c r="W34" s="307"/>
      <c r="X34" s="307"/>
      <c r="Y34" s="307" t="s">
        <v>63</v>
      </c>
      <c r="Z34" s="307"/>
      <c r="AA34" s="307"/>
      <c r="AB34" s="307"/>
      <c r="AC34" s="307" t="s">
        <v>64</v>
      </c>
      <c r="AD34" s="307"/>
      <c r="AE34" s="332"/>
      <c r="AG34" s="21"/>
      <c r="AH34" s="21"/>
      <c r="AI34" s="21"/>
      <c r="AJ34" s="21"/>
      <c r="AK34" s="21"/>
      <c r="AL34" s="21"/>
      <c r="AM34" s="21"/>
      <c r="AN34" s="21"/>
      <c r="AO34" s="21"/>
    </row>
    <row r="35" spans="1:41" ht="45" customHeight="1" x14ac:dyDescent="0.3">
      <c r="A35" s="300" t="s">
        <v>126</v>
      </c>
      <c r="B35" s="486">
        <v>0.1</v>
      </c>
      <c r="C35" s="23" t="s">
        <v>65</v>
      </c>
      <c r="D35" s="253">
        <f>D71</f>
        <v>5.0000000000000001E-3</v>
      </c>
      <c r="E35" s="253">
        <f t="shared" ref="E35:O35" si="0">E71</f>
        <v>9.5000000000000015E-2</v>
      </c>
      <c r="F35" s="253">
        <f t="shared" si="0"/>
        <v>0.19999999999999998</v>
      </c>
      <c r="G35" s="253">
        <f t="shared" si="0"/>
        <v>0.35000000000000003</v>
      </c>
      <c r="H35" s="253">
        <f t="shared" si="0"/>
        <v>0.35000000000000003</v>
      </c>
      <c r="I35" s="253">
        <f t="shared" si="0"/>
        <v>0</v>
      </c>
      <c r="J35" s="253">
        <f t="shared" si="0"/>
        <v>0</v>
      </c>
      <c r="K35" s="253">
        <f t="shared" si="0"/>
        <v>0</v>
      </c>
      <c r="L35" s="253">
        <f t="shared" si="0"/>
        <v>0</v>
      </c>
      <c r="M35" s="253">
        <f t="shared" si="0"/>
        <v>0</v>
      </c>
      <c r="N35" s="253">
        <f t="shared" si="0"/>
        <v>0</v>
      </c>
      <c r="O35" s="253">
        <f t="shared" si="0"/>
        <v>0</v>
      </c>
      <c r="P35" s="245">
        <f>SUM(D35:O35)</f>
        <v>1</v>
      </c>
      <c r="Q35" s="432" t="s">
        <v>506</v>
      </c>
      <c r="R35" s="433"/>
      <c r="S35" s="433"/>
      <c r="T35" s="434"/>
      <c r="U35" s="432" t="s">
        <v>507</v>
      </c>
      <c r="V35" s="433"/>
      <c r="W35" s="433"/>
      <c r="X35" s="434"/>
      <c r="Y35" s="432" t="s">
        <v>465</v>
      </c>
      <c r="Z35" s="433"/>
      <c r="AA35" s="433"/>
      <c r="AB35" s="434"/>
      <c r="AC35" s="432" t="s">
        <v>466</v>
      </c>
      <c r="AD35" s="433"/>
      <c r="AE35" s="458"/>
      <c r="AG35" s="21"/>
      <c r="AH35" s="21"/>
      <c r="AI35" s="21"/>
      <c r="AJ35" s="21"/>
      <c r="AK35" s="21"/>
      <c r="AL35" s="21"/>
      <c r="AM35" s="21"/>
      <c r="AN35" s="21"/>
      <c r="AO35" s="21"/>
    </row>
    <row r="36" spans="1:41" ht="45" customHeight="1" thickBot="1" x14ac:dyDescent="0.35">
      <c r="A36" s="301"/>
      <c r="B36" s="461"/>
      <c r="C36" s="24" t="s">
        <v>66</v>
      </c>
      <c r="D36" s="247">
        <f>D68</f>
        <v>5.0000000000000001E-3</v>
      </c>
      <c r="E36" s="247">
        <f t="shared" ref="E36:O36" si="1">E68</f>
        <v>9.5000000000000015E-2</v>
      </c>
      <c r="F36" s="247">
        <f t="shared" si="1"/>
        <v>0</v>
      </c>
      <c r="G36" s="247">
        <f t="shared" si="1"/>
        <v>0</v>
      </c>
      <c r="H36" s="247">
        <f t="shared" si="1"/>
        <v>0</v>
      </c>
      <c r="I36" s="247">
        <f t="shared" si="1"/>
        <v>0</v>
      </c>
      <c r="J36" s="247">
        <f t="shared" si="1"/>
        <v>0</v>
      </c>
      <c r="K36" s="247">
        <f t="shared" si="1"/>
        <v>0</v>
      </c>
      <c r="L36" s="247">
        <f t="shared" si="1"/>
        <v>0</v>
      </c>
      <c r="M36" s="247">
        <f t="shared" si="1"/>
        <v>0</v>
      </c>
      <c r="N36" s="247">
        <f t="shared" si="1"/>
        <v>0</v>
      </c>
      <c r="O36" s="247">
        <f t="shared" si="1"/>
        <v>0</v>
      </c>
      <c r="P36" s="246">
        <f>SUM(D36:O36)</f>
        <v>0.10000000000000002</v>
      </c>
      <c r="Q36" s="435"/>
      <c r="R36" s="436"/>
      <c r="S36" s="436"/>
      <c r="T36" s="437"/>
      <c r="U36" s="435"/>
      <c r="V36" s="436"/>
      <c r="W36" s="436"/>
      <c r="X36" s="437"/>
      <c r="Y36" s="435"/>
      <c r="Z36" s="436"/>
      <c r="AA36" s="436"/>
      <c r="AB36" s="437"/>
      <c r="AC36" s="435"/>
      <c r="AD36" s="436"/>
      <c r="AE36" s="459"/>
      <c r="AG36" s="21"/>
      <c r="AH36" s="21"/>
      <c r="AI36" s="21"/>
      <c r="AJ36" s="21"/>
      <c r="AK36" s="21"/>
      <c r="AL36" s="21"/>
      <c r="AM36" s="21"/>
      <c r="AN36" s="21"/>
      <c r="AO36" s="21"/>
    </row>
    <row r="37" spans="1:41" customFormat="1" ht="17.25" customHeight="1" thickBot="1" x14ac:dyDescent="0.35">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row>
    <row r="38" spans="1:41" ht="45" customHeight="1" thickBot="1" x14ac:dyDescent="0.35">
      <c r="A38" s="308" t="s">
        <v>67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10"/>
      <c r="AG38" s="21"/>
      <c r="AH38" s="21"/>
      <c r="AI38" s="21"/>
      <c r="AJ38" s="21"/>
      <c r="AK38" s="21"/>
      <c r="AL38" s="21"/>
      <c r="AM38" s="21"/>
      <c r="AN38" s="21"/>
      <c r="AO38" s="21"/>
    </row>
    <row r="39" spans="1:41" ht="26.1" customHeight="1" x14ac:dyDescent="0.3">
      <c r="A39" s="304" t="s">
        <v>68</v>
      </c>
      <c r="B39" s="306" t="s">
        <v>69</v>
      </c>
      <c r="C39" s="312" t="s">
        <v>70</v>
      </c>
      <c r="D39" s="314" t="s">
        <v>71</v>
      </c>
      <c r="E39" s="315"/>
      <c r="F39" s="315"/>
      <c r="G39" s="315"/>
      <c r="H39" s="315"/>
      <c r="I39" s="315"/>
      <c r="J39" s="315"/>
      <c r="K39" s="315"/>
      <c r="L39" s="315"/>
      <c r="M39" s="315"/>
      <c r="N39" s="315"/>
      <c r="O39" s="315"/>
      <c r="P39" s="316"/>
      <c r="Q39" s="306" t="s">
        <v>72</v>
      </c>
      <c r="R39" s="306"/>
      <c r="S39" s="306"/>
      <c r="T39" s="306"/>
      <c r="U39" s="306"/>
      <c r="V39" s="306"/>
      <c r="W39" s="306"/>
      <c r="X39" s="306"/>
      <c r="Y39" s="306"/>
      <c r="Z39" s="306"/>
      <c r="AA39" s="306"/>
      <c r="AB39" s="306"/>
      <c r="AC39" s="306"/>
      <c r="AD39" s="306"/>
      <c r="AE39" s="328"/>
      <c r="AG39" s="21"/>
      <c r="AH39" s="21"/>
      <c r="AI39" s="21"/>
      <c r="AJ39" s="21"/>
      <c r="AK39" s="21"/>
      <c r="AL39" s="21"/>
      <c r="AM39" s="21"/>
      <c r="AN39" s="21"/>
      <c r="AO39" s="21"/>
    </row>
    <row r="40" spans="1:41" ht="26.1" customHeight="1" x14ac:dyDescent="0.3">
      <c r="A40" s="305"/>
      <c r="B40" s="307"/>
      <c r="C40" s="313"/>
      <c r="D40" s="100" t="s">
        <v>73</v>
      </c>
      <c r="E40" s="100" t="s">
        <v>74</v>
      </c>
      <c r="F40" s="100" t="s">
        <v>75</v>
      </c>
      <c r="G40" s="100" t="s">
        <v>76</v>
      </c>
      <c r="H40" s="100" t="s">
        <v>77</v>
      </c>
      <c r="I40" s="100" t="s">
        <v>78</v>
      </c>
      <c r="J40" s="100" t="s">
        <v>79</v>
      </c>
      <c r="K40" s="100" t="s">
        <v>80</v>
      </c>
      <c r="L40" s="100" t="s">
        <v>81</v>
      </c>
      <c r="M40" s="100" t="s">
        <v>82</v>
      </c>
      <c r="N40" s="100" t="s">
        <v>83</v>
      </c>
      <c r="O40" s="100" t="s">
        <v>84</v>
      </c>
      <c r="P40" s="100" t="s">
        <v>85</v>
      </c>
      <c r="Q40" s="287" t="s">
        <v>86</v>
      </c>
      <c r="R40" s="288"/>
      <c r="S40" s="288"/>
      <c r="T40" s="288"/>
      <c r="U40" s="288"/>
      <c r="V40" s="288"/>
      <c r="W40" s="288"/>
      <c r="X40" s="311"/>
      <c r="Y40" s="287" t="s">
        <v>87</v>
      </c>
      <c r="Z40" s="288"/>
      <c r="AA40" s="288"/>
      <c r="AB40" s="288"/>
      <c r="AC40" s="288"/>
      <c r="AD40" s="288"/>
      <c r="AE40" s="289"/>
      <c r="AG40" s="26"/>
      <c r="AH40" s="26"/>
      <c r="AI40" s="26"/>
      <c r="AJ40" s="26"/>
      <c r="AK40" s="26"/>
      <c r="AL40" s="26"/>
      <c r="AM40" s="26"/>
      <c r="AN40" s="26"/>
      <c r="AO40" s="26"/>
    </row>
    <row r="41" spans="1:41" ht="88.5" customHeight="1" x14ac:dyDescent="0.3">
      <c r="A41" s="530" t="s">
        <v>450</v>
      </c>
      <c r="B41" s="442">
        <v>0.05</v>
      </c>
      <c r="C41" s="30" t="s">
        <v>65</v>
      </c>
      <c r="D41" s="31">
        <v>0</v>
      </c>
      <c r="E41" s="31">
        <v>0.1</v>
      </c>
      <c r="F41" s="31">
        <v>0.3</v>
      </c>
      <c r="G41" s="31">
        <v>0.3</v>
      </c>
      <c r="H41" s="31">
        <v>0.3</v>
      </c>
      <c r="I41" s="31">
        <v>0</v>
      </c>
      <c r="J41" s="31"/>
      <c r="K41" s="31"/>
      <c r="L41" s="31"/>
      <c r="M41" s="31"/>
      <c r="N41" s="31"/>
      <c r="O41" s="31"/>
      <c r="P41" s="112">
        <f>SUM(D41:O41)</f>
        <v>1</v>
      </c>
      <c r="Q41" s="417" t="s">
        <v>502</v>
      </c>
      <c r="R41" s="418"/>
      <c r="S41" s="418"/>
      <c r="T41" s="418"/>
      <c r="U41" s="418"/>
      <c r="V41" s="418"/>
      <c r="W41" s="418"/>
      <c r="X41" s="419"/>
      <c r="Y41" s="281" t="s">
        <v>503</v>
      </c>
      <c r="Z41" s="282"/>
      <c r="AA41" s="282"/>
      <c r="AB41" s="282"/>
      <c r="AC41" s="282"/>
      <c r="AD41" s="282"/>
      <c r="AE41" s="283"/>
      <c r="AG41" s="26"/>
      <c r="AH41" s="26"/>
      <c r="AI41" s="26"/>
      <c r="AJ41" s="26"/>
      <c r="AK41" s="26"/>
      <c r="AL41" s="26"/>
      <c r="AM41" s="26"/>
      <c r="AN41" s="26"/>
      <c r="AO41" s="26"/>
    </row>
    <row r="42" spans="1:41" ht="88.5" customHeight="1" x14ac:dyDescent="0.3">
      <c r="A42" s="530"/>
      <c r="B42" s="442"/>
      <c r="C42" s="28" t="s">
        <v>66</v>
      </c>
      <c r="D42" s="29">
        <v>0</v>
      </c>
      <c r="E42" s="29">
        <v>0.1</v>
      </c>
      <c r="F42" s="29"/>
      <c r="G42" s="29"/>
      <c r="H42" s="29"/>
      <c r="I42" s="29"/>
      <c r="J42" s="29"/>
      <c r="K42" s="29"/>
      <c r="L42" s="29"/>
      <c r="M42" s="29"/>
      <c r="N42" s="29"/>
      <c r="O42" s="29"/>
      <c r="P42" s="112">
        <f t="shared" ref="P42" si="2">SUM(D42:O42)</f>
        <v>0.1</v>
      </c>
      <c r="Q42" s="420"/>
      <c r="R42" s="421"/>
      <c r="S42" s="421"/>
      <c r="T42" s="421"/>
      <c r="U42" s="421"/>
      <c r="V42" s="421"/>
      <c r="W42" s="421"/>
      <c r="X42" s="422"/>
      <c r="Y42" s="284"/>
      <c r="Z42" s="285"/>
      <c r="AA42" s="285"/>
      <c r="AB42" s="285"/>
      <c r="AC42" s="285"/>
      <c r="AD42" s="285"/>
      <c r="AE42" s="286"/>
      <c r="AG42" s="26"/>
      <c r="AH42" s="26"/>
      <c r="AI42" s="26"/>
      <c r="AJ42" s="26"/>
      <c r="AK42" s="26"/>
      <c r="AL42" s="26"/>
      <c r="AM42" s="26"/>
      <c r="AN42" s="26"/>
      <c r="AO42" s="26"/>
    </row>
    <row r="43" spans="1:41" ht="88.5" customHeight="1" x14ac:dyDescent="0.3">
      <c r="A43" s="530" t="s">
        <v>127</v>
      </c>
      <c r="B43" s="442">
        <v>0.05</v>
      </c>
      <c r="C43" s="30" t="s">
        <v>65</v>
      </c>
      <c r="D43" s="31">
        <v>0.01</v>
      </c>
      <c r="E43" s="31">
        <v>0.09</v>
      </c>
      <c r="F43" s="31">
        <v>0.1</v>
      </c>
      <c r="G43" s="31">
        <v>0.4</v>
      </c>
      <c r="H43" s="31">
        <v>0.4</v>
      </c>
      <c r="I43" s="31">
        <v>0</v>
      </c>
      <c r="J43" s="31"/>
      <c r="K43" s="31"/>
      <c r="L43" s="31"/>
      <c r="M43" s="31"/>
      <c r="N43" s="31"/>
      <c r="O43" s="31"/>
      <c r="P43" s="112">
        <f>SUM(D43:O43)</f>
        <v>1</v>
      </c>
      <c r="Q43" s="417" t="s">
        <v>504</v>
      </c>
      <c r="R43" s="418"/>
      <c r="S43" s="418"/>
      <c r="T43" s="418"/>
      <c r="U43" s="418"/>
      <c r="V43" s="418"/>
      <c r="W43" s="418"/>
      <c r="X43" s="419"/>
      <c r="Y43" s="281" t="s">
        <v>505</v>
      </c>
      <c r="Z43" s="290"/>
      <c r="AA43" s="290"/>
      <c r="AB43" s="290"/>
      <c r="AC43" s="290"/>
      <c r="AD43" s="290"/>
      <c r="AE43" s="291"/>
      <c r="AG43" s="26"/>
      <c r="AH43" s="26"/>
      <c r="AI43" s="26"/>
      <c r="AJ43" s="26"/>
      <c r="AK43" s="26"/>
      <c r="AL43" s="26"/>
      <c r="AM43" s="26"/>
      <c r="AN43" s="26"/>
      <c r="AO43" s="26"/>
    </row>
    <row r="44" spans="1:41" ht="88.5" customHeight="1" x14ac:dyDescent="0.3">
      <c r="A44" s="530"/>
      <c r="B44" s="442"/>
      <c r="C44" s="28" t="s">
        <v>66</v>
      </c>
      <c r="D44" s="29">
        <v>0.01</v>
      </c>
      <c r="E44" s="29">
        <v>0.09</v>
      </c>
      <c r="F44" s="29"/>
      <c r="G44" s="29"/>
      <c r="H44" s="29"/>
      <c r="I44" s="29"/>
      <c r="J44" s="29"/>
      <c r="K44" s="29"/>
      <c r="L44" s="29"/>
      <c r="M44" s="29"/>
      <c r="N44" s="29"/>
      <c r="O44" s="29"/>
      <c r="P44" s="112">
        <f t="shared" ref="P44" si="3">SUM(D44:O44)</f>
        <v>9.9999999999999992E-2</v>
      </c>
      <c r="Q44" s="420"/>
      <c r="R44" s="421"/>
      <c r="S44" s="421"/>
      <c r="T44" s="421"/>
      <c r="U44" s="421"/>
      <c r="V44" s="421"/>
      <c r="W44" s="421"/>
      <c r="X44" s="422"/>
      <c r="Y44" s="292"/>
      <c r="Z44" s="293"/>
      <c r="AA44" s="293"/>
      <c r="AB44" s="293"/>
      <c r="AC44" s="293"/>
      <c r="AD44" s="293"/>
      <c r="AE44" s="294"/>
      <c r="AG44" s="26"/>
      <c r="AH44" s="26"/>
      <c r="AI44" s="26"/>
      <c r="AJ44" s="26"/>
      <c r="AK44" s="26"/>
      <c r="AL44" s="26"/>
      <c r="AM44" s="26"/>
      <c r="AN44" s="26"/>
      <c r="AO44" s="26"/>
    </row>
    <row r="45" spans="1:41" x14ac:dyDescent="0.3">
      <c r="A45" s="254" t="s">
        <v>92</v>
      </c>
    </row>
    <row r="46" spans="1:41" x14ac:dyDescent="0.3">
      <c r="A46" s="254"/>
    </row>
    <row r="47" spans="1:41" x14ac:dyDescent="0.3">
      <c r="A47" s="254"/>
    </row>
    <row r="48" spans="1:41" x14ac:dyDescent="0.3">
      <c r="A48" s="254"/>
    </row>
    <row r="49" spans="1:30" x14ac:dyDescent="0.3">
      <c r="A49" s="254"/>
    </row>
    <row r="50" spans="1:30" x14ac:dyDescent="0.3">
      <c r="A50" s="254"/>
    </row>
    <row r="51" spans="1:30" x14ac:dyDescent="0.3">
      <c r="A51" s="254"/>
    </row>
    <row r="52" spans="1:30" x14ac:dyDescent="0.3">
      <c r="A52" s="254"/>
    </row>
    <row r="53" spans="1:30" x14ac:dyDescent="0.3">
      <c r="A53" s="254"/>
    </row>
    <row r="54" spans="1:30" ht="15" thickBot="1" x14ac:dyDescent="0.35">
      <c r="A54" s="254"/>
    </row>
    <row r="55" spans="1:30" x14ac:dyDescent="0.3">
      <c r="A55" s="268" t="s">
        <v>68</v>
      </c>
      <c r="B55" s="270" t="s">
        <v>69</v>
      </c>
      <c r="C55" s="272" t="s">
        <v>71</v>
      </c>
      <c r="D55" s="273"/>
      <c r="E55" s="273"/>
      <c r="F55" s="273"/>
      <c r="G55" s="273"/>
      <c r="H55" s="273"/>
      <c r="I55" s="273"/>
      <c r="J55" s="273"/>
      <c r="K55" s="273"/>
      <c r="L55" s="273"/>
      <c r="M55" s="273"/>
      <c r="N55" s="273"/>
      <c r="O55" s="273"/>
      <c r="P55" s="274"/>
      <c r="Q55" s="215"/>
      <c r="R55" s="215"/>
      <c r="S55" s="216"/>
      <c r="T55" s="216"/>
      <c r="U55" s="216"/>
      <c r="V55" s="216"/>
      <c r="W55" s="216"/>
      <c r="X55" s="216"/>
      <c r="Y55" s="216"/>
      <c r="Z55" s="216"/>
      <c r="AA55" s="216"/>
      <c r="AB55" s="216"/>
      <c r="AC55" s="216"/>
      <c r="AD55" s="216"/>
    </row>
    <row r="56" spans="1:30" x14ac:dyDescent="0.3">
      <c r="A56" s="269"/>
      <c r="B56" s="271"/>
      <c r="C56" s="217" t="s">
        <v>70</v>
      </c>
      <c r="D56" s="217" t="s">
        <v>73</v>
      </c>
      <c r="E56" s="217" t="s">
        <v>74</v>
      </c>
      <c r="F56" s="217" t="s">
        <v>75</v>
      </c>
      <c r="G56" s="217" t="s">
        <v>76</v>
      </c>
      <c r="H56" s="217" t="s">
        <v>77</v>
      </c>
      <c r="I56" s="217" t="s">
        <v>78</v>
      </c>
      <c r="J56" s="217" t="s">
        <v>79</v>
      </c>
      <c r="K56" s="217" t="s">
        <v>80</v>
      </c>
      <c r="L56" s="217" t="s">
        <v>81</v>
      </c>
      <c r="M56" s="217" t="s">
        <v>82</v>
      </c>
      <c r="N56" s="217" t="s">
        <v>83</v>
      </c>
      <c r="O56" s="217" t="s">
        <v>84</v>
      </c>
      <c r="P56" s="218" t="s">
        <v>85</v>
      </c>
      <c r="Q56" s="215"/>
      <c r="R56" s="215"/>
      <c r="S56" s="216"/>
      <c r="T56" s="216"/>
      <c r="U56" s="216"/>
      <c r="V56" s="216"/>
      <c r="W56" s="216"/>
      <c r="X56" s="216"/>
      <c r="Y56" s="216"/>
      <c r="Z56" s="216"/>
      <c r="AA56" s="216"/>
      <c r="AB56" s="216"/>
      <c r="AC56" s="216"/>
      <c r="AD56" s="216"/>
    </row>
    <row r="57" spans="1:30" ht="18" customHeight="1" x14ac:dyDescent="0.3">
      <c r="A57" s="264" t="str">
        <f>A41</f>
        <v>30. Apoyar la preparación y alistamiento de las conmemoraciones de mujeres en sus diferencias y diversidad con la cuales se trabaja en la dirección de enfoque diferencial, con el objetivo de reducir los estereotipos e imaginarios arraigados que perpetúan la discriminación; mediante el posicionamiento activo de las agendas públicas que abordan las diversas problemáticas que enfrentan las mujeres, vinculando a la sociedad civil, organizaciones de mujeres y sectores de la Administración Distrital.</v>
      </c>
      <c r="B57" s="266">
        <f>B41</f>
        <v>0.05</v>
      </c>
      <c r="C57" s="219" t="s">
        <v>65</v>
      </c>
      <c r="D57" s="220">
        <f>D41*$B$41/$P$41</f>
        <v>0</v>
      </c>
      <c r="E57" s="220">
        <f t="shared" ref="E57:I58" si="4">E41*$B$41/$P$41</f>
        <v>5.000000000000001E-3</v>
      </c>
      <c r="F57" s="220">
        <f t="shared" si="4"/>
        <v>1.4999999999999999E-2</v>
      </c>
      <c r="G57" s="220">
        <f t="shared" si="4"/>
        <v>1.4999999999999999E-2</v>
      </c>
      <c r="H57" s="220">
        <f t="shared" si="4"/>
        <v>1.4999999999999999E-2</v>
      </c>
      <c r="I57" s="220">
        <f t="shared" si="4"/>
        <v>0</v>
      </c>
      <c r="J57" s="220">
        <f t="shared" ref="J57:O57" si="5">J41*$B$41/$P$41</f>
        <v>0</v>
      </c>
      <c r="K57" s="220">
        <f t="shared" si="5"/>
        <v>0</v>
      </c>
      <c r="L57" s="220">
        <f t="shared" si="5"/>
        <v>0</v>
      </c>
      <c r="M57" s="220">
        <f t="shared" si="5"/>
        <v>0</v>
      </c>
      <c r="N57" s="220">
        <f t="shared" si="5"/>
        <v>0</v>
      </c>
      <c r="O57" s="220">
        <f t="shared" si="5"/>
        <v>0</v>
      </c>
      <c r="P57" s="221">
        <f t="shared" ref="P57:P60" si="6">SUM(D57:O57)</f>
        <v>0.05</v>
      </c>
      <c r="Q57" s="222">
        <v>0.05</v>
      </c>
      <c r="R57" s="223">
        <f t="shared" ref="R57:R67" si="7">+P57-Q57</f>
        <v>0</v>
      </c>
      <c r="S57" s="216"/>
      <c r="T57" s="216"/>
      <c r="U57" s="216"/>
      <c r="V57" s="216"/>
      <c r="W57" s="216"/>
      <c r="X57" s="216"/>
      <c r="Y57" s="216"/>
      <c r="Z57" s="216"/>
      <c r="AA57" s="216"/>
      <c r="AB57" s="216"/>
      <c r="AC57" s="216"/>
      <c r="AD57" s="216"/>
    </row>
    <row r="58" spans="1:30" ht="18" customHeight="1" x14ac:dyDescent="0.3">
      <c r="A58" s="265"/>
      <c r="B58" s="267"/>
      <c r="C58" s="224" t="s">
        <v>66</v>
      </c>
      <c r="D58" s="225">
        <f>D42*$B$41/$P$41</f>
        <v>0</v>
      </c>
      <c r="E58" s="225">
        <f t="shared" si="4"/>
        <v>5.000000000000001E-3</v>
      </c>
      <c r="F58" s="225">
        <f t="shared" si="4"/>
        <v>0</v>
      </c>
      <c r="G58" s="225">
        <f t="shared" si="4"/>
        <v>0</v>
      </c>
      <c r="H58" s="225">
        <f t="shared" si="4"/>
        <v>0</v>
      </c>
      <c r="I58" s="225">
        <f t="shared" si="4"/>
        <v>0</v>
      </c>
      <c r="J58" s="225">
        <f t="shared" ref="J58:O58" si="8">J42*$B$41/$P$41</f>
        <v>0</v>
      </c>
      <c r="K58" s="225">
        <f t="shared" si="8"/>
        <v>0</v>
      </c>
      <c r="L58" s="225">
        <f t="shared" si="8"/>
        <v>0</v>
      </c>
      <c r="M58" s="225">
        <f t="shared" si="8"/>
        <v>0</v>
      </c>
      <c r="N58" s="225">
        <f t="shared" si="8"/>
        <v>0</v>
      </c>
      <c r="O58" s="225">
        <f t="shared" si="8"/>
        <v>0</v>
      </c>
      <c r="P58" s="226">
        <f t="shared" si="6"/>
        <v>5.000000000000001E-3</v>
      </c>
      <c r="Q58" s="227">
        <f>+P58</f>
        <v>5.000000000000001E-3</v>
      </c>
      <c r="R58" s="223">
        <f t="shared" si="7"/>
        <v>0</v>
      </c>
      <c r="S58" s="216"/>
      <c r="T58" s="216"/>
      <c r="U58" s="216"/>
      <c r="V58" s="216"/>
      <c r="W58" s="216"/>
      <c r="X58" s="216"/>
      <c r="Y58" s="216"/>
      <c r="Z58" s="216"/>
      <c r="AA58" s="216"/>
      <c r="AB58" s="216"/>
      <c r="AC58" s="216"/>
      <c r="AD58" s="216"/>
    </row>
    <row r="59" spans="1:30" ht="18" customHeight="1" x14ac:dyDescent="0.3">
      <c r="A59" s="264" t="str">
        <f t="shared" ref="A59:B59" si="9">A43</f>
        <v>31. Desarrollar encuentros diferenciales de mujeres, con el fin de diseñar e implementar jornadas informativas dirigidas a los sectores de la administración distrital, para la incorporación  del enfoque de género y diferencial en las políticas y prácticas institucionales, para generar una transformación cultural efectiva, reduciendo los imaginarios, estereotipos y representaciones de las mujeres sus diferencias y diversidad.</v>
      </c>
      <c r="B59" s="266">
        <f t="shared" si="9"/>
        <v>0.05</v>
      </c>
      <c r="C59" s="219" t="s">
        <v>65</v>
      </c>
      <c r="D59" s="220">
        <f>D43*$B$43/$P$43</f>
        <v>5.0000000000000001E-4</v>
      </c>
      <c r="E59" s="220">
        <f>E43*$B$43/$P$43</f>
        <v>4.4999999999999997E-3</v>
      </c>
      <c r="F59" s="220">
        <f t="shared" ref="F59:I59" si="10">F43*$B$43/$P$43</f>
        <v>5.000000000000001E-3</v>
      </c>
      <c r="G59" s="220">
        <f t="shared" si="10"/>
        <v>2.0000000000000004E-2</v>
      </c>
      <c r="H59" s="220">
        <f t="shared" si="10"/>
        <v>2.0000000000000004E-2</v>
      </c>
      <c r="I59" s="220">
        <f t="shared" si="10"/>
        <v>0</v>
      </c>
      <c r="J59" s="220">
        <f t="shared" ref="J59:O59" si="11">J43*$B$43/$P$43</f>
        <v>0</v>
      </c>
      <c r="K59" s="220">
        <f t="shared" si="11"/>
        <v>0</v>
      </c>
      <c r="L59" s="220">
        <f t="shared" si="11"/>
        <v>0</v>
      </c>
      <c r="M59" s="220">
        <f t="shared" si="11"/>
        <v>0</v>
      </c>
      <c r="N59" s="220">
        <f t="shared" si="11"/>
        <v>0</v>
      </c>
      <c r="O59" s="220">
        <f t="shared" si="11"/>
        <v>0</v>
      </c>
      <c r="P59" s="221">
        <f t="shared" si="6"/>
        <v>5.000000000000001E-2</v>
      </c>
      <c r="Q59" s="222">
        <v>2.5000000000000001E-2</v>
      </c>
      <c r="R59" s="223">
        <f t="shared" si="7"/>
        <v>2.5000000000000008E-2</v>
      </c>
      <c r="S59" s="216"/>
      <c r="T59" s="216"/>
      <c r="U59" s="216"/>
      <c r="V59" s="216"/>
      <c r="W59" s="216"/>
      <c r="X59" s="216"/>
      <c r="Y59" s="216"/>
      <c r="Z59" s="216"/>
      <c r="AA59" s="216"/>
      <c r="AB59" s="216"/>
      <c r="AC59" s="216"/>
      <c r="AD59" s="216"/>
    </row>
    <row r="60" spans="1:30" ht="18" customHeight="1" x14ac:dyDescent="0.3">
      <c r="A60" s="265"/>
      <c r="B60" s="267"/>
      <c r="C60" s="224" t="s">
        <v>66</v>
      </c>
      <c r="D60" s="225">
        <f>D44*$B$43/$P$43</f>
        <v>5.0000000000000001E-4</v>
      </c>
      <c r="E60" s="225">
        <f t="shared" ref="E60:I60" si="12">E44*$B$43/$P$43</f>
        <v>4.4999999999999997E-3</v>
      </c>
      <c r="F60" s="225">
        <f t="shared" si="12"/>
        <v>0</v>
      </c>
      <c r="G60" s="225">
        <f t="shared" si="12"/>
        <v>0</v>
      </c>
      <c r="H60" s="225">
        <f t="shared" si="12"/>
        <v>0</v>
      </c>
      <c r="I60" s="225">
        <f t="shared" si="12"/>
        <v>0</v>
      </c>
      <c r="J60" s="225">
        <f t="shared" ref="J60:O60" si="13">J44*$B$43/$P$43</f>
        <v>0</v>
      </c>
      <c r="K60" s="225">
        <f t="shared" si="13"/>
        <v>0</v>
      </c>
      <c r="L60" s="225">
        <f t="shared" si="13"/>
        <v>0</v>
      </c>
      <c r="M60" s="225">
        <f t="shared" si="13"/>
        <v>0</v>
      </c>
      <c r="N60" s="225">
        <f t="shared" si="13"/>
        <v>0</v>
      </c>
      <c r="O60" s="225">
        <f t="shared" si="13"/>
        <v>0</v>
      </c>
      <c r="P60" s="226">
        <f t="shared" si="6"/>
        <v>4.9999999999999992E-3</v>
      </c>
      <c r="Q60" s="227">
        <f>+P60</f>
        <v>4.9999999999999992E-3</v>
      </c>
      <c r="R60" s="223">
        <f t="shared" si="7"/>
        <v>0</v>
      </c>
      <c r="S60" s="216"/>
      <c r="T60" s="216"/>
      <c r="U60" s="216"/>
      <c r="V60" s="216"/>
      <c r="W60" s="216"/>
      <c r="X60" s="216"/>
      <c r="Y60" s="216"/>
      <c r="Z60" s="216"/>
      <c r="AA60" s="216"/>
      <c r="AB60" s="216"/>
      <c r="AC60" s="216"/>
      <c r="AD60" s="216"/>
    </row>
    <row r="61" spans="1:30" x14ac:dyDescent="0.3">
      <c r="A61" s="260"/>
      <c r="B61" s="262"/>
      <c r="C61" s="231"/>
      <c r="D61" s="220"/>
      <c r="E61" s="220"/>
      <c r="F61" s="220"/>
      <c r="G61" s="220"/>
      <c r="H61" s="220"/>
      <c r="I61" s="220"/>
      <c r="J61" s="220"/>
      <c r="K61" s="220"/>
      <c r="L61" s="220"/>
      <c r="M61" s="220"/>
      <c r="N61" s="220"/>
      <c r="O61" s="220"/>
      <c r="P61" s="232"/>
      <c r="Q61" s="222">
        <v>0.02</v>
      </c>
      <c r="R61" s="223">
        <f t="shared" si="7"/>
        <v>-0.02</v>
      </c>
      <c r="S61" s="216"/>
      <c r="T61" s="216"/>
      <c r="U61" s="216"/>
      <c r="V61" s="216"/>
      <c r="W61" s="216"/>
      <c r="X61" s="216"/>
      <c r="Y61" s="216"/>
      <c r="Z61" s="216"/>
      <c r="AA61" s="216"/>
      <c r="AB61" s="216"/>
      <c r="AC61" s="216"/>
      <c r="AD61" s="216"/>
    </row>
    <row r="62" spans="1:30" x14ac:dyDescent="0.3">
      <c r="A62" s="261"/>
      <c r="B62" s="263"/>
      <c r="C62" s="231"/>
      <c r="D62" s="233"/>
      <c r="E62" s="233"/>
      <c r="F62" s="233"/>
      <c r="G62" s="233"/>
      <c r="H62" s="233"/>
      <c r="I62" s="233"/>
      <c r="J62" s="233"/>
      <c r="K62" s="233"/>
      <c r="L62" s="233"/>
      <c r="M62" s="233"/>
      <c r="N62" s="233"/>
      <c r="O62" s="233"/>
      <c r="P62" s="232"/>
      <c r="Q62" s="227">
        <f>+P62</f>
        <v>0</v>
      </c>
      <c r="R62" s="223">
        <f t="shared" si="7"/>
        <v>0</v>
      </c>
      <c r="S62" s="216"/>
      <c r="T62" s="216"/>
      <c r="U62" s="216"/>
      <c r="V62" s="216"/>
      <c r="W62" s="216"/>
      <c r="X62" s="216"/>
      <c r="Y62" s="216"/>
      <c r="Z62" s="216"/>
      <c r="AA62" s="216"/>
      <c r="AB62" s="216"/>
      <c r="AC62" s="216"/>
      <c r="AD62" s="216"/>
    </row>
    <row r="63" spans="1:30" x14ac:dyDescent="0.3">
      <c r="A63" s="260"/>
      <c r="B63" s="262"/>
      <c r="C63" s="231"/>
      <c r="D63" s="220"/>
      <c r="E63" s="220"/>
      <c r="F63" s="220"/>
      <c r="G63" s="220"/>
      <c r="H63" s="220"/>
      <c r="I63" s="220"/>
      <c r="J63" s="220"/>
      <c r="K63" s="220"/>
      <c r="L63" s="220"/>
      <c r="M63" s="220"/>
      <c r="N63" s="220"/>
      <c r="O63" s="220"/>
      <c r="P63" s="232"/>
      <c r="Q63" s="222">
        <v>0.02</v>
      </c>
      <c r="R63" s="223">
        <f t="shared" si="7"/>
        <v>-0.02</v>
      </c>
      <c r="S63" s="216"/>
      <c r="T63" s="216"/>
      <c r="U63" s="216"/>
      <c r="V63" s="216"/>
      <c r="W63" s="216"/>
      <c r="X63" s="216"/>
      <c r="Y63" s="216"/>
      <c r="Z63" s="216"/>
      <c r="AA63" s="216"/>
      <c r="AB63" s="216"/>
      <c r="AC63" s="216"/>
      <c r="AD63" s="216"/>
    </row>
    <row r="64" spans="1:30" x14ac:dyDescent="0.3">
      <c r="A64" s="261"/>
      <c r="B64" s="263"/>
      <c r="C64" s="231"/>
      <c r="D64" s="233"/>
      <c r="E64" s="233"/>
      <c r="F64" s="233"/>
      <c r="G64" s="233"/>
      <c r="H64" s="233"/>
      <c r="I64" s="233"/>
      <c r="J64" s="233"/>
      <c r="K64" s="233"/>
      <c r="L64" s="233"/>
      <c r="M64" s="233"/>
      <c r="N64" s="233"/>
      <c r="O64" s="233"/>
      <c r="P64" s="232"/>
      <c r="Q64" s="227">
        <f>+P64</f>
        <v>0</v>
      </c>
      <c r="R64" s="223">
        <f t="shared" si="7"/>
        <v>0</v>
      </c>
      <c r="S64" s="216"/>
      <c r="T64" s="216"/>
      <c r="U64" s="216"/>
      <c r="V64" s="216"/>
      <c r="W64" s="216"/>
      <c r="X64" s="216"/>
      <c r="Y64" s="216"/>
      <c r="Z64" s="216"/>
      <c r="AA64" s="216"/>
      <c r="AB64" s="216"/>
      <c r="AC64" s="216"/>
      <c r="AD64" s="216"/>
    </row>
    <row r="65" spans="1:30" x14ac:dyDescent="0.3">
      <c r="A65" s="260"/>
      <c r="B65" s="262"/>
      <c r="C65" s="231"/>
      <c r="D65" s="220"/>
      <c r="E65" s="220"/>
      <c r="F65" s="220"/>
      <c r="G65" s="220"/>
      <c r="H65" s="220"/>
      <c r="I65" s="220"/>
      <c r="J65" s="220"/>
      <c r="K65" s="220"/>
      <c r="L65" s="220"/>
      <c r="M65" s="220"/>
      <c r="N65" s="220"/>
      <c r="O65" s="220"/>
      <c r="P65" s="232"/>
      <c r="Q65" s="222"/>
      <c r="R65" s="223"/>
      <c r="S65" s="216"/>
      <c r="T65" s="216"/>
      <c r="U65" s="216"/>
      <c r="V65" s="216"/>
      <c r="W65" s="216"/>
      <c r="X65" s="216"/>
      <c r="Y65" s="216"/>
      <c r="Z65" s="216"/>
      <c r="AA65" s="216"/>
      <c r="AB65" s="216"/>
      <c r="AC65" s="216"/>
      <c r="AD65" s="216"/>
    </row>
    <row r="66" spans="1:30" x14ac:dyDescent="0.3">
      <c r="A66" s="261"/>
      <c r="B66" s="263"/>
      <c r="C66" s="231"/>
      <c r="D66" s="233"/>
      <c r="E66" s="233"/>
      <c r="F66" s="233"/>
      <c r="G66" s="233"/>
      <c r="H66" s="233"/>
      <c r="I66" s="233"/>
      <c r="J66" s="233"/>
      <c r="K66" s="233"/>
      <c r="L66" s="233"/>
      <c r="M66" s="233"/>
      <c r="N66" s="233"/>
      <c r="O66" s="233"/>
      <c r="P66" s="232"/>
      <c r="Q66" s="227"/>
      <c r="R66" s="223"/>
      <c r="S66" s="216"/>
      <c r="T66" s="216"/>
      <c r="U66" s="216"/>
      <c r="V66" s="216"/>
      <c r="W66" s="216"/>
      <c r="X66" s="216"/>
      <c r="Y66" s="216"/>
      <c r="Z66" s="216"/>
      <c r="AA66" s="216"/>
      <c r="AB66" s="216"/>
      <c r="AC66" s="216"/>
      <c r="AD66" s="216"/>
    </row>
    <row r="67" spans="1:30" x14ac:dyDescent="0.3">
      <c r="A67" s="215"/>
      <c r="B67" s="234"/>
      <c r="C67" s="235"/>
      <c r="D67" s="236">
        <f>D58+D60</f>
        <v>5.0000000000000001E-4</v>
      </c>
      <c r="E67" s="236">
        <f t="shared" ref="E67:O67" si="14">E58+E60</f>
        <v>9.5000000000000015E-3</v>
      </c>
      <c r="F67" s="236">
        <f t="shared" si="14"/>
        <v>0</v>
      </c>
      <c r="G67" s="236">
        <f t="shared" si="14"/>
        <v>0</v>
      </c>
      <c r="H67" s="236">
        <f t="shared" si="14"/>
        <v>0</v>
      </c>
      <c r="I67" s="236">
        <f t="shared" si="14"/>
        <v>0</v>
      </c>
      <c r="J67" s="236">
        <f t="shared" si="14"/>
        <v>0</v>
      </c>
      <c r="K67" s="236">
        <f t="shared" si="14"/>
        <v>0</v>
      </c>
      <c r="L67" s="236">
        <f t="shared" si="14"/>
        <v>0</v>
      </c>
      <c r="M67" s="236">
        <f t="shared" si="14"/>
        <v>0</v>
      </c>
      <c r="N67" s="236">
        <f t="shared" si="14"/>
        <v>0</v>
      </c>
      <c r="O67" s="236">
        <f t="shared" si="14"/>
        <v>0</v>
      </c>
      <c r="P67" s="236">
        <f>P58+P60</f>
        <v>0.01</v>
      </c>
      <c r="Q67" s="215"/>
      <c r="R67" s="223">
        <f t="shared" si="7"/>
        <v>0.01</v>
      </c>
      <c r="S67" s="216"/>
      <c r="T67" s="216"/>
      <c r="U67" s="216"/>
      <c r="V67" s="216"/>
      <c r="W67" s="216"/>
      <c r="X67" s="216"/>
      <c r="Y67" s="216"/>
      <c r="Z67" s="216"/>
      <c r="AA67" s="216"/>
      <c r="AB67" s="216"/>
      <c r="AC67" s="216"/>
      <c r="AD67" s="216"/>
    </row>
    <row r="68" spans="1:30" x14ac:dyDescent="0.3">
      <c r="A68" s="215"/>
      <c r="B68" s="237"/>
      <c r="C68" s="238" t="s">
        <v>66</v>
      </c>
      <c r="D68" s="239">
        <f>D67*1/$B$35</f>
        <v>5.0000000000000001E-3</v>
      </c>
      <c r="E68" s="239">
        <f t="shared" ref="E68:O68" si="15">E67*1/$B$35</f>
        <v>9.5000000000000015E-2</v>
      </c>
      <c r="F68" s="239">
        <f t="shared" si="15"/>
        <v>0</v>
      </c>
      <c r="G68" s="239">
        <f t="shared" si="15"/>
        <v>0</v>
      </c>
      <c r="H68" s="239">
        <f t="shared" si="15"/>
        <v>0</v>
      </c>
      <c r="I68" s="239">
        <f t="shared" si="15"/>
        <v>0</v>
      </c>
      <c r="J68" s="239">
        <f t="shared" si="15"/>
        <v>0</v>
      </c>
      <c r="K68" s="239">
        <f t="shared" si="15"/>
        <v>0</v>
      </c>
      <c r="L68" s="239">
        <f t="shared" si="15"/>
        <v>0</v>
      </c>
      <c r="M68" s="239">
        <f t="shared" si="15"/>
        <v>0</v>
      </c>
      <c r="N68" s="239">
        <f t="shared" si="15"/>
        <v>0</v>
      </c>
      <c r="O68" s="239">
        <f t="shared" si="15"/>
        <v>0</v>
      </c>
      <c r="P68" s="240">
        <f>SUM(D68:O68)</f>
        <v>0.10000000000000002</v>
      </c>
      <c r="Q68" s="241"/>
      <c r="R68" s="215"/>
      <c r="S68" s="216"/>
      <c r="T68" s="216"/>
      <c r="U68" s="216"/>
      <c r="V68" s="216"/>
      <c r="W68" s="216"/>
      <c r="X68" s="216"/>
      <c r="Y68" s="216"/>
      <c r="Z68" s="216"/>
      <c r="AA68" s="216"/>
      <c r="AB68" s="216"/>
      <c r="AC68" s="216"/>
      <c r="AD68" s="216"/>
    </row>
    <row r="69" spans="1:30" x14ac:dyDescent="0.3">
      <c r="A69" s="241"/>
      <c r="B69" s="242"/>
      <c r="C69" s="242"/>
      <c r="D69" s="242"/>
      <c r="E69" s="242"/>
      <c r="F69" s="242"/>
      <c r="G69" s="242"/>
      <c r="H69" s="242"/>
      <c r="I69" s="242"/>
      <c r="J69" s="242"/>
      <c r="K69" s="242"/>
      <c r="L69" s="242"/>
      <c r="M69" s="242"/>
      <c r="N69" s="242"/>
      <c r="O69" s="242"/>
      <c r="P69" s="242"/>
      <c r="Q69" s="241"/>
      <c r="R69" s="241"/>
      <c r="S69" s="216"/>
      <c r="T69" s="216"/>
      <c r="U69" s="216"/>
      <c r="V69" s="216"/>
      <c r="W69" s="216"/>
      <c r="X69" s="216"/>
      <c r="Y69" s="216"/>
      <c r="Z69" s="216"/>
      <c r="AA69" s="216"/>
      <c r="AB69" s="216"/>
      <c r="AC69" s="216"/>
      <c r="AD69" s="216"/>
    </row>
    <row r="70" spans="1:30" x14ac:dyDescent="0.3">
      <c r="A70" s="222"/>
      <c r="B70" s="33"/>
      <c r="C70" s="33"/>
      <c r="D70" s="236">
        <f>+D57+D59</f>
        <v>5.0000000000000001E-4</v>
      </c>
      <c r="E70" s="236">
        <f t="shared" ref="E70:O70" si="16">+E57+E59</f>
        <v>9.5000000000000015E-3</v>
      </c>
      <c r="F70" s="236">
        <f t="shared" si="16"/>
        <v>0.02</v>
      </c>
      <c r="G70" s="236">
        <f t="shared" si="16"/>
        <v>3.5000000000000003E-2</v>
      </c>
      <c r="H70" s="236">
        <f t="shared" si="16"/>
        <v>3.5000000000000003E-2</v>
      </c>
      <c r="I70" s="236">
        <f t="shared" si="16"/>
        <v>0</v>
      </c>
      <c r="J70" s="236">
        <f t="shared" si="16"/>
        <v>0</v>
      </c>
      <c r="K70" s="236">
        <f t="shared" si="16"/>
        <v>0</v>
      </c>
      <c r="L70" s="236">
        <f t="shared" si="16"/>
        <v>0</v>
      </c>
      <c r="M70" s="236">
        <f t="shared" si="16"/>
        <v>0</v>
      </c>
      <c r="N70" s="236">
        <f t="shared" si="16"/>
        <v>0</v>
      </c>
      <c r="O70" s="236">
        <f t="shared" si="16"/>
        <v>0</v>
      </c>
      <c r="P70" s="236">
        <f>+P57+P59</f>
        <v>0.1</v>
      </c>
      <c r="Q70" s="222"/>
      <c r="R70" s="222"/>
      <c r="S70" s="216"/>
      <c r="T70" s="216"/>
      <c r="U70" s="216"/>
      <c r="V70" s="216"/>
      <c r="W70" s="216"/>
      <c r="X70" s="216"/>
      <c r="Y70" s="216"/>
      <c r="Z70" s="216"/>
      <c r="AA70" s="216"/>
      <c r="AB70" s="216"/>
      <c r="AC70" s="216"/>
      <c r="AD70" s="216"/>
    </row>
    <row r="71" spans="1:30" x14ac:dyDescent="0.3">
      <c r="A71" s="222"/>
      <c r="B71" s="33"/>
      <c r="C71" s="238" t="s">
        <v>65</v>
      </c>
      <c r="D71" s="239">
        <f>D70*1/$B$35</f>
        <v>5.0000000000000001E-3</v>
      </c>
      <c r="E71" s="239">
        <f t="shared" ref="E71:O71" si="17">E70*1/$B$35</f>
        <v>9.5000000000000015E-2</v>
      </c>
      <c r="F71" s="239">
        <f t="shared" si="17"/>
        <v>0.19999999999999998</v>
      </c>
      <c r="G71" s="239">
        <f t="shared" si="17"/>
        <v>0.35000000000000003</v>
      </c>
      <c r="H71" s="239">
        <f t="shared" si="17"/>
        <v>0.35000000000000003</v>
      </c>
      <c r="I71" s="239">
        <f t="shared" si="17"/>
        <v>0</v>
      </c>
      <c r="J71" s="239">
        <f t="shared" si="17"/>
        <v>0</v>
      </c>
      <c r="K71" s="239">
        <f t="shared" si="17"/>
        <v>0</v>
      </c>
      <c r="L71" s="239">
        <f t="shared" si="17"/>
        <v>0</v>
      </c>
      <c r="M71" s="239">
        <f t="shared" si="17"/>
        <v>0</v>
      </c>
      <c r="N71" s="239">
        <f t="shared" si="17"/>
        <v>0</v>
      </c>
      <c r="O71" s="239">
        <f t="shared" si="17"/>
        <v>0</v>
      </c>
      <c r="P71" s="240">
        <f>SUM(D71:O71)</f>
        <v>1</v>
      </c>
      <c r="Q71" s="222"/>
      <c r="R71" s="222"/>
      <c r="S71" s="216"/>
      <c r="T71" s="216"/>
      <c r="U71" s="216"/>
      <c r="V71" s="216"/>
      <c r="W71" s="216"/>
      <c r="X71" s="216"/>
      <c r="Y71" s="216"/>
      <c r="Z71" s="216"/>
      <c r="AA71" s="216"/>
      <c r="AB71" s="216"/>
      <c r="AC71" s="216"/>
      <c r="AD71" s="216"/>
    </row>
    <row r="72" spans="1:30" x14ac:dyDescent="0.3">
      <c r="A72" s="254"/>
    </row>
    <row r="73" spans="1:30" x14ac:dyDescent="0.3">
      <c r="A73" s="254"/>
    </row>
    <row r="74" spans="1:30" x14ac:dyDescent="0.3">
      <c r="A74" s="254"/>
    </row>
    <row r="75" spans="1:30" x14ac:dyDescent="0.3">
      <c r="A75" s="254"/>
    </row>
    <row r="76" spans="1:30" x14ac:dyDescent="0.3">
      <c r="A76" s="254"/>
    </row>
    <row r="77" spans="1:30" x14ac:dyDescent="0.3">
      <c r="A77" s="254"/>
    </row>
    <row r="78" spans="1:30" x14ac:dyDescent="0.3">
      <c r="A78" s="254"/>
    </row>
    <row r="79" spans="1:30" x14ac:dyDescent="0.3">
      <c r="A79" s="254"/>
    </row>
    <row r="80" spans="1:30" x14ac:dyDescent="0.3">
      <c r="A80" s="254"/>
    </row>
    <row r="81" spans="1:1" x14ac:dyDescent="0.3">
      <c r="A81" s="254"/>
    </row>
    <row r="82" spans="1:1" x14ac:dyDescent="0.3">
      <c r="A82" s="254"/>
    </row>
    <row r="83" spans="1:1" x14ac:dyDescent="0.3">
      <c r="A83" s="254"/>
    </row>
    <row r="84" spans="1:1" x14ac:dyDescent="0.3">
      <c r="A84" s="254"/>
    </row>
    <row r="85" spans="1:1" x14ac:dyDescent="0.3">
      <c r="A85" s="254"/>
    </row>
    <row r="86" spans="1:1" x14ac:dyDescent="0.3">
      <c r="A86" s="254"/>
    </row>
    <row r="87" spans="1:1" x14ac:dyDescent="0.3">
      <c r="A87" s="254"/>
    </row>
    <row r="88" spans="1:1" x14ac:dyDescent="0.3">
      <c r="A88" s="254"/>
    </row>
    <row r="89" spans="1:1" x14ac:dyDescent="0.3">
      <c r="A89" s="254"/>
    </row>
    <row r="90" spans="1:1" x14ac:dyDescent="0.3">
      <c r="A90" s="254"/>
    </row>
    <row r="91" spans="1:1" x14ac:dyDescent="0.3">
      <c r="A91" s="254"/>
    </row>
    <row r="92" spans="1:1" x14ac:dyDescent="0.3">
      <c r="A92" s="254"/>
    </row>
    <row r="93" spans="1:1" x14ac:dyDescent="0.3">
      <c r="A93" s="254"/>
    </row>
    <row r="94" spans="1:1" x14ac:dyDescent="0.3">
      <c r="A94" s="254"/>
    </row>
  </sheetData>
  <mergeCells count="88">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 ref="A59:A60"/>
    <mergeCell ref="B59:B60"/>
    <mergeCell ref="A55:A56"/>
    <mergeCell ref="B55:B56"/>
    <mergeCell ref="C55:P55"/>
    <mergeCell ref="A57:A58"/>
    <mergeCell ref="B57:B58"/>
    <mergeCell ref="A61:A62"/>
    <mergeCell ref="B61:B62"/>
    <mergeCell ref="A63:A64"/>
    <mergeCell ref="B63:B64"/>
    <mergeCell ref="A65:A66"/>
    <mergeCell ref="B65:B66"/>
  </mergeCells>
  <dataValidations count="3">
    <dataValidation type="list" allowBlank="1" showInputMessage="1" showErrorMessage="1" sqref="C7:C9" xr:uid="{00000000-0002-0000-0600-000000000000}">
      <formula1>$B$21:$M$21</formula1>
    </dataValidation>
    <dataValidation type="textLength" operator="lessThanOrEqual" allowBlank="1" showInputMessage="1" showErrorMessage="1" errorTitle="Máximo 2.000 caracteres" error="Máximo 2.000 caracteres" promptTitle="2.000 caracteres" sqref="Q30:Q31" xr:uid="{00000000-0002-0000-0600-000001000000}">
      <formula1>2000</formula1>
    </dataValidation>
    <dataValidation type="textLength" operator="lessThanOrEqual" allowBlank="1" showInputMessage="1" showErrorMessage="1" errorTitle="Máximo 2.000 caracteres" error="Máximo 2.000 caracteres" sqref="AC35 Q41 Q43 Y35 U35 Q35" xr:uid="{00000000-0002-0000-0600-000002000000}">
      <formula1>2000</formula1>
    </dataValidation>
  </dataValidations>
  <hyperlinks>
    <hyperlink ref="Y41" r:id="rId1" xr:uid="{3580D5B6-945E-4ED4-AF7D-12E9ECA8F419}"/>
    <hyperlink ref="Y43" r:id="rId2" xr:uid="{7D8C8918-F4D5-49DD-87F1-B192D26D1EB8}"/>
  </hyperlinks>
  <printOptions horizontalCentered="1"/>
  <pageMargins left="0.23622047244094491" right="0.23622047244094491" top="0.74803149606299213" bottom="0.74803149606299213" header="0.31496062992125984" footer="0.31496062992125984"/>
  <pageSetup scale="20" orientation="landscape"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XFD23"/>
  <sheetViews>
    <sheetView tabSelected="1" topLeftCell="A13" zoomScale="69" zoomScaleNormal="69" workbookViewId="0">
      <selection activeCell="J14" sqref="J14"/>
    </sheetView>
  </sheetViews>
  <sheetFormatPr baseColWidth="10" defaultColWidth="10.88671875" defaultRowHeight="13.8" x14ac:dyDescent="0.3"/>
  <cols>
    <col min="1" max="1" width="15" style="33" customWidth="1"/>
    <col min="2" max="2" width="8.33203125" style="33" customWidth="1"/>
    <col min="3" max="3" width="11.44140625" style="33" customWidth="1"/>
    <col min="4" max="4" width="23.5546875" style="33" customWidth="1"/>
    <col min="5" max="5" width="15.88671875" style="33" customWidth="1"/>
    <col min="6" max="8" width="29.33203125" style="33" customWidth="1"/>
    <col min="9" max="9" width="20.5546875" style="33" customWidth="1"/>
    <col min="10" max="10" width="18.88671875" style="153" customWidth="1"/>
    <col min="11" max="11" width="15.33203125" style="33" customWidth="1"/>
    <col min="12" max="13" width="21.109375" style="33" customWidth="1"/>
    <col min="14" max="18" width="8.6640625" style="33" customWidth="1"/>
    <col min="19" max="19" width="22.33203125" style="33" customWidth="1"/>
    <col min="20" max="20" width="22.44140625" style="33" customWidth="1"/>
    <col min="21" max="31" width="7.44140625" style="33" customWidth="1"/>
    <col min="32" max="32" width="5.88671875" style="33" customWidth="1"/>
    <col min="33" max="43" width="8.109375" style="33" customWidth="1"/>
    <col min="44" max="44" width="5.88671875" style="33" customWidth="1"/>
    <col min="45" max="45" width="17.109375" style="33" customWidth="1"/>
    <col min="46" max="46" width="15.88671875" style="97" customWidth="1"/>
    <col min="47" max="47" width="25.109375" style="33" customWidth="1"/>
    <col min="48" max="48" width="20.33203125" style="33" customWidth="1"/>
    <col min="49" max="49" width="31.5546875" style="33" customWidth="1"/>
    <col min="50" max="51" width="24.44140625" style="33" customWidth="1"/>
    <col min="52" max="16382" width="10.88671875" style="33"/>
    <col min="16383" max="16383" width="9" style="33" customWidth="1"/>
    <col min="16384" max="16384" width="10.88671875" style="33"/>
  </cols>
  <sheetData>
    <row r="1" spans="1:51 16384:16384" ht="15.9" customHeight="1" x14ac:dyDescent="0.3">
      <c r="A1" s="558" t="s">
        <v>0</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60"/>
      <c r="AX1" s="553" t="s">
        <v>1</v>
      </c>
      <c r="AY1" s="554"/>
    </row>
    <row r="2" spans="1:51 16384:16384" ht="15.9" customHeight="1" x14ac:dyDescent="0.3">
      <c r="A2" s="561" t="s">
        <v>2</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c r="AW2" s="563"/>
      <c r="AX2" s="555" t="s">
        <v>3</v>
      </c>
      <c r="AY2" s="556"/>
    </row>
    <row r="3" spans="1:51 16384:16384" ht="15" customHeight="1" x14ac:dyDescent="0.3">
      <c r="A3" s="564" t="s">
        <v>128</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6"/>
      <c r="AX3" s="555" t="s">
        <v>5</v>
      </c>
      <c r="AY3" s="556"/>
    </row>
    <row r="4" spans="1:51 16384:16384" ht="15.9" customHeight="1" x14ac:dyDescent="0.3">
      <c r="A4" s="558"/>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60"/>
      <c r="AX4" s="557" t="s">
        <v>129</v>
      </c>
      <c r="AY4" s="557"/>
    </row>
    <row r="5" spans="1:51 16384:16384" ht="15" customHeight="1" x14ac:dyDescent="0.3">
      <c r="A5" s="544" t="s">
        <v>130</v>
      </c>
      <c r="B5" s="545"/>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6"/>
      <c r="AG5" s="547" t="s">
        <v>13</v>
      </c>
      <c r="AH5" s="548"/>
      <c r="AI5" s="548"/>
      <c r="AJ5" s="548"/>
      <c r="AK5" s="548"/>
      <c r="AL5" s="548"/>
      <c r="AM5" s="548"/>
      <c r="AN5" s="548"/>
      <c r="AO5" s="548"/>
      <c r="AP5" s="548"/>
      <c r="AQ5" s="548"/>
      <c r="AR5" s="548"/>
      <c r="AS5" s="548"/>
      <c r="AT5" s="531"/>
      <c r="AU5" s="536" t="s">
        <v>131</v>
      </c>
      <c r="AV5" s="536" t="s">
        <v>132</v>
      </c>
      <c r="AW5" s="536" t="s">
        <v>133</v>
      </c>
      <c r="AX5" s="536" t="s">
        <v>134</v>
      </c>
      <c r="AY5" s="536" t="s">
        <v>135</v>
      </c>
    </row>
    <row r="6" spans="1:51 16384:16384" ht="15" customHeight="1" x14ac:dyDescent="0.3">
      <c r="A6" s="569" t="s">
        <v>8</v>
      </c>
      <c r="B6" s="573">
        <v>45357</v>
      </c>
      <c r="C6" s="574"/>
      <c r="D6" s="531"/>
      <c r="E6" s="534" t="s">
        <v>10</v>
      </c>
      <c r="F6" s="534"/>
      <c r="G6" s="146"/>
      <c r="H6" s="126"/>
      <c r="I6" s="547"/>
      <c r="J6" s="548"/>
      <c r="K6" s="548"/>
      <c r="L6" s="548"/>
      <c r="M6" s="548"/>
      <c r="N6" s="548"/>
      <c r="O6" s="548"/>
      <c r="P6" s="548"/>
      <c r="Q6" s="548"/>
      <c r="R6" s="548"/>
      <c r="S6" s="548"/>
      <c r="T6" s="548"/>
      <c r="U6" s="34"/>
      <c r="V6" s="34"/>
      <c r="W6" s="34"/>
      <c r="X6" s="34"/>
      <c r="Y6" s="34"/>
      <c r="Z6" s="34"/>
      <c r="AA6" s="34"/>
      <c r="AB6" s="34"/>
      <c r="AC6" s="34"/>
      <c r="AD6" s="34"/>
      <c r="AE6" s="34"/>
      <c r="AF6" s="35"/>
      <c r="AG6" s="549"/>
      <c r="AH6" s="550"/>
      <c r="AI6" s="550"/>
      <c r="AJ6" s="550"/>
      <c r="AK6" s="550"/>
      <c r="AL6" s="550"/>
      <c r="AM6" s="550"/>
      <c r="AN6" s="550"/>
      <c r="AO6" s="550"/>
      <c r="AP6" s="550"/>
      <c r="AQ6" s="550"/>
      <c r="AR6" s="550"/>
      <c r="AS6" s="550"/>
      <c r="AT6" s="532"/>
      <c r="AU6" s="543"/>
      <c r="AV6" s="543"/>
      <c r="AW6" s="543"/>
      <c r="AX6" s="543"/>
      <c r="AY6" s="543"/>
    </row>
    <row r="7" spans="1:51 16384:16384" ht="15" customHeight="1" x14ac:dyDescent="0.3">
      <c r="A7" s="569"/>
      <c r="B7" s="574"/>
      <c r="C7" s="574"/>
      <c r="D7" s="532"/>
      <c r="E7" s="534" t="s">
        <v>11</v>
      </c>
      <c r="F7" s="534"/>
      <c r="G7" s="41"/>
      <c r="H7" s="127"/>
      <c r="I7" s="549"/>
      <c r="J7" s="550"/>
      <c r="K7" s="550"/>
      <c r="L7" s="550"/>
      <c r="M7" s="550"/>
      <c r="N7" s="550"/>
      <c r="O7" s="550"/>
      <c r="P7" s="550"/>
      <c r="Q7" s="550"/>
      <c r="R7" s="550"/>
      <c r="S7" s="550"/>
      <c r="T7" s="550"/>
      <c r="U7" s="36"/>
      <c r="V7" s="36"/>
      <c r="W7" s="36"/>
      <c r="X7" s="36"/>
      <c r="Y7" s="36"/>
      <c r="Z7" s="36"/>
      <c r="AA7" s="36"/>
      <c r="AB7" s="36"/>
      <c r="AC7" s="36"/>
      <c r="AD7" s="36"/>
      <c r="AE7" s="36"/>
      <c r="AF7" s="37"/>
      <c r="AG7" s="549"/>
      <c r="AH7" s="550"/>
      <c r="AI7" s="550"/>
      <c r="AJ7" s="550"/>
      <c r="AK7" s="550"/>
      <c r="AL7" s="550"/>
      <c r="AM7" s="550"/>
      <c r="AN7" s="550"/>
      <c r="AO7" s="550"/>
      <c r="AP7" s="550"/>
      <c r="AQ7" s="550"/>
      <c r="AR7" s="550"/>
      <c r="AS7" s="550"/>
      <c r="AT7" s="532"/>
      <c r="AU7" s="543"/>
      <c r="AV7" s="543"/>
      <c r="AW7" s="543"/>
      <c r="AX7" s="543"/>
      <c r="AY7" s="543"/>
    </row>
    <row r="8" spans="1:51 16384:16384" ht="15" customHeight="1" x14ac:dyDescent="0.3">
      <c r="A8" s="569"/>
      <c r="B8" s="574"/>
      <c r="C8" s="574"/>
      <c r="D8" s="533"/>
      <c r="E8" s="534" t="s">
        <v>13</v>
      </c>
      <c r="F8" s="534"/>
      <c r="G8" s="146" t="s">
        <v>12</v>
      </c>
      <c r="H8" s="128"/>
      <c r="I8" s="551"/>
      <c r="J8" s="552"/>
      <c r="K8" s="552"/>
      <c r="L8" s="552"/>
      <c r="M8" s="552"/>
      <c r="N8" s="552"/>
      <c r="O8" s="552"/>
      <c r="P8" s="552"/>
      <c r="Q8" s="552"/>
      <c r="R8" s="552"/>
      <c r="S8" s="552"/>
      <c r="T8" s="552"/>
      <c r="U8" s="38"/>
      <c r="V8" s="38"/>
      <c r="W8" s="38"/>
      <c r="X8" s="38"/>
      <c r="Y8" s="38"/>
      <c r="Z8" s="38"/>
      <c r="AA8" s="38"/>
      <c r="AB8" s="38"/>
      <c r="AC8" s="38"/>
      <c r="AD8" s="38"/>
      <c r="AE8" s="38"/>
      <c r="AF8" s="39"/>
      <c r="AG8" s="549"/>
      <c r="AH8" s="550"/>
      <c r="AI8" s="550"/>
      <c r="AJ8" s="550"/>
      <c r="AK8" s="550"/>
      <c r="AL8" s="550"/>
      <c r="AM8" s="550"/>
      <c r="AN8" s="550"/>
      <c r="AO8" s="550"/>
      <c r="AP8" s="550"/>
      <c r="AQ8" s="550"/>
      <c r="AR8" s="550"/>
      <c r="AS8" s="550"/>
      <c r="AT8" s="532"/>
      <c r="AU8" s="543"/>
      <c r="AV8" s="543"/>
      <c r="AW8" s="543"/>
      <c r="AX8" s="543"/>
      <c r="AY8" s="543"/>
    </row>
    <row r="9" spans="1:51 16384:16384" ht="15" customHeight="1" x14ac:dyDescent="0.3">
      <c r="A9" s="544" t="s">
        <v>136</v>
      </c>
      <c r="B9" s="545"/>
      <c r="C9" s="545"/>
      <c r="D9" s="545"/>
      <c r="E9" s="575" t="s">
        <v>453</v>
      </c>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49"/>
      <c r="AH9" s="550"/>
      <c r="AI9" s="550"/>
      <c r="AJ9" s="550"/>
      <c r="AK9" s="550"/>
      <c r="AL9" s="550"/>
      <c r="AM9" s="550"/>
      <c r="AN9" s="550"/>
      <c r="AO9" s="550"/>
      <c r="AP9" s="550"/>
      <c r="AQ9" s="550"/>
      <c r="AR9" s="550"/>
      <c r="AS9" s="550"/>
      <c r="AT9" s="532"/>
      <c r="AU9" s="543"/>
      <c r="AV9" s="543"/>
      <c r="AW9" s="543"/>
      <c r="AX9" s="543"/>
      <c r="AY9" s="543"/>
    </row>
    <row r="10" spans="1:51 16384:16384" ht="15" customHeight="1" x14ac:dyDescent="0.3">
      <c r="A10" s="544" t="s">
        <v>137</v>
      </c>
      <c r="B10" s="545"/>
      <c r="C10" s="545"/>
      <c r="D10" s="545"/>
      <c r="E10" s="575" t="s">
        <v>454</v>
      </c>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51"/>
      <c r="AH10" s="552"/>
      <c r="AI10" s="552"/>
      <c r="AJ10" s="552"/>
      <c r="AK10" s="552"/>
      <c r="AL10" s="552"/>
      <c r="AM10" s="552"/>
      <c r="AN10" s="552"/>
      <c r="AO10" s="552"/>
      <c r="AP10" s="552"/>
      <c r="AQ10" s="552"/>
      <c r="AR10" s="552"/>
      <c r="AS10" s="552"/>
      <c r="AT10" s="533"/>
      <c r="AU10" s="543"/>
      <c r="AV10" s="543"/>
      <c r="AW10" s="543"/>
      <c r="AX10" s="543"/>
      <c r="AY10" s="543"/>
    </row>
    <row r="11" spans="1:51 16384:16384" ht="39.9" customHeight="1" x14ac:dyDescent="0.3">
      <c r="A11" s="541" t="s">
        <v>138</v>
      </c>
      <c r="B11" s="572"/>
      <c r="C11" s="572"/>
      <c r="D11" s="572"/>
      <c r="E11" s="542"/>
      <c r="F11" s="536" t="s">
        <v>139</v>
      </c>
      <c r="G11" s="536" t="s">
        <v>140</v>
      </c>
      <c r="H11" s="536" t="s">
        <v>141</v>
      </c>
      <c r="I11" s="536" t="s">
        <v>142</v>
      </c>
      <c r="J11" s="570" t="s">
        <v>143</v>
      </c>
      <c r="K11" s="536" t="s">
        <v>144</v>
      </c>
      <c r="L11" s="536" t="s">
        <v>145</v>
      </c>
      <c r="M11" s="536" t="s">
        <v>146</v>
      </c>
      <c r="N11" s="541" t="s">
        <v>147</v>
      </c>
      <c r="O11" s="572"/>
      <c r="P11" s="572"/>
      <c r="Q11" s="572"/>
      <c r="R11" s="542"/>
      <c r="S11" s="536" t="s">
        <v>148</v>
      </c>
      <c r="T11" s="536" t="s">
        <v>149</v>
      </c>
      <c r="U11" s="544" t="s">
        <v>150</v>
      </c>
      <c r="V11" s="545"/>
      <c r="W11" s="545"/>
      <c r="X11" s="545"/>
      <c r="Y11" s="545"/>
      <c r="Z11" s="545"/>
      <c r="AA11" s="545"/>
      <c r="AB11" s="545"/>
      <c r="AC11" s="545"/>
      <c r="AD11" s="545"/>
      <c r="AE11" s="545"/>
      <c r="AF11" s="546"/>
      <c r="AG11" s="544" t="s">
        <v>151</v>
      </c>
      <c r="AH11" s="545"/>
      <c r="AI11" s="545"/>
      <c r="AJ11" s="545"/>
      <c r="AK11" s="545"/>
      <c r="AL11" s="545"/>
      <c r="AM11" s="545"/>
      <c r="AN11" s="545"/>
      <c r="AO11" s="545"/>
      <c r="AP11" s="545"/>
      <c r="AQ11" s="545"/>
      <c r="AR11" s="546"/>
      <c r="AS11" s="541" t="s">
        <v>40</v>
      </c>
      <c r="AT11" s="542"/>
      <c r="AU11" s="543"/>
      <c r="AV11" s="543"/>
      <c r="AW11" s="543"/>
      <c r="AX11" s="543"/>
      <c r="AY11" s="543"/>
    </row>
    <row r="12" spans="1:51 16384:16384" ht="27.6" x14ac:dyDescent="0.3">
      <c r="A12" s="40" t="s">
        <v>152</v>
      </c>
      <c r="B12" s="40" t="s">
        <v>153</v>
      </c>
      <c r="C12" s="40" t="s">
        <v>154</v>
      </c>
      <c r="D12" s="40" t="s">
        <v>155</v>
      </c>
      <c r="E12" s="40" t="s">
        <v>156</v>
      </c>
      <c r="F12" s="537"/>
      <c r="G12" s="537"/>
      <c r="H12" s="537"/>
      <c r="I12" s="537"/>
      <c r="J12" s="571"/>
      <c r="K12" s="537"/>
      <c r="L12" s="537"/>
      <c r="M12" s="537"/>
      <c r="N12" s="40">
        <v>2020</v>
      </c>
      <c r="O12" s="40">
        <v>2021</v>
      </c>
      <c r="P12" s="40">
        <v>2022</v>
      </c>
      <c r="Q12" s="40">
        <v>2023</v>
      </c>
      <c r="R12" s="40">
        <v>2024</v>
      </c>
      <c r="S12" s="537"/>
      <c r="T12" s="537"/>
      <c r="U12" s="45" t="s">
        <v>28</v>
      </c>
      <c r="V12" s="45" t="s">
        <v>29</v>
      </c>
      <c r="W12" s="45" t="s">
        <v>30</v>
      </c>
      <c r="X12" s="45" t="s">
        <v>31</v>
      </c>
      <c r="Y12" s="45" t="s">
        <v>32</v>
      </c>
      <c r="Z12" s="45" t="s">
        <v>33</v>
      </c>
      <c r="AA12" s="45" t="s">
        <v>34</v>
      </c>
      <c r="AB12" s="45" t="s">
        <v>35</v>
      </c>
      <c r="AC12" s="45" t="s">
        <v>36</v>
      </c>
      <c r="AD12" s="45" t="s">
        <v>37</v>
      </c>
      <c r="AE12" s="45" t="s">
        <v>38</v>
      </c>
      <c r="AF12" s="45" t="s">
        <v>39</v>
      </c>
      <c r="AG12" s="45" t="s">
        <v>28</v>
      </c>
      <c r="AH12" s="45" t="s">
        <v>29</v>
      </c>
      <c r="AI12" s="45" t="s">
        <v>30</v>
      </c>
      <c r="AJ12" s="45" t="s">
        <v>31</v>
      </c>
      <c r="AK12" s="45" t="s">
        <v>32</v>
      </c>
      <c r="AL12" s="45" t="s">
        <v>33</v>
      </c>
      <c r="AM12" s="45" t="s">
        <v>34</v>
      </c>
      <c r="AN12" s="45" t="s">
        <v>35</v>
      </c>
      <c r="AO12" s="45" t="s">
        <v>36</v>
      </c>
      <c r="AP12" s="45" t="s">
        <v>37</v>
      </c>
      <c r="AQ12" s="45" t="s">
        <v>38</v>
      </c>
      <c r="AR12" s="45" t="s">
        <v>39</v>
      </c>
      <c r="AS12" s="40" t="s">
        <v>157</v>
      </c>
      <c r="AT12" s="96" t="s">
        <v>158</v>
      </c>
      <c r="AU12" s="537"/>
      <c r="AV12" s="537"/>
      <c r="AW12" s="537"/>
      <c r="AX12" s="537"/>
      <c r="AY12" s="537"/>
    </row>
    <row r="13" spans="1:51 16384:16384" ht="271.95" customHeight="1" x14ac:dyDescent="0.3">
      <c r="A13" s="165">
        <v>37</v>
      </c>
      <c r="B13" s="41" t="s">
        <v>159</v>
      </c>
      <c r="C13" s="41" t="s">
        <v>159</v>
      </c>
      <c r="D13" s="41" t="s">
        <v>159</v>
      </c>
      <c r="E13" s="41" t="s">
        <v>159</v>
      </c>
      <c r="F13" s="42" t="s">
        <v>160</v>
      </c>
      <c r="G13" s="151" t="s">
        <v>161</v>
      </c>
      <c r="H13" s="42" t="s">
        <v>162</v>
      </c>
      <c r="I13" s="42" t="s">
        <v>163</v>
      </c>
      <c r="J13" s="160">
        <v>15</v>
      </c>
      <c r="K13" s="42" t="s">
        <v>164</v>
      </c>
      <c r="L13" s="42" t="s">
        <v>165</v>
      </c>
      <c r="M13" s="151" t="s">
        <v>166</v>
      </c>
      <c r="N13" s="155">
        <v>15</v>
      </c>
      <c r="O13" s="155">
        <v>15</v>
      </c>
      <c r="P13" s="155">
        <v>15</v>
      </c>
      <c r="Q13" s="155">
        <v>15</v>
      </c>
      <c r="R13" s="166">
        <v>15</v>
      </c>
      <c r="S13" s="207" t="s">
        <v>167</v>
      </c>
      <c r="T13" s="162" t="s">
        <v>168</v>
      </c>
      <c r="U13" s="157">
        <v>0</v>
      </c>
      <c r="V13" s="157">
        <v>1</v>
      </c>
      <c r="W13" s="157">
        <v>4</v>
      </c>
      <c r="X13" s="157">
        <v>5</v>
      </c>
      <c r="Y13" s="157">
        <v>5</v>
      </c>
      <c r="Z13" s="157">
        <v>0</v>
      </c>
      <c r="AA13" s="43"/>
      <c r="AB13" s="43"/>
      <c r="AC13" s="43"/>
      <c r="AD13" s="43"/>
      <c r="AE13" s="43"/>
      <c r="AF13" s="43"/>
      <c r="AG13" s="167">
        <v>0</v>
      </c>
      <c r="AH13" s="167">
        <v>1</v>
      </c>
      <c r="AI13" s="167"/>
      <c r="AJ13" s="167"/>
      <c r="AK13" s="167"/>
      <c r="AL13" s="167"/>
      <c r="AM13" s="167"/>
      <c r="AN13" s="167"/>
      <c r="AO13" s="167"/>
      <c r="AP13" s="167"/>
      <c r="AQ13" s="167"/>
      <c r="AR13" s="167"/>
      <c r="AS13" s="167">
        <f>IF(I13="suma",SUM(AG13:AR13),IF(I13="creciente",MAX(AG13:AR13),IF(I13="DECRECIENTE",Q13-MIN(AG13:AR13),IF(I13="CONSTANTE",AVERAGE(AG13:AR13)," "))))</f>
        <v>1</v>
      </c>
      <c r="AT13" s="168">
        <f>IF(I13="suma",AS13/R13,IF(I13="creciente",AS13/(MAX(U13:AF13)),IF(I13="DECRECIENTE",AS13/(Q13-(MIN(U13:AF13))),IF(I13="CONSTANTE",AS13/AVERAGE(U13:AF13)," "))))</f>
        <v>6.6666666666666666E-2</v>
      </c>
      <c r="AU13" s="169" t="s">
        <v>571</v>
      </c>
      <c r="AV13" s="255" t="s">
        <v>523</v>
      </c>
      <c r="AW13" s="169" t="s">
        <v>572</v>
      </c>
      <c r="AX13" s="169" t="s">
        <v>509</v>
      </c>
      <c r="AY13" s="615" t="s">
        <v>457</v>
      </c>
      <c r="XFD13" s="33" t="s">
        <v>163</v>
      </c>
    </row>
    <row r="14" spans="1:51 16384:16384" ht="409.6" x14ac:dyDescent="0.3">
      <c r="A14" s="149" t="s">
        <v>159</v>
      </c>
      <c r="B14" s="208">
        <v>14</v>
      </c>
      <c r="C14" s="41">
        <v>17</v>
      </c>
      <c r="D14" s="41" t="s">
        <v>159</v>
      </c>
      <c r="E14" s="41" t="s">
        <v>159</v>
      </c>
      <c r="F14" s="42" t="s">
        <v>169</v>
      </c>
      <c r="G14" s="206" t="s">
        <v>560</v>
      </c>
      <c r="H14" s="150" t="s">
        <v>448</v>
      </c>
      <c r="I14" s="42" t="s">
        <v>163</v>
      </c>
      <c r="J14" s="152">
        <v>12200</v>
      </c>
      <c r="K14" s="42" t="s">
        <v>164</v>
      </c>
      <c r="L14" s="42" t="s">
        <v>170</v>
      </c>
      <c r="M14" s="151" t="s">
        <v>166</v>
      </c>
      <c r="N14" s="156">
        <v>900</v>
      </c>
      <c r="O14" s="156">
        <v>3200</v>
      </c>
      <c r="P14" s="156">
        <v>3900</v>
      </c>
      <c r="Q14" s="156">
        <v>3300</v>
      </c>
      <c r="R14" s="156">
        <v>900</v>
      </c>
      <c r="S14" s="41" t="s">
        <v>167</v>
      </c>
      <c r="T14" s="154" t="s">
        <v>171</v>
      </c>
      <c r="U14" s="159">
        <v>100</v>
      </c>
      <c r="V14" s="159">
        <v>200</v>
      </c>
      <c r="W14" s="159">
        <v>200</v>
      </c>
      <c r="X14" s="159">
        <v>200</v>
      </c>
      <c r="Y14" s="159">
        <v>200</v>
      </c>
      <c r="Z14" s="210">
        <v>0</v>
      </c>
      <c r="AA14" s="43"/>
      <c r="AB14" s="43"/>
      <c r="AC14" s="43"/>
      <c r="AD14" s="43"/>
      <c r="AE14" s="43"/>
      <c r="AF14" s="43"/>
      <c r="AG14" s="167">
        <v>229</v>
      </c>
      <c r="AH14" s="167">
        <v>266</v>
      </c>
      <c r="AI14" s="167"/>
      <c r="AJ14" s="167"/>
      <c r="AK14" s="167"/>
      <c r="AL14" s="167"/>
      <c r="AM14" s="167"/>
      <c r="AN14" s="167"/>
      <c r="AO14" s="167"/>
      <c r="AP14" s="167"/>
      <c r="AQ14" s="167"/>
      <c r="AR14" s="167"/>
      <c r="AS14" s="167">
        <f t="shared" ref="AS14:AS19" si="0">IF(I14="suma",SUM(AG14:AR14),IF(I14="creciente",MAX(AG14:AR14),IF(I14="DECRECIENTE",Q14-MIN(AG14:AR14),IF(I14="CONSTANTE",AVERAGE(AG14:AR14)," "))))</f>
        <v>495</v>
      </c>
      <c r="AT14" s="168">
        <f t="shared" ref="AT14:AT19" si="1">IF(I14="suma",AS14/R14,IF(I14="creciente",AS14/(MAX(U14:AF14)),IF(I14="DECRECIENTE",AS14/(Q14-(MIN(U14:AF14))),IF(I14="CONSTANTE",AS14/AVERAGE(U14:AF14)," "))))</f>
        <v>0.55000000000000004</v>
      </c>
      <c r="AU14" s="256" t="s">
        <v>570</v>
      </c>
      <c r="AV14" s="616" t="s">
        <v>473</v>
      </c>
      <c r="AW14" s="256" t="s">
        <v>569</v>
      </c>
      <c r="AX14" s="168" t="s">
        <v>467</v>
      </c>
      <c r="AY14" s="167" t="s">
        <v>457</v>
      </c>
      <c r="XFD14" s="33" t="s">
        <v>172</v>
      </c>
    </row>
    <row r="15" spans="1:51 16384:16384" ht="409.6" x14ac:dyDescent="0.3">
      <c r="A15" s="149" t="s">
        <v>159</v>
      </c>
      <c r="B15" s="208">
        <v>15</v>
      </c>
      <c r="C15" s="41">
        <v>16</v>
      </c>
      <c r="D15" s="41" t="s">
        <v>159</v>
      </c>
      <c r="E15" s="41" t="s">
        <v>159</v>
      </c>
      <c r="F15" s="42" t="s">
        <v>173</v>
      </c>
      <c r="G15" s="206" t="s">
        <v>561</v>
      </c>
      <c r="H15" s="150" t="s">
        <v>174</v>
      </c>
      <c r="I15" s="42" t="s">
        <v>163</v>
      </c>
      <c r="J15" s="152">
        <v>8100</v>
      </c>
      <c r="K15" s="42" t="s">
        <v>164</v>
      </c>
      <c r="L15" s="42" t="s">
        <v>175</v>
      </c>
      <c r="M15" s="151" t="s">
        <v>166</v>
      </c>
      <c r="N15" s="156">
        <v>650</v>
      </c>
      <c r="O15" s="156">
        <v>2400</v>
      </c>
      <c r="P15" s="156">
        <v>2200</v>
      </c>
      <c r="Q15" s="156">
        <v>2200</v>
      </c>
      <c r="R15" s="156">
        <v>650</v>
      </c>
      <c r="S15" s="41" t="s">
        <v>167</v>
      </c>
      <c r="T15" s="154" t="s">
        <v>176</v>
      </c>
      <c r="U15" s="159">
        <v>100</v>
      </c>
      <c r="V15" s="159">
        <v>137</v>
      </c>
      <c r="W15" s="159">
        <v>137</v>
      </c>
      <c r="X15" s="159">
        <v>138</v>
      </c>
      <c r="Y15" s="159">
        <v>138</v>
      </c>
      <c r="Z15" s="210">
        <v>0</v>
      </c>
      <c r="AA15" s="43"/>
      <c r="AB15" s="43"/>
      <c r="AC15" s="43"/>
      <c r="AD15" s="43"/>
      <c r="AE15" s="43"/>
      <c r="AF15" s="43"/>
      <c r="AG15" s="167">
        <v>180</v>
      </c>
      <c r="AH15" s="167">
        <v>191</v>
      </c>
      <c r="AI15" s="167"/>
      <c r="AJ15" s="167"/>
      <c r="AK15" s="167"/>
      <c r="AL15" s="167"/>
      <c r="AM15" s="167"/>
      <c r="AN15" s="167"/>
      <c r="AO15" s="167"/>
      <c r="AP15" s="167"/>
      <c r="AQ15" s="167"/>
      <c r="AR15" s="167"/>
      <c r="AS15" s="167">
        <f t="shared" si="0"/>
        <v>371</v>
      </c>
      <c r="AT15" s="168">
        <f t="shared" si="1"/>
        <v>0.57076923076923081</v>
      </c>
      <c r="AU15" s="256" t="s">
        <v>573</v>
      </c>
      <c r="AV15" s="616" t="s">
        <v>474</v>
      </c>
      <c r="AW15" s="256" t="s">
        <v>568</v>
      </c>
      <c r="AX15" s="168" t="s">
        <v>467</v>
      </c>
      <c r="AY15" s="167" t="s">
        <v>457</v>
      </c>
      <c r="XFD15" s="33" t="s">
        <v>177</v>
      </c>
    </row>
    <row r="16" spans="1:51 16384:16384" ht="409.6" x14ac:dyDescent="0.3">
      <c r="A16" s="149" t="s">
        <v>159</v>
      </c>
      <c r="B16" s="208">
        <v>16</v>
      </c>
      <c r="C16" s="41">
        <v>15</v>
      </c>
      <c r="D16" s="41" t="s">
        <v>159</v>
      </c>
      <c r="E16" s="41" t="s">
        <v>159</v>
      </c>
      <c r="F16" s="42" t="s">
        <v>178</v>
      </c>
      <c r="G16" s="206" t="s">
        <v>562</v>
      </c>
      <c r="H16" s="150" t="s">
        <v>179</v>
      </c>
      <c r="I16" s="42" t="s">
        <v>163</v>
      </c>
      <c r="J16" s="152">
        <v>19200</v>
      </c>
      <c r="K16" s="42" t="s">
        <v>164</v>
      </c>
      <c r="L16" s="42" t="s">
        <v>180</v>
      </c>
      <c r="M16" s="151" t="s">
        <v>166</v>
      </c>
      <c r="N16" s="156">
        <v>1500</v>
      </c>
      <c r="O16" s="156">
        <v>5000</v>
      </c>
      <c r="P16" s="156">
        <v>6200</v>
      </c>
      <c r="Q16" s="156">
        <v>5000</v>
      </c>
      <c r="R16" s="156">
        <v>1500</v>
      </c>
      <c r="S16" s="41" t="s">
        <v>167</v>
      </c>
      <c r="T16" s="154" t="s">
        <v>181</v>
      </c>
      <c r="U16" s="156">
        <v>180</v>
      </c>
      <c r="V16" s="156">
        <v>300</v>
      </c>
      <c r="W16" s="156">
        <v>340</v>
      </c>
      <c r="X16" s="156">
        <v>340</v>
      </c>
      <c r="Y16" s="156">
        <v>340</v>
      </c>
      <c r="Z16" s="156">
        <v>0</v>
      </c>
      <c r="AA16" s="43"/>
      <c r="AB16" s="43"/>
      <c r="AC16" s="43"/>
      <c r="AD16" s="43"/>
      <c r="AE16" s="43"/>
      <c r="AF16" s="43"/>
      <c r="AG16" s="167">
        <v>330</v>
      </c>
      <c r="AH16" s="167">
        <v>312</v>
      </c>
      <c r="AI16" s="167"/>
      <c r="AJ16" s="167"/>
      <c r="AK16" s="167"/>
      <c r="AL16" s="167"/>
      <c r="AM16" s="167"/>
      <c r="AN16" s="167"/>
      <c r="AO16" s="167"/>
      <c r="AP16" s="167"/>
      <c r="AQ16" s="167"/>
      <c r="AR16" s="167"/>
      <c r="AS16" s="167">
        <f t="shared" si="0"/>
        <v>642</v>
      </c>
      <c r="AT16" s="168">
        <f t="shared" si="1"/>
        <v>0.42799999999999999</v>
      </c>
      <c r="AU16" s="256" t="s">
        <v>566</v>
      </c>
      <c r="AV16" s="257" t="s">
        <v>475</v>
      </c>
      <c r="AW16" s="256" t="s">
        <v>567</v>
      </c>
      <c r="AX16" s="168" t="s">
        <v>467</v>
      </c>
      <c r="AY16" s="167" t="s">
        <v>457</v>
      </c>
      <c r="XFD16" s="33" t="s">
        <v>182</v>
      </c>
    </row>
    <row r="17" spans="1:51" ht="276" x14ac:dyDescent="0.3">
      <c r="A17" s="149" t="s">
        <v>159</v>
      </c>
      <c r="B17" s="41" t="s">
        <v>159</v>
      </c>
      <c r="C17" s="41" t="s">
        <v>159</v>
      </c>
      <c r="D17" s="42" t="s">
        <v>183</v>
      </c>
      <c r="E17" s="41" t="s">
        <v>159</v>
      </c>
      <c r="F17" s="42" t="s">
        <v>184</v>
      </c>
      <c r="G17" s="151" t="s">
        <v>185</v>
      </c>
      <c r="H17" s="42" t="s">
        <v>186</v>
      </c>
      <c r="I17" s="42" t="s">
        <v>163</v>
      </c>
      <c r="J17" s="160">
        <v>129</v>
      </c>
      <c r="K17" s="42" t="s">
        <v>164</v>
      </c>
      <c r="L17" s="42" t="s">
        <v>187</v>
      </c>
      <c r="M17" s="151" t="s">
        <v>166</v>
      </c>
      <c r="N17" s="156">
        <v>0</v>
      </c>
      <c r="O17" s="156">
        <v>48</v>
      </c>
      <c r="P17" s="156">
        <v>48</v>
      </c>
      <c r="Q17" s="156">
        <v>24</v>
      </c>
      <c r="R17" s="161">
        <v>9</v>
      </c>
      <c r="S17" s="41" t="s">
        <v>167</v>
      </c>
      <c r="T17" s="162" t="s">
        <v>188</v>
      </c>
      <c r="U17" s="208">
        <v>1</v>
      </c>
      <c r="V17" s="208">
        <v>2</v>
      </c>
      <c r="W17" s="208">
        <v>2</v>
      </c>
      <c r="X17" s="208">
        <v>2</v>
      </c>
      <c r="Y17" s="208">
        <v>2</v>
      </c>
      <c r="Z17" s="208">
        <v>0</v>
      </c>
      <c r="AA17" s="43"/>
      <c r="AB17" s="43"/>
      <c r="AC17" s="43"/>
      <c r="AD17" s="43"/>
      <c r="AE17" s="43"/>
      <c r="AF17" s="43"/>
      <c r="AG17" s="167">
        <v>1</v>
      </c>
      <c r="AH17" s="167">
        <v>2</v>
      </c>
      <c r="AI17" s="167"/>
      <c r="AJ17" s="167"/>
      <c r="AK17" s="167"/>
      <c r="AL17" s="167"/>
      <c r="AM17" s="167"/>
      <c r="AN17" s="167"/>
      <c r="AO17" s="167"/>
      <c r="AP17" s="167"/>
      <c r="AQ17" s="167"/>
      <c r="AR17" s="167"/>
      <c r="AS17" s="167">
        <f t="shared" si="0"/>
        <v>3</v>
      </c>
      <c r="AT17" s="168">
        <f t="shared" si="1"/>
        <v>0.33333333333333331</v>
      </c>
      <c r="AU17" s="617" t="s">
        <v>564</v>
      </c>
      <c r="AV17" s="618" t="s">
        <v>524</v>
      </c>
      <c r="AW17" s="617" t="s">
        <v>565</v>
      </c>
      <c r="AX17" s="617" t="s">
        <v>467</v>
      </c>
      <c r="AY17" s="617" t="s">
        <v>457</v>
      </c>
    </row>
    <row r="18" spans="1:51" ht="94.95" customHeight="1" x14ac:dyDescent="0.3">
      <c r="A18" s="149" t="s">
        <v>159</v>
      </c>
      <c r="B18" s="41" t="s">
        <v>159</v>
      </c>
      <c r="C18" s="41" t="s">
        <v>159</v>
      </c>
      <c r="D18" s="42" t="s">
        <v>183</v>
      </c>
      <c r="E18" s="41" t="s">
        <v>159</v>
      </c>
      <c r="F18" s="42" t="s">
        <v>184</v>
      </c>
      <c r="G18" s="151" t="s">
        <v>449</v>
      </c>
      <c r="H18" s="42" t="s">
        <v>189</v>
      </c>
      <c r="I18" s="42" t="s">
        <v>163</v>
      </c>
      <c r="J18" s="163">
        <v>128</v>
      </c>
      <c r="K18" s="42" t="s">
        <v>164</v>
      </c>
      <c r="L18" s="42" t="s">
        <v>190</v>
      </c>
      <c r="M18" s="151" t="s">
        <v>166</v>
      </c>
      <c r="N18" s="158">
        <v>0</v>
      </c>
      <c r="O18" s="158">
        <v>40</v>
      </c>
      <c r="P18" s="158">
        <v>40</v>
      </c>
      <c r="Q18" s="158">
        <v>36</v>
      </c>
      <c r="R18" s="41">
        <v>12</v>
      </c>
      <c r="S18" s="41" t="s">
        <v>167</v>
      </c>
      <c r="T18" s="164" t="s">
        <v>191</v>
      </c>
      <c r="U18" s="208">
        <v>0</v>
      </c>
      <c r="V18" s="208">
        <v>0</v>
      </c>
      <c r="W18" s="208">
        <v>4</v>
      </c>
      <c r="X18" s="208">
        <v>4</v>
      </c>
      <c r="Y18" s="208">
        <v>4</v>
      </c>
      <c r="Z18" s="208">
        <v>0</v>
      </c>
      <c r="AA18" s="43"/>
      <c r="AB18" s="43"/>
      <c r="AC18" s="43"/>
      <c r="AD18" s="43"/>
      <c r="AE18" s="43"/>
      <c r="AF18" s="43"/>
      <c r="AG18" s="167">
        <v>0</v>
      </c>
      <c r="AH18" s="167">
        <v>0</v>
      </c>
      <c r="AI18" s="167"/>
      <c r="AJ18" s="167"/>
      <c r="AK18" s="167"/>
      <c r="AL18" s="167"/>
      <c r="AM18" s="167"/>
      <c r="AN18" s="167"/>
      <c r="AO18" s="167"/>
      <c r="AP18" s="167"/>
      <c r="AQ18" s="167"/>
      <c r="AR18" s="167"/>
      <c r="AS18" s="167">
        <f t="shared" si="0"/>
        <v>0</v>
      </c>
      <c r="AT18" s="168">
        <f t="shared" si="1"/>
        <v>0</v>
      </c>
      <c r="AU18" s="169" t="s">
        <v>525</v>
      </c>
      <c r="AV18" s="170" t="s">
        <v>457</v>
      </c>
      <c r="AW18" s="169" t="s">
        <v>525</v>
      </c>
      <c r="AX18" s="168" t="s">
        <v>467</v>
      </c>
      <c r="AY18" s="167" t="s">
        <v>457</v>
      </c>
    </row>
    <row r="19" spans="1:51" ht="126" customHeight="1" x14ac:dyDescent="0.3">
      <c r="A19" s="41" t="s">
        <v>159</v>
      </c>
      <c r="B19" s="41" t="s">
        <v>159</v>
      </c>
      <c r="C19" s="41" t="s">
        <v>159</v>
      </c>
      <c r="D19" s="41" t="s">
        <v>159</v>
      </c>
      <c r="E19" s="41" t="s">
        <v>159</v>
      </c>
      <c r="F19" s="42" t="s">
        <v>439</v>
      </c>
      <c r="G19" s="151" t="s">
        <v>192</v>
      </c>
      <c r="H19" s="151" t="s">
        <v>193</v>
      </c>
      <c r="I19" s="42" t="s">
        <v>163</v>
      </c>
      <c r="J19" s="152">
        <v>14756</v>
      </c>
      <c r="K19" s="42" t="s">
        <v>164</v>
      </c>
      <c r="L19" s="42" t="s">
        <v>194</v>
      </c>
      <c r="M19" s="151" t="s">
        <v>166</v>
      </c>
      <c r="N19" s="156">
        <v>0</v>
      </c>
      <c r="O19" s="158">
        <v>1632</v>
      </c>
      <c r="P19" s="158">
        <v>6476</v>
      </c>
      <c r="Q19" s="158">
        <v>5998</v>
      </c>
      <c r="R19" s="43">
        <v>660</v>
      </c>
      <c r="S19" s="41" t="s">
        <v>167</v>
      </c>
      <c r="T19" s="42" t="s">
        <v>195</v>
      </c>
      <c r="U19" s="156">
        <v>20</v>
      </c>
      <c r="V19" s="156">
        <v>160</v>
      </c>
      <c r="W19" s="156">
        <v>160</v>
      </c>
      <c r="X19" s="156">
        <v>160</v>
      </c>
      <c r="Y19" s="157">
        <v>160</v>
      </c>
      <c r="Z19" s="41">
        <v>0</v>
      </c>
      <c r="AA19" s="43"/>
      <c r="AB19" s="43"/>
      <c r="AC19" s="43"/>
      <c r="AD19" s="43"/>
      <c r="AE19" s="43"/>
      <c r="AF19" s="43"/>
      <c r="AG19" s="43">
        <v>55</v>
      </c>
      <c r="AH19" s="43">
        <v>40</v>
      </c>
      <c r="AI19" s="43"/>
      <c r="AJ19" s="43"/>
      <c r="AK19" s="43"/>
      <c r="AL19" s="43"/>
      <c r="AM19" s="43"/>
      <c r="AN19" s="43"/>
      <c r="AO19" s="43"/>
      <c r="AP19" s="43"/>
      <c r="AQ19" s="43"/>
      <c r="AR19" s="43"/>
      <c r="AS19" s="43">
        <f t="shared" si="0"/>
        <v>95</v>
      </c>
      <c r="AT19" s="44">
        <f t="shared" si="1"/>
        <v>0.14393939393939395</v>
      </c>
      <c r="AU19" s="258" t="s">
        <v>563</v>
      </c>
      <c r="AV19" s="259" t="s">
        <v>554</v>
      </c>
      <c r="AW19" s="619" t="s">
        <v>550</v>
      </c>
      <c r="AX19" s="620" t="s">
        <v>549</v>
      </c>
      <c r="AY19" s="621" t="s">
        <v>555</v>
      </c>
    </row>
    <row r="20" spans="1:51" x14ac:dyDescent="0.3">
      <c r="A20" s="538" t="s">
        <v>92</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40"/>
    </row>
    <row r="21" spans="1:51" ht="148.5" customHeight="1" x14ac:dyDescent="0.3">
      <c r="A21" s="567" t="s">
        <v>196</v>
      </c>
      <c r="B21" s="535" t="s">
        <v>197</v>
      </c>
      <c r="C21" s="535"/>
      <c r="D21" s="535"/>
      <c r="E21" s="535"/>
      <c r="F21" s="535"/>
      <c r="G21" s="568" t="s">
        <v>198</v>
      </c>
      <c r="H21" s="568"/>
      <c r="I21" s="568"/>
      <c r="J21" s="568"/>
      <c r="K21" s="568"/>
      <c r="L21" s="568"/>
      <c r="M21" s="568"/>
      <c r="N21" s="568"/>
      <c r="O21" s="535" t="s">
        <v>197</v>
      </c>
      <c r="P21" s="535"/>
      <c r="Q21" s="535"/>
      <c r="R21" s="535"/>
      <c r="S21" s="535"/>
      <c r="T21" s="535"/>
      <c r="U21" s="535" t="s">
        <v>197</v>
      </c>
      <c r="V21" s="535"/>
      <c r="W21" s="535"/>
      <c r="X21" s="535"/>
      <c r="Y21" s="535"/>
      <c r="Z21" s="535"/>
      <c r="AA21" s="535"/>
      <c r="AB21" s="535"/>
      <c r="AC21" s="535" t="s">
        <v>197</v>
      </c>
      <c r="AD21" s="535"/>
      <c r="AE21" s="535"/>
      <c r="AF21" s="535"/>
      <c r="AG21" s="535"/>
      <c r="AH21" s="535"/>
      <c r="AI21" s="535"/>
      <c r="AJ21" s="535"/>
      <c r="AK21" s="535"/>
      <c r="AL21" s="535"/>
      <c r="AM21" s="535"/>
      <c r="AN21" s="535"/>
      <c r="AO21" s="568" t="s">
        <v>199</v>
      </c>
      <c r="AP21" s="568"/>
      <c r="AQ21" s="568"/>
      <c r="AR21" s="568"/>
      <c r="AS21" s="535" t="s">
        <v>200</v>
      </c>
      <c r="AT21" s="535"/>
      <c r="AU21" s="535"/>
      <c r="AV21" s="535"/>
      <c r="AW21" s="535"/>
      <c r="AX21" s="535"/>
      <c r="AY21" s="535"/>
    </row>
    <row r="22" spans="1:51" ht="22.8" x14ac:dyDescent="0.3">
      <c r="A22" s="567"/>
      <c r="B22" s="535" t="s">
        <v>201</v>
      </c>
      <c r="C22" s="535"/>
      <c r="D22" s="535"/>
      <c r="E22" s="535"/>
      <c r="F22" s="535"/>
      <c r="G22" s="568"/>
      <c r="H22" s="568"/>
      <c r="I22" s="568"/>
      <c r="J22" s="568"/>
      <c r="K22" s="568"/>
      <c r="L22" s="568"/>
      <c r="M22" s="568"/>
      <c r="N22" s="568"/>
      <c r="O22" s="535" t="s">
        <v>202</v>
      </c>
      <c r="P22" s="535"/>
      <c r="Q22" s="535"/>
      <c r="R22" s="535"/>
      <c r="S22" s="535"/>
      <c r="T22" s="535"/>
      <c r="U22" s="535" t="s">
        <v>203</v>
      </c>
      <c r="V22" s="535"/>
      <c r="W22" s="535"/>
      <c r="X22" s="535"/>
      <c r="Y22" s="535"/>
      <c r="Z22" s="535"/>
      <c r="AA22" s="535"/>
      <c r="AB22" s="535"/>
      <c r="AC22" s="535" t="s">
        <v>204</v>
      </c>
      <c r="AD22" s="535"/>
      <c r="AE22" s="535"/>
      <c r="AF22" s="535"/>
      <c r="AG22" s="535"/>
      <c r="AH22" s="535"/>
      <c r="AI22" s="535"/>
      <c r="AJ22" s="535"/>
      <c r="AK22" s="535"/>
      <c r="AL22" s="535"/>
      <c r="AM22" s="535"/>
      <c r="AN22" s="535"/>
      <c r="AO22" s="568"/>
      <c r="AP22" s="568"/>
      <c r="AQ22" s="568"/>
      <c r="AR22" s="568"/>
      <c r="AS22" s="535" t="s">
        <v>205</v>
      </c>
      <c r="AT22" s="535"/>
      <c r="AU22" s="535"/>
      <c r="AV22" s="535"/>
      <c r="AW22" s="535"/>
      <c r="AX22" s="535"/>
      <c r="AY22" s="535"/>
    </row>
    <row r="23" spans="1:51" ht="39.75" customHeight="1" x14ac:dyDescent="0.3">
      <c r="A23" s="567"/>
      <c r="B23" s="535" t="s">
        <v>206</v>
      </c>
      <c r="C23" s="535"/>
      <c r="D23" s="535"/>
      <c r="E23" s="535"/>
      <c r="F23" s="535"/>
      <c r="G23" s="568"/>
      <c r="H23" s="568"/>
      <c r="I23" s="568"/>
      <c r="J23" s="568"/>
      <c r="K23" s="568"/>
      <c r="L23" s="568"/>
      <c r="M23" s="568"/>
      <c r="N23" s="568"/>
      <c r="O23" s="535" t="s">
        <v>207</v>
      </c>
      <c r="P23" s="535"/>
      <c r="Q23" s="535"/>
      <c r="R23" s="535"/>
      <c r="S23" s="535"/>
      <c r="T23" s="535"/>
      <c r="U23" s="535" t="s">
        <v>208</v>
      </c>
      <c r="V23" s="535"/>
      <c r="W23" s="535"/>
      <c r="X23" s="535"/>
      <c r="Y23" s="535"/>
      <c r="Z23" s="535"/>
      <c r="AA23" s="535"/>
      <c r="AB23" s="535"/>
      <c r="AC23" s="535" t="s">
        <v>209</v>
      </c>
      <c r="AD23" s="535"/>
      <c r="AE23" s="535"/>
      <c r="AF23" s="535"/>
      <c r="AG23" s="535"/>
      <c r="AH23" s="535"/>
      <c r="AI23" s="535"/>
      <c r="AJ23" s="535"/>
      <c r="AK23" s="535"/>
      <c r="AL23" s="535"/>
      <c r="AM23" s="535"/>
      <c r="AN23" s="535"/>
      <c r="AO23" s="568"/>
      <c r="AP23" s="568"/>
      <c r="AQ23" s="568"/>
      <c r="AR23" s="568"/>
      <c r="AS23" s="535" t="s">
        <v>210</v>
      </c>
      <c r="AT23" s="535"/>
      <c r="AU23" s="535"/>
      <c r="AV23" s="535"/>
      <c r="AW23" s="535"/>
      <c r="AX23" s="535"/>
      <c r="AY23" s="535"/>
    </row>
  </sheetData>
  <mergeCells count="59">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21:A23"/>
    <mergeCell ref="G21:N23"/>
    <mergeCell ref="AS22:AY22"/>
    <mergeCell ref="AS21:AY21"/>
    <mergeCell ref="AO21:AR23"/>
    <mergeCell ref="O21:T21"/>
    <mergeCell ref="O22:T22"/>
    <mergeCell ref="B21:F21"/>
    <mergeCell ref="B23:F23"/>
    <mergeCell ref="AC22:AN22"/>
    <mergeCell ref="AC23:AN23"/>
    <mergeCell ref="AS23:AY23"/>
    <mergeCell ref="AC21:AN21"/>
    <mergeCell ref="U22:AB22"/>
    <mergeCell ref="AX1:AY1"/>
    <mergeCell ref="AX2:AY2"/>
    <mergeCell ref="AX3:AY3"/>
    <mergeCell ref="AX4:AY4"/>
    <mergeCell ref="A1:AW1"/>
    <mergeCell ref="A2:AW2"/>
    <mergeCell ref="A3:AW4"/>
    <mergeCell ref="D6:D8"/>
    <mergeCell ref="E6:F6"/>
    <mergeCell ref="O23:T23"/>
    <mergeCell ref="U21:AB21"/>
    <mergeCell ref="U23:AB23"/>
    <mergeCell ref="I11:I12"/>
    <mergeCell ref="B22:F22"/>
    <mergeCell ref="K11:K12"/>
    <mergeCell ref="A20:AY20"/>
    <mergeCell ref="AS11:AT11"/>
    <mergeCell ref="AV5:AV12"/>
    <mergeCell ref="AX5:AX12"/>
    <mergeCell ref="AY5:AY12"/>
    <mergeCell ref="AG11:AR11"/>
    <mergeCell ref="AW5:AW12"/>
    <mergeCell ref="AG5:AT10"/>
  </mergeCells>
  <dataValidations count="1">
    <dataValidation type="list" allowBlank="1" showInputMessage="1" showErrorMessage="1" sqref="I13:I19" xr:uid="{00000000-0002-0000-0700-000000000000}">
      <formula1>$XFD$13:$XFD$17</formula1>
    </dataValidation>
  </dataValidations>
  <hyperlinks>
    <hyperlink ref="AV14" r:id="rId1" display="https://secretariadistritald.sharepoint.com/:f:/s/Instrumentosplaneacin2021/EkHHRqj1sftGvRAnSluzcVkB9d8J4_mmjAZ2rgcCli0mWQ?e=ShcPjj" xr:uid="{00000000-0004-0000-0700-000002000000}"/>
    <hyperlink ref="AV16" r:id="rId2" xr:uid="{00000000-0004-0000-0700-000003000000}"/>
    <hyperlink ref="AV15" r:id="rId3" display="https://secretariadistritald.sharepoint.com/:f:/s/Instrumentosplaneacin2021/Ev-KtLuzwYJEha3jiOXgDXYBVGroqXdQRDcPSjdeMihXAw?e=cxt351" xr:uid="{00000000-0004-0000-0700-000004000000}"/>
    <hyperlink ref="AV13" r:id="rId4" display="https://secretariadistritald.sharepoint.com/:b:/s/Instrumentosplaneacin2021/ETxxa6TMlWZFkiaYs7k-g20BlEOLuc56HMVjLdB3kgYUww?e=MCrDdK" xr:uid="{64CA01B7-BA3E-4D90-86FF-487BB0E57940}"/>
    <hyperlink ref="AV17" r:id="rId5" xr:uid="{8ADE5459-AE20-409C-909A-A7FC36E263F3}"/>
    <hyperlink ref="AV19" r:id="rId6" xr:uid="{9D1104F4-E0BA-40AD-9151-56EB789C32A4}"/>
  </hyperlinks>
  <pageMargins left="0.7" right="0.7" top="0.75" bottom="0.75" header="0.3" footer="0.3"/>
  <pageSetup scale="18" orientation="landscape" r:id="rId7"/>
  <legacy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Hoja1!$B$2:$B$3</xm:f>
          </x14:formula1>
          <xm:sqref>K13:K19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13"/>
  <sheetViews>
    <sheetView workbookViewId="0">
      <selection activeCell="B3" sqref="B3"/>
    </sheetView>
  </sheetViews>
  <sheetFormatPr baseColWidth="10" defaultColWidth="11.44140625" defaultRowHeight="14.4" x14ac:dyDescent="0.3"/>
  <sheetData>
    <row r="1" spans="1:2" x14ac:dyDescent="0.3">
      <c r="A1" t="s">
        <v>211</v>
      </c>
      <c r="B1" t="s">
        <v>212</v>
      </c>
    </row>
    <row r="2" spans="1:2" x14ac:dyDescent="0.3">
      <c r="A2" t="s">
        <v>213</v>
      </c>
      <c r="B2" t="s">
        <v>164</v>
      </c>
    </row>
    <row r="3" spans="1:2" x14ac:dyDescent="0.3">
      <c r="A3" t="s">
        <v>214</v>
      </c>
      <c r="B3" t="s">
        <v>215</v>
      </c>
    </row>
    <row r="4" spans="1:2" x14ac:dyDescent="0.3">
      <c r="A4" t="s">
        <v>216</v>
      </c>
    </row>
    <row r="5" spans="1:2" x14ac:dyDescent="0.3">
      <c r="A5" t="s">
        <v>217</v>
      </c>
    </row>
    <row r="6" spans="1:2" x14ac:dyDescent="0.3">
      <c r="A6" t="s">
        <v>218</v>
      </c>
    </row>
    <row r="7" spans="1:2" x14ac:dyDescent="0.3">
      <c r="A7" t="s">
        <v>219</v>
      </c>
    </row>
    <row r="8" spans="1:2" x14ac:dyDescent="0.3">
      <c r="A8" t="s">
        <v>220</v>
      </c>
    </row>
    <row r="9" spans="1:2" x14ac:dyDescent="0.3">
      <c r="A9" t="s">
        <v>221</v>
      </c>
    </row>
    <row r="10" spans="1:2" x14ac:dyDescent="0.3">
      <c r="A10" t="s">
        <v>222</v>
      </c>
    </row>
    <row r="11" spans="1:2" x14ac:dyDescent="0.3">
      <c r="A11" t="s">
        <v>223</v>
      </c>
    </row>
    <row r="12" spans="1:2" x14ac:dyDescent="0.3">
      <c r="A12" t="s">
        <v>224</v>
      </c>
    </row>
    <row r="13" spans="1:2" x14ac:dyDescent="0.3">
      <c r="A13" t="s">
        <v>225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055D36AD-8304-474F-8B25-8CF3D2C80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Meta 1</vt:lpstr>
      <vt:lpstr>Meta 2</vt:lpstr>
      <vt:lpstr>Meta 3</vt:lpstr>
      <vt:lpstr>Meta 4</vt:lpstr>
      <vt:lpstr>Meta 5</vt:lpstr>
      <vt:lpstr>Meta 6</vt:lpstr>
      <vt:lpstr>Meta 7</vt:lpstr>
      <vt:lpstr>Indicadores PA</vt:lpstr>
      <vt:lpstr>Hoja1</vt:lpstr>
      <vt:lpstr>Territorialización PA</vt:lpstr>
      <vt:lpstr>Control de Cambios</vt:lpstr>
      <vt:lpstr>LISTAS</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dcterms:created xsi:type="dcterms:W3CDTF">2011-04-26T22:16:52Z</dcterms:created>
  <dcterms:modified xsi:type="dcterms:W3CDTF">2024-03-15T19:56:25Z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