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8.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1.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drawings/drawing12.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992" firstSheet="8" activeTab="13"/>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state="hidden" r:id="rId7"/>
    <sheet name="VIGENCIA" sheetId="8" state="hidden" r:id="rId8"/>
    <sheet name="Meta 1" sheetId="9" r:id="rId9"/>
    <sheet name="Metas 2" sheetId="10" r:id="rId10"/>
    <sheet name="Meta 3" sheetId="11" r:id="rId11"/>
    <sheet name="Meta 4" sheetId="12" r:id="rId12"/>
    <sheet name="META PDD" sheetId="13" state="hidden" r:id="rId13"/>
    <sheet name="1. Ind. PA - DE" sheetId="14" r:id="rId14"/>
    <sheet name="2. Ind PA - GT" sheetId="15" r:id="rId15"/>
    <sheet name="3. Ind PA - TH" sheetId="16" r:id="rId16"/>
    <sheet name="4. Ind PA - Planeación" sheetId="17" r:id="rId17"/>
    <sheet name="5. Ind PA - Seg Ev y C" sheetId="18" r:id="rId18"/>
    <sheet name="6. Ind PA - GD" sheetId="19" r:id="rId19"/>
    <sheet name="7. Ind PA - GF" sheetId="20" r:id="rId20"/>
    <sheet name="8. Ind PA - GA" sheetId="21" r:id="rId21"/>
    <sheet name="9. Ind PA - CDI" sheetId="22" r:id="rId22"/>
    <sheet name="10. Ind PA - Contratación" sheetId="23" r:id="rId23"/>
    <sheet name="11. Ind PA - AC" sheetId="24" r:id="rId24"/>
    <sheet name="12. Ind PA - OAJ" sheetId="25" r:id="rId25"/>
    <sheet name="Hoja13" sheetId="26" state="hidden" r:id="rId26"/>
    <sheet name="Hoja1" sheetId="27" state="hidden" r:id="rId27"/>
  </sheets>
  <definedNames>
    <definedName name="_xlfn.IFERROR" hidden="1">#NAME?</definedName>
    <definedName name="_xlnm.Print_Area" localSheetId="13">'1. Ind. PA - DE'!$A$1:$AY$21</definedName>
    <definedName name="_xlnm.Print_Area" localSheetId="22">'10. Ind PA - Contratación'!$A$3:$AY$23</definedName>
    <definedName name="_xlnm.Print_Area" localSheetId="23">'11. Ind PA - AC'!$A$1:$AY$25</definedName>
    <definedName name="_xlnm.Print_Area" localSheetId="24">'12. Ind PA - OAJ'!$A$1:$AY$22</definedName>
    <definedName name="_xlnm.Print_Area" localSheetId="14">'2. Ind PA - GT'!$A$1:$AY$23</definedName>
    <definedName name="_xlnm.Print_Area" localSheetId="15">'3. Ind PA - TH'!$A$1:$AY$21</definedName>
    <definedName name="_xlnm.Print_Area" localSheetId="16">'4. Ind PA - Planeación'!$A$1:$AY$22</definedName>
    <definedName name="_xlnm.Print_Area" localSheetId="17">'5. Ind PA - Seg Ev y C'!$A$1:$AY$19</definedName>
    <definedName name="_xlnm.Print_Area" localSheetId="18">'6. Ind PA - GD'!$A$1:$AY$20</definedName>
    <definedName name="_xlnm.Print_Area" localSheetId="19">'7. Ind PA - GF'!$A$1:$AY$19</definedName>
    <definedName name="_xlnm.Print_Area" localSheetId="20">'8. Ind PA - GA'!$A$1:$AY$20</definedName>
    <definedName name="_xlnm.Print_Area" localSheetId="21">'9.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$2´200.000</t>
        </r>
      </text>
    </comment>
  </commentList>
</comments>
</file>

<file path=xl/comments14.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9.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3" authorId="1">
      <text>
        <r>
          <rPr>
            <b/>
            <sz val="9"/>
            <rFont val="Tahoma"/>
            <family val="2"/>
          </rPr>
          <t>stefania vidal p:</t>
        </r>
        <r>
          <rPr>
            <sz val="9"/>
            <rFont val="Tahoma"/>
            <family val="2"/>
          </rPr>
          <t xml:space="preserve">
LA INFORMACIÓN A REPORTAR DEBE SER DE LOS 2 TRIMESTRES (1 ENERO - 30 DE JUNIO) NO SE DEBE ENUNCIAR EL MES MAYO.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nayla isaza</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5" authorId="1">
      <text>
        <r>
          <rPr>
            <b/>
            <sz val="14"/>
            <rFont val="Tahoma"/>
            <family val="2"/>
          </rPr>
          <t>nayla isaza:</t>
        </r>
        <r>
          <rPr>
            <sz val="14"/>
            <rFont val="Tahoma"/>
            <family val="2"/>
          </rPr>
          <t xml:space="preserve">
CORTE A 31 DE AGOSTO</t>
        </r>
      </text>
    </comment>
  </commentList>
</comments>
</file>

<file path=xl/comments21.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<sst xmlns="http://schemas.openxmlformats.org/spreadsheetml/2006/main" count="3698" uniqueCount="1044">
  <si>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</si>
  <si>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</si>
  <si>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</si>
  <si>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</si>
  <si>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</si>
  <si>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</si>
  <si>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</si>
  <si>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</si>
  <si>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</si>
  <si>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</si>
  <si>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</si>
  <si>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</si>
  <si>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</si>
  <si>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</si>
  <si>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</si>
  <si>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</si>
  <si>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</si>
  <si>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</si>
  <si>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</si>
  <si>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</si>
  <si>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</si>
  <si>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</si>
  <si>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</si>
  <si>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</si>
  <si>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</si>
  <si>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</si>
  <si>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</si>
  <si>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</si>
  <si>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</si>
  <si>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</si>
  <si>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</si>
  <si>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</si>
  <si>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</si>
  <si>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</si>
  <si>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</si>
  <si>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</si>
  <si>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</si>
  <si>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</si>
  <si>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</si>
  <si>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</si>
  <si>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</si>
  <si>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</si>
  <si>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</si>
  <si>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</si>
  <si>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</si>
  <si>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</si>
  <si>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</si>
  <si>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</si>
  <si>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</si>
  <si>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</si>
  <si>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</si>
  <si>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</si>
  <si>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</si>
  <si>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</si>
  <si>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</si>
  <si>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</si>
  <si>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</si>
  <si>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</si>
  <si>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</si>
  <si>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</si>
  <si>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</si>
  <si>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</si>
  <si>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</si>
  <si>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</si>
  <si>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</si>
  <si>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</si>
  <si>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</si>
  <si>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</si>
  <si>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</si>
  <si>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</si>
  <si>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</si>
  <si>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</si>
  <si>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</si>
  <si>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</si>
  <si>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</si>
  <si>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</si>
  <si>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</si>
  <si>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</si>
  <si>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</si>
  <si>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</si>
  <si>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</si>
  <si>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</si>
  <si>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</si>
  <si>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</si>
  <si>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</si>
  <si>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</si>
  <si>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</si>
  <si>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</si>
  <si>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</si>
  <si>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</si>
  <si>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</si>
  <si>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</si>
  <si>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</si>
  <si>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</si>
  <si>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</si>
  <si>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</si>
  <si>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</si>
  <si>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</si>
  <si>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</si>
  <si>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</si>
  <si>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</si>
  <si>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</si>
  <si>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</si>
  <si>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</si>
  <si>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</si>
  <si>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</si>
  <si>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</si>
  <si>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</si>
  <si>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</si>
  <si>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</si>
  <si>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</si>
  <si>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</si>
  <si>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</si>
  <si>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</si>
  <si>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</si>
  <si>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</si>
  <si>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</si>
  <si>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</si>
  <si>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</si>
  <si>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</si>
  <si>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</si>
  <si>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</si>
  <si>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</si>
  <si>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</si>
  <si>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</si>
  <si>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</si>
  <si>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</si>
  <si>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</si>
  <si>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</si>
  <si>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</si>
  <si>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</si>
  <si>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</si>
  <si>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</si>
  <si>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</si>
  <si>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</si>
  <si>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</si>
  <si>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</si>
  <si>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</si>
  <si>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</si>
  <si>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</si>
  <si>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</si>
  <si>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</si>
  <si>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</si>
  <si>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</si>
  <si>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</si>
  <si>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</si>
  <si>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</si>
  <si>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</si>
  <si>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</si>
  <si>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</si>
  <si>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</si>
  <si>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</si>
  <si>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</si>
  <si>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</si>
  <si>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</si>
  <si>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</si>
  <si>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</si>
  <si>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</si>
  <si>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</si>
  <si>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</si>
  <si>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</si>
  <si>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</si>
  <si>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</si>
  <si>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</si>
  <si>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</si>
  <si>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</si>
  <si>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</si>
  <si>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</si>
  <si>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</si>
  <si>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</si>
  <si>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</si>
  <si>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</si>
  <si>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</si>
  <si>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</si>
  <si>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</si>
  <si>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</si>
  <si>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</si>
  <si>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</si>
  <si>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</si>
  <si>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</si>
  <si>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</si>
  <si>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</si>
  <si>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</si>
  <si>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</si>
  <si>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</si>
  <si>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</si>
  <si>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</si>
  <si>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</si>
  <si>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</si>
  <si>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</si>
  <si>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</si>
  <si>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</si>
  <si>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</si>
  <si>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</si>
  <si>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</si>
  <si>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</si>
  <si>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</si>
  <si>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</si>
  <si>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</si>
  <si>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</si>
  <si>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</si>
  <si>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</si>
  <si>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</si>
  <si>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</si>
  <si>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</si>
  <si>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</si>
  <si>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</si>
  <si>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</si>
  <si>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</si>
  <si>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</si>
  <si>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</si>
  <si>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</si>
  <si>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</si>
  <si>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</si>
  <si>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</si>
  <si>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</si>
  <si>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</si>
  <si>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</si>
  <si>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</si>
  <si>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</si>
  <si>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</si>
  <si>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</si>
  <si>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</si>
  <si>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</si>
  <si>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</si>
  <si>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</si>
  <si>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</si>
  <si>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</si>
  <si>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</si>
  <si>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</si>
  <si>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</si>
  <si>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</si>
  <si>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</si>
  <si>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</si>
  <si>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</si>
  <si>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</si>
  <si>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</si>
  <si>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</si>
  <si>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</si>
  <si>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</si>
  <si>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</si>
  <si>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</si>
  <si>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</si>
  <si>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</si>
  <si>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</si>
  <si>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</si>
  <si>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</si>
  <si>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</si>
  <si>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</si>
  <si>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</si>
  <si>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</si>
  <si>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</si>
  <si>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</si>
  <si>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</si>
  <si>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</si>
  <si>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</si>
  <si>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</si>
  <si>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</si>
  <si>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</si>
  <si>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</si>
  <si>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</si>
  <si>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</si>
  <si>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</si>
  <si>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</si>
  <si>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</si>
  <si>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</si>
  <si>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</si>
  <si>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</si>
  <si>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</si>
  <si>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</si>
  <si>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</si>
  <si>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</si>
  <si>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</si>
  <si>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</si>
  <si>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</si>
  <si>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</si>
  <si>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</si>
  <si>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</si>
  <si>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</si>
  <si>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</si>
  <si>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</si>
  <si>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</si>
  <si>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</si>
  <si>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</si>
  <si>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</si>
  <si>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</si>
  <si>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</si>
  <si>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</si>
  <si>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</si>
  <si>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</si>
  <si>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</si>
  <si>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</si>
  <si>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</si>
  <si>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</si>
  <si>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</si>
  <si>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</si>
  <si>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</si>
  <si>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</si>
  <si>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</si>
  <si>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</si>
  <si>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</si>
  <si>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</si>
  <si>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</si>
  <si>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</si>
  <si>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</si>
  <si>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</si>
  <si>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</si>
  <si>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</si>
  <si>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</si>
  <si>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</si>
  <si>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</si>
  <si>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</si>
  <si>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</si>
  <si>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</si>
  <si>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</si>
  <si>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</si>
  <si>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</si>
  <si>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</si>
  <si>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</si>
  <si>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</si>
  <si>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</si>
  <si>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</si>
  <si>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</si>
  <si>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</si>
  <si>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</si>
  <si>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</si>
  <si>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</si>
  <si>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</si>
  <si>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</si>
  <si>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</si>
  <si>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</si>
  <si>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</si>
  <si>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</si>
  <si>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</si>
  <si>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</si>
  <si>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</si>
  <si>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</si>
  <si>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</si>
  <si>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</si>
  <si>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</si>
  <si>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</si>
  <si>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</si>
  <si>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</si>
  <si>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</si>
  <si>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</si>
  <si>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</si>
  <si>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</si>
  <si>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</si>
  <si>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</si>
  <si>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</si>
  <si>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</si>
  <si>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</si>
  <si>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</si>
  <si>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</si>
  <si>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</si>
  <si>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</si>
  <si>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</si>
  <si>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</si>
  <si>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</si>
  <si>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</si>
  <si>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</si>
  <si>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</si>
  <si>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</si>
  <si>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</si>
  <si>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</si>
  <si>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</si>
  <si>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</si>
  <si>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</si>
  <si>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</si>
  <si>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</si>
  <si>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</si>
  <si>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</si>
  <si>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</si>
  <si>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</si>
  <si>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</si>
  <si>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</si>
  <si>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</si>
  <si>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</si>
  <si>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</si>
  <si>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</si>
  <si>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</si>
  <si>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</si>
  <si>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</si>
  <si>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</si>
  <si>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</si>
  <si>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</si>
  <si>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</si>
  <si>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</si>
  <si>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</si>
  <si>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</si>
  <si>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</si>
  <si>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</si>
  <si>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</si>
  <si>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</si>
  <si>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</si>
  <si>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</si>
  <si>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</si>
  <si>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</si>
  <si>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</si>
  <si>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</si>
  <si>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</si>
  <si>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</si>
  <si>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</si>
  <si>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</si>
  <si>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</si>
  <si>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</si>
  <si>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</si>
  <si>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</si>
  <si>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</si>
  <si>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</si>
  <si>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</si>
  <si>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</si>
  <si>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</si>
  <si>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</si>
  <si>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</si>
  <si>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</si>
  <si>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</si>
  <si>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</si>
  <si>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</si>
  <si>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</si>
  <si>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</si>
  <si>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</si>
  <si>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</si>
  <si>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</si>
  <si>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</si>
  <si>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</si>
  <si>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</si>
  <si>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</si>
  <si>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</si>
  <si>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</si>
  <si>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</si>
  <si>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</si>
  <si>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</si>
  <si>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</si>
  <si>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</si>
  <si>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</si>
  <si>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</si>
  <si>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</si>
  <si>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</si>
  <si>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</si>
  <si>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</si>
  <si>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</si>
  <si>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</si>
  <si>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</si>
  <si>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</si>
  <si>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</si>
  <si>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</si>
  <si>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</si>
  <si>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</si>
  <si>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</si>
  <si>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</si>
  <si>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</si>
  <si>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</si>
  <si>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</si>
  <si>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</si>
  <si>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</si>
  <si>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</si>
  <si>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</si>
  <si>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</si>
  <si>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</si>
  <si>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</si>
  <si>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</si>
  <si>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</si>
  <si>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</si>
  <si>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</si>
  <si>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</si>
  <si>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</si>
  <si>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</si>
  <si>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</si>
  <si>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</si>
  <si>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</si>
  <si>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</si>
  <si>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</si>
  <si>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</si>
  <si>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</si>
  <si>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</si>
  <si>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</si>
  <si>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</si>
  <si>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</si>
  <si>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</si>
  <si>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</si>
  <si>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</si>
  <si>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</si>
  <si>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</si>
  <si>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</si>
  <si>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</si>
  <si>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</si>
  <si>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</si>
  <si>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</si>
  <si>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</si>
  <si>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</si>
  <si>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</si>
  <si>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</si>
  <si>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</si>
  <si>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</si>
  <si>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</si>
  <si>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</si>
  <si>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</si>
  <si>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</si>
  <si>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</si>
  <si>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</si>
  <si>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</si>
  <si>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</si>
  <si>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</si>
  <si>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</si>
  <si>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</si>
  <si>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</si>
  <si>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</si>
  <si>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</si>
  <si>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</si>
  <si>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</si>
  <si>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</si>
  <si>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</si>
  <si>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</si>
  <si>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</si>
  <si>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</si>
  <si>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</si>
  <si>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</si>
  <si>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</si>
  <si>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</si>
  <si>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</si>
  <si>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</si>
  <si>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</si>
  <si>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</si>
  <si>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</si>
  <si>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</si>
  <si>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</si>
  <si>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</si>
  <si>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</si>
  <si>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</si>
  <si>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</si>
  <si>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</si>
  <si>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</si>
  <si>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</si>
  <si>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</si>
  <si>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</si>
  <si>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</si>
  <si>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</si>
  <si>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</si>
  <si>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</si>
  <si>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</si>
  <si>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</si>
  <si>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</si>
  <si>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</si>
  <si>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</si>
  <si>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</si>
  <si>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</si>
  <si>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</si>
  <si>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</si>
  <si>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</si>
  <si>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</si>
  <si>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</si>
  <si>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</si>
  <si>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</si>
  <si>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</si>
  <si>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</si>
  <si>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</si>
  <si>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</si>
  <si>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</si>
  <si>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</si>
  <si>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</si>
  <si>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</si>
  <si>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</si>
  <si>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</si>
  <si>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</si>
  <si>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</si>
  <si>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</si>
  <si>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</si>
  <si>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</si>
  <si>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</si>
  <si>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</si>
  <si>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</si>
  <si>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</si>
  <si>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</si>
  <si>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</si>
  <si>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</si>
  <si>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</si>
  <si>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</si>
  <si>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</si>
  <si>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</si>
  <si>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</si>
  <si>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</si>
  <si>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</si>
  <si>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</si>
  <si>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</si>
  <si>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</si>
  <si>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</si>
  <si>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</si>
  <si>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</si>
  <si>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</si>
  <si>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</si>
  <si>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</si>
  <si>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</si>
  <si>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</si>
  <si>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</si>
  <si>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</si>
  <si>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</si>
  <si>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</si>
  <si>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</si>
  <si>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</si>
  <si>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</si>
  <si>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</si>
  <si>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</si>
  <si>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</si>
  <si>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</si>
  <si>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</si>
  <si>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</si>
  <si>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</si>
  <si>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</si>
  <si>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</si>
  <si>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</si>
  <si>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</si>
  <si>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</si>
  <si>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</si>
  <si>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</si>
  <si>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</si>
  <si>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</si>
  <si>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</si>
  <si>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</si>
  <si>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</si>
  <si>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</si>
  <si>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</si>
  <si>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</si>
  <si>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</si>
  <si>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</si>
  <si>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</si>
  <si>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</si>
  <si>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</si>
  <si>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</si>
  <si>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</si>
  <si>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</si>
  <si>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</si>
  <si>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</si>
  <si>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</si>
  <si>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</si>
  <si>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</si>
  <si>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</si>
  <si>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</si>
  <si>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</si>
  <si>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</si>
  <si>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</si>
  <si>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</si>
  <si>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</si>
  <si>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</si>
  <si>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</si>
  <si>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</si>
  <si>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</si>
  <si>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</si>
  <si>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</si>
  <si>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</si>
  <si>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</si>
  <si>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</si>
  <si>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</si>
  <si>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</si>
  <si>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</si>
  <si>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</si>
  <si>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</si>
  <si>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</si>
  <si>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</si>
  <si>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</si>
  <si>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</si>
  <si>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</si>
  <si>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</si>
  <si>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</si>
  <si>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</si>
  <si>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</si>
  <si>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</si>
  <si>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</si>
  <si>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</si>
  <si>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</si>
  <si>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</si>
  <si>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</si>
  <si>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</si>
  <si>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</si>
  <si>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</si>
  <si>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</si>
  <si>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</si>
  <si>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</si>
  <si>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</si>
  <si>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</si>
  <si>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</si>
  <si>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</si>
  <si>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</si>
  <si>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</si>
  <si>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</si>
  <si>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</si>
  <si>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</si>
  <si>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</si>
  <si>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</si>
  <si>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</si>
  <si>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</si>
  <si>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</si>
  <si>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</si>
  <si>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</si>
  <si>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</si>
  <si>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</si>
  <si>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</si>
  <si>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</si>
  <si>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</si>
  <si>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</si>
  <si>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</si>
  <si>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</si>
  <si>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</si>
  <si>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</si>
  <si>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</si>
  <si>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</si>
  <si>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</si>
  <si>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</si>
  <si>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</si>
  <si>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</si>
  <si>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</si>
  <si>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</si>
  <si>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</si>
  <si>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</si>
  <si>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</si>
  <si>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</si>
  <si>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</si>
  <si>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</si>
  <si>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</si>
  <si>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</si>
  <si>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</si>
  <si>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</si>
  <si>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</si>
  <si>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</si>
  <si>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</si>
  <si>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</si>
  <si>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</si>
  <si>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</si>
  <si>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</si>
  <si>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</si>
  <si>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</si>
  <si>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</si>
  <si>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</si>
  <si>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</si>
  <si>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</si>
  <si>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</si>
  <si>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</si>
  <si>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</si>
  <si>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</si>
  <si>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</si>
  <si>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</si>
  <si>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</si>
  <si>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</si>
  <si>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</si>
  <si>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</si>
  <si>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</si>
  <si>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</si>
  <si>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</si>
  <si>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</si>
  <si>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</si>
  <si>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</si>
  <si>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</si>
  <si>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</si>
  <si>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</si>
  <si>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</si>
  <si>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</si>
  <si>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</si>
  <si>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</si>
  <si>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</si>
  <si>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</si>
  <si>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</si>
  <si>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</si>
  <si>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</si>
  <si>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</si>
  <si>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</si>
  <si>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</si>
  <si>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</si>
  <si>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</si>
  <si>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</si>
  <si>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</si>
  <si>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</si>
  <si>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</si>
  <si>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</si>
  <si>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</si>
  <si>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</si>
  <si>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</si>
  <si>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</si>
  <si>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</si>
  <si>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</si>
  <si>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</si>
  <si>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</si>
  <si>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</si>
  <si>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</si>
  <si>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</si>
  <si>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</si>
  <si>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</si>
  <si>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</si>
  <si>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</si>
  <si>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</si>
  <si>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</si>
  <si>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</si>
  <si>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</si>
  <si>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</si>
  <si>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</si>
  <si>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</si>
  <si>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</si>
  <si>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</si>
  <si>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</si>
  <si>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</si>
  <si>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</si>
  <si>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</si>
  <si>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</si>
  <si>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</si>
  <si>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</si>
  <si>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</si>
  <si>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</si>
  <si>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</si>
  <si>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</si>
  <si>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</si>
  <si>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</si>
  <si>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</si>
  <si>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</si>
  <si>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</si>
  <si>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</si>
  <si>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</si>
  <si>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</si>
  <si>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</si>
  <si>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</si>
  <si>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</si>
  <si>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</si>
  <si>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</si>
  <si>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</si>
  <si>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</si>
  <si>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</si>
  <si>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</si>
  <si>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</si>
  <si>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</si>
  <si>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</si>
  <si>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</si>
  <si>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</si>
  <si>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</si>
  <si>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</si>
  <si>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</si>
  <si>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</si>
  <si>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</si>
  <si>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</si>
  <si>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</si>
  <si>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</si>
  <si>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</si>
  <si>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</si>
  <si>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</si>
  <si>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</si>
  <si>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</si>
  <si>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Nombre: Andrea Milena Parada Ortiz</t>
  </si>
  <si>
    <t>Cargo: Profesional Universitaria Dirección de Talento Humano</t>
  </si>
  <si>
    <t>Nombre: Dayra Marcela Aldana Diaz</t>
  </si>
  <si>
    <t>Nombre: Lida Cubillos Hernandez</t>
  </si>
  <si>
    <t>Cargo: Contratista - Oficina Asesora de Planeación</t>
  </si>
  <si>
    <t>PONDERACIÓN</t>
  </si>
  <si>
    <t>Porque faltó un informe del furag, función pública aperturo el aplicativo en fecha posterior.</t>
  </si>
  <si>
    <t>Porque adelantamos informes (compensar el porcentaje)</t>
  </si>
  <si>
    <t>Gestión contractual y precontractual de los procesos, validación de todos los procesos y monitoreo permanente a la infraestructura tecnológica para garantizar el correcto funcionamiento de los servicios de la entidad, mantenimiento y actualización  de los componentes de los sistemas de información.</t>
  </si>
  <si>
    <t>meta 1</t>
  </si>
  <si>
    <t>96% de cumplimiento en la contratación de Prestación de Servicios Profesionales y de Apoyo a la gestión. Atención a los requerimientos y rendiciones de cuentas a órganos de control y al Concejo de Bogotá. Se logra una ejecución presupuestal del 88,74% y de giros de 52,95% al corte de este reporte</t>
  </si>
  <si>
    <t>meta 2</t>
  </si>
  <si>
    <t>Se da cumplimiento al cronograma de trabajo establecido para la vigencia frente a la gestión de transferencia documental, según cronograma aprobado en sesión No.1 del Comité Institucional de Gestión y Desempeño.Se gestionó un total de  42,75 metros lineales de los 55 metros proyectados.</t>
  </si>
  <si>
    <t>meta 4</t>
  </si>
  <si>
    <t>meta 3</t>
  </si>
  <si>
    <t>Se han realizado actividades para avanzar en la implementación de las políticas de gestión y desempeño, que han permitido a la Entidad la mejora continua, pasando del 75.5 al 98.1 en los resultados del Índice de Desempeño Institución -IDI.</t>
  </si>
  <si>
    <t>Avanzar en el 80% en la Implementación de las políticas de Gobierno Digital y Seguridad Digital contenidas en la Dimensión Gestión con valores para Resultados</t>
  </si>
  <si>
    <t>Nombre: Diana Carolina Hernández Sánchez</t>
  </si>
  <si>
    <t>Medir el nivel de satisfacción de los clientes del proceso de Direccionamiento Estratégico, de acuerdo con los criterios definidos.</t>
  </si>
  <si>
    <t>Nivel de satisfacción del cliente interno del proceso de Direccionamiento Estratégico</t>
  </si>
  <si>
    <t>Calificación obtenida de los encuestados para todos los atributos o criterios en los servicios evaluados / [puntuación total máxima a obtener)*100</t>
  </si>
  <si>
    <t>Reporte Encuesta de satisfacción – proceso Direccionamiento Estratégico</t>
  </si>
  <si>
    <t>1. Con corte al mes de diciembre,  se ha suscrito 948 contratos por prestación de Servicios Profesionales y de Apoyo a la gestión de los 966 programados,  haciendo falta un aproximado de 18 solicitudes de contratación por radicar las áreas en la Dirección de Contratación, Logrando así que la entidad en general cuente con los profesionales requeridos para coayudar al cumplimiento de las metas planes y proyectos institucionales
2.Por otro lado, durante el mes de enero a diciembre  se adelantaron la totalidad de los tramites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 
Dejandonos con un avance del 98,1 % de cumplimiento en la contratación de Prestación de Servicios Profesionales y de Apoyo a la gestión y un 100% en otros trámites en el mes de diciembre.</t>
  </si>
  <si>
    <t>A la fecha los retrazos presentados por devoluciones de documentos contractuales han sido solucionado en la mayoria de los casos inmediatamente</t>
  </si>
  <si>
    <t xml:space="preserve"> Con la suscripcion de 948 Contratos de Prestación de Servicios Profesionales y de Apoyo a la Gestión, las areas misionales y de Apoyo pueden cumplir con sus proyectos y  metas presuspuestadas sin ningun contratiempo al contar con el presonal idoneo y requerido para ello.
                                                                                                                                                                            Gracias a la suscripción de los  23 contratos nuevos  de arrendamiento y la adición prorroga de uno,   las casas de igualdad y oportunidades, la entidad y la casa de todas, siguen pretando los servicios ofertados  a todas la mujeres que hacen uso de estos.    
Por otro lado, a corte 31 de diciembre, la entidad ha suscrito 47 contratos por otras modalidades de selección los cuales son importantes para garantizar el adecuado funcionamiento y la prestacion del  servico  de oferta institucional         </t>
  </si>
  <si>
    <t>1. En el mes de diciembre  se realizó apoyo en el análisis y revisión jurídica de la contratación de la entidad con la suscripción de 1  contrato por modalidad de contratación directa con proveedor exclusivo,  1 contrato por madalidad de Selección Abreviada-Adhesión Acuerdo Marco de Precios y  4 contratos por Modalidad de Mínima cuantía.  Por otra parte, se realizó apoyo en el análisis y revisión jurídica de 948 contratos suscritos de prestación de servicios profesionales y apoyo a la gestión
2. En el mes de diciembre se realizó la elaboración y publicación de los informes de seguimiento a la gestión de PQRS y atención a la ciudadanía, correspondientes al mes de noviembre, y con corte al mes de diciembre los informes del mes de diciembre, trimestral (cuarto trimestre del año 2022) y, enero, febrero, marzo, abril, mayo, junio, julio, agosto, septiembre, octubre, y trimestral (primer, segundo y tercer trimestre 202323).  
3. En el mes de diciembre  y en lo recorrido del año 2023, se ha realizado el seguimiento semanal a las dependencias de la entidad de la gestión de peticiones ciudadanas, dentro de los términos estipulados por la ley en el Sistema Distrital para la Gestión de Peticiones Ciudadanas – Bogotá te escucha. 
4. En el mes de diciembre  y en lo recorrido del año 2023 se ha realizado seguimiento a los planes de mejoramientos internos y externos en el Sistema Integrado de Gestión- aplicativo Lucha, y seguimiento al PAAC  de las direcciones y/o equipos que hacen parte de la Corporativa  
5. En el mes de diciembre  y en lo recorrido del año se ha dado respuesta a requerimientos de la Contraloría de Bogotá, Contraloría Gneral de la República y a la Personería de Bogotá. 
6. En diciembre  y en lo recorrido del año se realizó seguimiento a la ejecución presupuestal de 11 proyectos de inversión, evidenciando una ejecución total de inversión de  98.15%, giros del 80.23%. y funcionamiento 91.39% y giros de 88.09%.</t>
  </si>
  <si>
    <t xml:space="preserve">La Dirección de Contratación, en el mes de diciembre  en el marco del proyecto de inversión 7662 recibió 3 solicitudes de contratación, para un total  a corte  del mes de diciembrede  163 solicitudes de contracción.
Por otro lado, recibió un total de 2 solicitudes  de contratación por  otros proyectos de invesión , para un total  a corte  del mes de diciembre de  855 solicitudes de contracción.
De acuerdo a lo anterior,  entre el mes de enero a diciembre  la Dirección de Contratación  recibió un total 1018 de solicitudes, las cuales fueron tramitadas y a su vez se suscribieron los respectivos contratos. 
Así mismo, en el mes de diciembre  se realizó 278  modificaciones entre las cuales se encuentran, Adiciones, Adiciones y Prórroga, Prórroga, Terminaciones Anticipadas, Otro Sí Modificatorios, Cesiones,  liquidaciones, Aclaratorios entre otros, para un total de 893 modificaciones aproximadamente. </t>
  </si>
  <si>
    <t>Diciembre: Bienestar: Cierre gestión, bonos navideños. Capacitación: Conflictos interés, procedimientos y reglas contractuales, reinducción y seguridad información. SST: Autoevaluación, inspecciones botiquines, extintores y puestos de trabajo, EPP, Resultados riesgo psicosocial, EMO, seguimiento condiciones de salud, revisión SGSST por la alta dirección y COPASST. EDL y AG: Seguimiento, consultas y concertaciones. Se realizó el pago de ARL y subsidio a pasantes. Situaciones Administrativas: renuncias, nombramiento provisional, vacaciones, primas técnicas, licencias y horas extra.
Ene.–dic. 2023: Formular PETH y 5 planes anexos aprobados MIPG. Bienestar: Cierre gestión, bonos navideños, 25N, autocuidado, día auxiliar y conductor, caminatas, pausas mentales, animales de compañía, día salud mujeres, PAP, 8M, boletas, torneo bolos y minitejo, vacaciones, día dulce y Halloween. Capacitación: Conflictos interés, seguridad información, situaciones administrativas, ofimática, EDL, almacén, mujeres migrantes, OMEG, ORFEO, atención mujeres en sus diferencias, inducción, Big Data, SQL, Power BI, políticas públicas, liquidación e incumplimiento contractual, PPMYEG, LUCHA, SIMISIONAL, Mesa Ayuda, regulación contable, lenguaje incluyente, prevención violencias, SIDICU, Circular 012, decreto 332, violencias, PPLGBTI y antisoborno. SST: Condiciones de salud, autoevaluación SG-SST, EMO, sesiones del COPASST y CCL, prevención riesgo psicosocial y riesgo biológico, inspecciones botiquines, camillas, extintores y puestos de trabajo, investigación AT, EPP, semana de la salud, simulacro, actualización documentos, revisión SGSST por alta dirección y capacitación brigada. Situaciones Administrativas: Provisión de empleos, teletrabajo, horario flexible, primas técnicas, licencias, vacaciones, horas extra, compensatorios, liquidaciones, renuncias, permisos de estudio y encargos. AG y EDL: Seguimiento, concertaciones y solicitudes. Vinculación, pago de ARL y subsidio a pasantes.</t>
  </si>
  <si>
    <t xml:space="preserve">Con corte al mes de Diciembre de 2023, se realizó seguimiento planes de mejora FURAG de acuerdo con cronograma, se continua con la actualización de la documentación de los procesos, realización de acompañamientos en planes de mejora, seguimiento y monitoreo a riesgos, ejecución de las actividades de PIGA y actualización al botón de transparencia. </t>
  </si>
  <si>
    <t xml:space="preserve">En lo transcurrido a diciembre 31 de 2023, se han realizado las sesiones del CIGD de acuerdo con lo programado, se han atendido todas las solicitudes de actualización de documentos, se realiza el acompañamiento permanente en planes mejora, se ha realizado monitoreo y acompañamiento a los riesgos, se ha dado cumplimiento a las actividades del PIGA y se han realizado las actualizaciones de información en el link de transparencia </t>
  </si>
  <si>
    <t>No hubo retrasos</t>
  </si>
  <si>
    <t xml:space="preserve">Mejora continua en el modelo integrado de planeación y Gestión de la entidad - MIPG
Puesta en marcha de las buenas practicas en la entidad para la implementacion de las politicas del MIPG enmarcadas en los planes de mejora FURAG    
   </t>
  </si>
  <si>
    <t>Se realizó el seguimiento al Plan de Adecuación y sostenibilidad, el cual durante el segundo semestre de ejecutaron 64 actividades programadas.</t>
  </si>
  <si>
    <t>Se dio cumplimiento a las 85 actividades que conforman el plan, dando cumplimiento  del 100% .</t>
  </si>
  <si>
    <t>Durante el mes y vigencia no se presentaron retrasos que impidieran el cumplimiento del plan, se realizaron las presentaciones en el CIGD de acuerdo con el cronograma.</t>
  </si>
  <si>
    <t xml:space="preserve">Durante el mes y vigencia no se presentaron retrasos que impidieran el cumplimiento del plan. </t>
  </si>
  <si>
    <t>Se atienden 52 solicitudes de LUCHA de las 52 recibidas, teniendo un avance del 100%. Ente las solicitudes reicibidas se encuentran gestión de usuarios, actualizaciones, eliminación, copias, revisión y publicación de documentos.</t>
  </si>
  <si>
    <t>Durante lo transcurrido de esta vigencia se han atendido 320 solicitudes relacionadas con usuarios y documentos de LUCHA, teniendo un avance del 100%</t>
  </si>
  <si>
    <t>No se presentaron retrasos</t>
  </si>
  <si>
    <t>Se atienden 9 solicitudes de las 9 recibidas, teniendo un avance del 100%. Entre las solicitudes recibidas se encuentran asesorías, ajustes, apoyo en la formulación, ejecución y reporte en el modulo de mejora continua de LUCHA, entre otros.</t>
  </si>
  <si>
    <t>Durante lo transcurrido de esta vigencia se han atendido 110 solicitudes relacionadas con planes de mejoramiento, teniendo un avance del 100%</t>
  </si>
  <si>
    <t>Se realiza reporte viajes en bici. 
Coordinación recolección de residuos con potencial aprovechable
Seguimiento consumo de servicios agua y energía
Acompañamiento y orientación de actividades asociadas a gestión de residuos en Bodega
Seguimiento a Acuerdo de corresponsabilidad 1071 de 2022
Actualización registro información caracterización residuos aprovechables
Actualización documentos PAI, Guia de criterios sostenibles, PGIRESPEL
Reporte SDA de informes Planificación y Formulación plan acción 2024
Registro de comunicaciones ambientales socializadas</t>
  </si>
  <si>
    <t>Durante lo transcurrido de la vigencia se ejecutado 89 actividades del plan de accion PIGA</t>
  </si>
  <si>
    <t>Reiterar solicitudes de información para reportes
Dar claridad de responsabilidades de áreas</t>
  </si>
  <si>
    <t xml:space="preserve">Durante el periodo de septiembre a Dieciembre se realizaron 29 reuniones con los procesos para orientar en los temas relacionados con los riesgos y sus controles </t>
  </si>
  <si>
    <t xml:space="preserve">Durante el periodo de enero a Dieciembre se realizaron 97 reuniones con los procesos para orientar en los temas relacionados con los riesgos y sus controles </t>
  </si>
  <si>
    <t xml:space="preserve">
En el mes de Diciembre 2023 se realizan las publicaciones descritas a continuación:
Numeral 2.1.3: Resolución 0491 del 06 de diciembre de 2023: Por medio de la cual se dopta la Política de Cumplimiento Normativo de la Secretaría Distrital de la Mujer y se conforma el Órgano de Cumplimiento Normativo en el marco de lo dispuesto en el Decreto Distrital 610 de 2022 y  Proyecto de Resolución: Por medio de la cual se adopta el proceso de elección de algunas representaciones del Mecanismo de Participación y Seguimiento del Sistema Distrital de Cuidado según lo establecido en el AcuerdoDistrital893 de 2023 y el DecretoDistrital 415 de 2023
Numeral 3.1.1: SDMUJER-MC-022-2023: Prestar el servicio de mantenimiento preventivo y correctivo incluido repuestos para Aire Acondicionado, para Nivel Central de la Secretaría Distrital de la Mujer; SDMUJER-SAMC-004-2023: Intermediación comercial tendiente al logro y perfeccionamiento de la venta de bienes muebles y enseres de propiedad de la Secretaría Distrital de la Mujer, en la modalidad de Martillo y SDMUJER-MC-023-2023: dquirir consumibles de impresión para los equipos multifuncionales de la Secretaría Distrital de la Mujer.
Numeral 3.2:  Directorio de contratistas noviembre 2023
Numeral 3.3: Información ejecución de los contratos noviembre 2023
Numeral 4.2: Ejecución presupuestal reservas a 30 de noviembre 2023 y Ejecución presupuestal vigencia a 30 de noviembre 2023
Numeral 4.3: Ïtem plan de acción: Seguimiento plan de acción octubre proyecto 7662; Seguimiento proyectos noviembre: 7662; 7671, 7672, 7673, 7675, 7676, 7718, 7734, 7738 y 7739.
Numeral 4.3: Ítem Planes estratégicos: Plan institucional de seguridad de la información 2023 V2, Plan institucional de participación ciudadanía 2023 V5, ítem Plan Anticorrupción y Atención a la Ciudadanía 2023 V7.
Numeral 4.7.1: Ítem Informe de Rendición de Cuentas: Presentación audiencia pública de rendición de cuentas 2023.
Numeral 4.7.3: Presentación audiencia pública de rendición de cuentas 2023
Numeral 4.8: Plan  anual de auditoria enero y febrero 2024 V1 y el Informe seguimiento a la gestión del riesgo.
Numeral 4.10: Informe mensual de seguimiento PQRS y el Informe de gestión y PQRS y de atención a la ciudadanía octubre 2023
Numeral 9.1.2.1: Informes. Cuarto informe trimestral de rendición de cuentas permanente al Consejo Consultivo de Mujeres
Numeral 9.1.2.4: Informe Anual 2023 Comisión intersectorial de mujeres y el Informe de gestión cuarto trimestre 2023 Comisión intersectorial de mujeres 
Numeral 9.1.2.5: Acta No. 13 de la Comisión Intersectorial del Sistema Distrital de Cuidado y el Informe de la comisión intersectorial del Sistema del Cuidado tercer trimestre 2023</t>
  </si>
  <si>
    <t>Durante lo transcurrido de esta vigencia se han actualizado 391 documentos en los diferentes numerales del botón de transparencia y acceso a la información pública.</t>
  </si>
  <si>
    <t>Se realizó la actualización de los meses de octubre, noviembre y diciembre de los servicios de la SDMujer en la Guía de Trámites y Servicios, y se remitió el certificado de confiabilidad a la Secretaría General de la Alcaldía Mayor de Bogotá.</t>
  </si>
  <si>
    <t>Se ha realizado la actualización de los meses de enero a diciembre de los servicios de la SDMujer en la Guía de Trámites y Servicios, y se remitió el certificado de confiabilidad a la Secretaría General de la Alcaldía Mayor de Bogotá.</t>
  </si>
  <si>
    <t>Se elaboró un (1) informe de seguimiento al desarrollo de actividades para evaluar el cumplimiento de los aspectos de accesibilidad al medio físico en los puntos de atención a la ciudadanía de la SDMujer.</t>
  </si>
  <si>
    <t>Se ha elaborado un (1) informe de seguimiento al desarrollo de actividades para evaluar el cumplimiento de los aspectos de accesibilidad al medio físico en los puntos de atención a la ciudadanía de la SDMujer.</t>
  </si>
  <si>
    <t>Se ejecutó tres (3) actividades de capacitación dirigidas a servidoras, servidores y contratistas de la Entidad, en los siguientes temas:
- 21/09/2023: Capacitación en gestión de PQRS en Bogotá te escucha. Dirigido a enlaces de las dependencias.
- 21/11/2023: Cuarto taller de gestión de PQRS en Bogotá te escucha y actualización de documentos de Atención a la Ciudadanía. Dirigido a enlaces de las dependencias.
- 30/11/2023: Capacitación en gestión de PQRS y manejo del sistema Bogotá te escucha. Dirigido a usuarios de la Dirección del Sistema del Cuidado.</t>
  </si>
  <si>
    <t>Se ejecutaron entre los meses de enero a diciembre, doce (12) actividades de capacitación dirigidas a servidoras, servidores y contratistas de la Entidad, en los siguientes temas :
- 11/01/2023: Sensibilización en gestión de PQRS y manejo del sistema Bogotá te escucha. Dirigido a enlace Dir. de Gestión del Conocimiento.
- 28/03/2023: Primer taller de gestión de PQRS en Bogotá te escucha. Dirigido a enlaces de las dependencias.
- 30/03/2023: Sensibilización en gestión de PQRS y manejo del sistema Bogotá te escucha. Dirigido a enlace Dir. Administrativa y Financiera.
- 12/04/2023: Sensibilización en servicio a la ciudadanía y protocolos de atención. Dirigido a Línea Púrpura Distrital.
- 23/05/2023: Segundo taller de gestión de PQRS en Bogotá te escucha. Dirigido a enlaces de las dependencias.
- 28/06/2023: Sensibilización sobre el cierre de PQRS en el sistema Bogotá te escucha. Dirigido a enlaces de las dependencias.
- 17/07/2023: Sensibilización sobre nueva versión del procedimiento AC-PR-2 Gestión de las PQRSD de la Ciudadanía - Versión 10. Dirigido a enlaces de las dependencias.
- 15/08/2023: Sensibilización en gestión de PQRS y manejo del sistema Bogotá te escucha. Dirigido a usuarios principales de la Dir. de Gestión del Conocimiento y Dir. de Talento Humano.
- 22/08/2023: Tercer taller de gestión de PQRS en Bogotá te escucha. Dirigido a enlaces de las dependencias.
- 21/09/2023: Capacitación en gestión de PQRS en Bogotá te escucha. Dirigido a enlaces de las dependencias.
- 21/11/2023: Cuarto taller de gestión de PQRS en Bogotá te escucha y actualización de documentos de Atención a la Ciudadanía. Dirigido a enlaces de las dependencias.
- 30/11/2023: Capacitación en gestión de PQRS y manejo del sistema Bogotá te escucha. Dirigido a usuarios de la Dirección del Sistema del Cuidado.</t>
  </si>
  <si>
    <t>Se realizó la divulgación de cuatro (4) piezas comunicacionales a través de la Boletina Informativa. Éstas fueron:
- Boletina 19 de septiembre: Protocolo de lenguaje claro en la atención a la ciudadanía.
- Boletina 26 de septiembre: Envío de peticiones ciudadanas al correo de Atención a la Ciudadanía.
- Boletina 08 de noviembre: Nuevo formato de registro de apertura de buzón de PQRS (versión 1).
- Boletina 06 de diciembre: Socialización de nueva versión Procedimiento AC-PR-2 Gestión de Peticiones, Quejas, Reclamos, Sugerencias y Denuncias de la Ciudadanía (versión 11).</t>
  </si>
  <si>
    <t>Se realizaron entre los meses de enero a diciembre, la divulgación de diez (10) piezas comunicacionales a través de la Boletina Informativa. Éstas fueron:
- Boletina 24 de enero - Resultados encuesta de satisfacción segundo semestre 2022.
- Boletina 16 de febrero - Resultados encuesta de satisfacción Distrital 2022.
- Boletina 03 de marzo - Socialización de Chatico.
- Boletina 16 de marzo - Socialización documento de Caracterización de Usuarios.
- Boletina 22 de junio: Socialización de Procedimiento de Caracterización de Usuarias(os).
- Boletina 28 de junio: Socialización de nueva versión Procedimiento AC-PR-2 Gestión de Peticiones, Quejas, Reclamos, Sugerencias y Denuncias de la Ciudadanía (versión 10).
- Boletina 19 de septiembre: Protocolo de lenguaje claro en la atención a la ciudadanía.
- Boletina 26 de septiembre: Envío de peticiones ciudadanas al correo de Atención a la Ciudadanía.
- Boletina 08 de noviembre: Nuevo formato de registro de apertura de buzón de PQRS (versión 1).
- Boletina 06 de diciembre: Socialización de nueva versión Procedimiento AC-PR-2 Gestión de Peticiones, Quejas, Reclamos, Sugerencias y Denuncias de la Ciudadanía (versión 11).</t>
  </si>
  <si>
    <t>Se realizó en el mes de septiembre el seguimiento y revisión semestral a la documentación asociada al proceso de Atención a la Ciudadanía en la cual se identificaron  los documentos que deben ser actualizados y las respectivas fechas en que se debe adelantar dichas actualizaciones. Esta información fue reportada mediante acta de reunión de seguimiento.</t>
  </si>
  <si>
    <t>Se realizaron en el mes de mayo y septiembre el seguimiento y revisión semestral a la documentación asociada al proceso de Atención a la Ciudadanía en la cual se identificaron  los documentos que deben ser actualizados y las respectivas fechas en que se debe adelantar dichas actualizaciones. Esta información fue reportada mediante acta de reunión de seguimiento.</t>
  </si>
  <si>
    <t>Teniendo en cuenta que la información estadística es remitida por la Secretaría General los primeros días del mes siguiente, durante el mes anterior (noviembre) se registraron 209 peticiones y se realizó el cierre de 241 peticiones (119 del mismo mes y 122 correspondientes al mes anterior), todas ellas recibidas a través de los distintos canales de atención dispuestos por la Secretaría Distrital de la Mujer y por traslado en el Sistema Distrital para la Gestión de Peticiones Ciudadanas - Bogotá te escucha.</t>
  </si>
  <si>
    <t>Teniendo en cuenta que la información estadística es remitida por la Secretaría General los primeros días del mes siguiente, durante los meses anteriores (diciembre, enero, febrero, marzo, abril, mayo, junio, julio, agosto, septiembre, octubre y noviembre) se registraron 2.812 peticiones y se ha realizado el cierre de 3.148 peticiones, todas ellas recibidas a través de los distintos canales de atención dispuestos por la Secretaría Distrital de la Mujer y por traslado en el Sistema Distrital para la Gestión de Peticiones Ciudadanas - Bogotá te escucha.</t>
  </si>
  <si>
    <t>El proceso de Atención a la Ciudadanía, participó en los siguientes espacios de articulación interinstitucional y promoción de la cooperación e intercambio de conocimientos en temas de atención a la ciudadanía:
- 14/09/2023: Nodos Sectoriales - Competencias sector Hábitat, dirigido por la Red Distrital de Quejas y Reclamos (Veeduría Distrital).
- 02/11/2023: Socialización de la Guía Metodológica de Inducción y Reinducción - Manejo de PQRS y Bogotá te escucha, dirigido por la Veeduría Distrital.
- 03/11/2023: Nodos Sectoriales - Competencias Veeduría Distrital, dirigido por la Red Distrital de Quejas y Reclamos (Veeduría Distrital).
- 14/11/2023: Nodos Sectoriales - Competencias sector Mujeres, dirigido por la Red Distrital de Quejas y Reclamos (Veeduría Distrital).
- 16/11/2023: Nodos Sectoriales - Competencias sector Seguridad, Convivencia y Justicia, dirigido por la Red Distrital de Quejas y Reclamos (Veeduría Distrital).
- 14/12/2023: Plenaria final de la Red Distrital de Quejas y Reclamos (Veeduría Distrital).</t>
  </si>
  <si>
    <t>El proceso de Atención a la Ciudadanía participó entre los meses de enero a diciembre, en los siguientes espacios de articulación interinstitucional, promoción de la cooperación e intercambio de conocimientos en temas de atención a la ciudadanía:
- 16/02/2023: Nodo Central  de la Red Distrital de Quejas y Reclamos (Veeduría Distrital).
- 23/02/2023: Primera Reunión Plenaria de la Red Distrital de Quejas y Reclamos (Veeduría Distrital).
- 07/03/2023: Seminario web Diseño Universal para la Señaletica, organuzado por  la Red Distrital de Quejas y Reclamos (Veeduría Distrital).
- 10/03/2023: Nodo Intersectorial de Formación y Capacitación  de la Red Distrital de Quejas y Reclamos (Veeduría Distrital).
- 19/05/2023: Nodos Sectoriales - Competencias sectores Planeación y Gestión Jurídica, dirigido por la Red Distrital de Quejas y Reclamos (Veeduría Distrital).
- 14/06/2023: Nodos Sectoriales - Competencias sector Educación, dirigido por la Red Distrital de Quejas y Reclamos (Veeduría Distrital).
- 27/06/2023: Nodos Sectoriales - Competencias sector Ambiente, dirigido por la Red Distrital de Quejas y Reclamos (Veeduría Distrital).
- 27/07/2023: Webinar Atención a las personas con discapacidad Psicosocial, dirigido por la Veeduría Distrital.
- 14/09/2023: Nodos Sectoriales - Competencias sector Hábitat, dirigido por la Red Distrital de Quejas y Reclamos (Veeduría Distrital).
- 02/11/2023: Socialización de la Guía Metodológica de Inducción y Reinducción - Manejo de PQRS y Bogotá te escucha, dirigido por la Veeduría Distrital.
- 03/11/2023: Nodos Sectoriales - Competencias Veeduría Distrital, dirigido por la Red Distrital de Quejas y Reclamos (Veeduría Distrital).
- 14/11/2023: Nodos Sectoriales - Competencias sector Mujeres, dirigido por la Red Distrital de Quejas y Reclamos (Veeduría Distrital).
- 16/11/2023: Nodos Sectoriales - Competencias sector Seguridad, Convivencia y Justicia, dirigido por la Red Distrital de Quejas y Reclamos (Veeduría Distrital).
- 14/12/2023: Plenaria final de la Red Distrital de Quejas y Reclamos (Veeduría Distrital).</t>
  </si>
  <si>
    <t>Se ha elaboró el informe del segundo semestre del seguimiento a la adopción de sugerencias emitidas por la Dirección Distrital de Calidad del Servicio de la Secretaría General respecto del cumplimiento de los criterios de calidad y oportunidad en la emisión de respuestas de PQRS y la operatividad del Sistema Distrital para la Gestión de Peticiones Ciudadanas - Bogotá te escucha.</t>
  </si>
  <si>
    <t>Se elaboraron los informes del primer y segundo semestre del seguimiento a la adopción de sugerencias emitidas por la Dirección Distrital de Calidad del Servicio de la Secretaría General respecto del cumplimiento de los criterios de calidad y oportunidad en la emisión de respuestas de PQRS y la operatividad del Sistema Distrital para la Gestión de Peticiones Ciudadanas - Bogotá te escucha.</t>
  </si>
  <si>
    <t>En el mes de diciembre, se elaboró el informe mensual de seguimiento de PQRS y atención a la ciudadanía correspondiente al mes de noviembre de 2023.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</si>
  <si>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Se elaboraron los informes mensuales de seguimiento de PQRS y atención a la ciudadanía correspondiente a los meses de diciembre 2022, enero, febrero, marzo, abril, mayo, junio, julio, agosto, septiembre, octubre y noviembre de 2023.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</si>
  <si>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Se realizó en el mes de diciembre el envío masivo de la encuesta de satisfacción de servicios y estrategias de la SDMujer, así como la respectiva medición e informe de resultados.
El informe de resultados de la encuesta se encuentra publicado en la página web de la SDMujer, en el menú "Atención y Servicios a la Ciudadanía", en la siguiente ruta:
https://www.sdmujer.gov.co/ley-de-transparencia-y-acceso-a-la-informacion-publica/planeacion/informe-trimestral-de-medicion-de-satisfaccion</t>
  </si>
  <si>
    <t>Se elaboraron en el mes de julio y diciembre el envío masivo de la encuesta de satisfacción de servicios y estrategias de la SDMujer, así como los respectivos informes de medición.
Los informes de resultados de la encuesta se encuentra publicado en la página web de la SDMujer, en el menú "Atención y Servicios a la Ciudadanía", en la siguiente ruta:
https://www.sdmujer.gov.co/ley-de-transparencia-y-acceso-a-la-informacion-publica/planeacion/informe-trimestral-de-medicion-de-satisfaccion</t>
  </si>
  <si>
    <t>Durante el cuarto trimestre de 2023, se adelantaron las siguientes acciones, de acuerdo con el Plan de Bienestar Social e Incentivos aprobado para la vigencia 2023:
1. ENTREGA DE AUTOCUIDADO en el trimestre, para 51 personas.
2. ENTREGA DE BOLETAS DOBLES DE CINE para 176 servidoras y servidores. 
3. VACACIONES RECREATIVAS NIÑAS Y NIÑOS DE 6 A 11 AÑOS para 40 niñas y niños.
4. VACACIONES RECREATIVAS PARA JÓVENES DE 12 A 17 AÑOS, para 15 jóvenes. 
5. ENTREGA BONO día recreativo para chiquitines para 20 niños de 2 a 5 años. 
6. DÍA DULCE para 70 personas. 
7. CONCURSO DE HALLOWEEN con la participación de toda la entidad. 
8. DÍA DE LA FAMILIA con asistencia de 250 personas.
9. PAUSAS MENTALES con asistencia de 62 personas.
10. BONOS NAVIDEÑOS para 66 niñas y niños de 0 a 12 años.
11. CIERRE DE GESTIÓN con asistencia de 300 personas.
12. ACTIVIDAD DIRECTIVAS en el marco del cierre de gestión con asistencia de 15 personas.
13. ACTIVIDAD CÓDIGO DE INTEGRIDAD con la participación de todas las personas vinculadas a la Entidad.</t>
  </si>
  <si>
    <t>Durante lo corrido de la vigencia 2023, se adelantaron las siguientes acciones, de acuerdo con el Plan de Bienestar Social e Incentivos aprobado para la vigencia 2023:
1. Elaboración y aprobación del plan de Bienestar Social e Incentivos para la vigencia 2023.
2. Conmemoración del día de autocuidado. 
3. Conmemoración del día de las y los auxiliares administrativos.
4. Se realizaron jornadas de mindfulness con las diferentes dependencias de la Entidad.
5. Participación en la actividad cultural de la película ALI.
6. Se enviaron mensajes de condolencias. 
7. Se realizaron ferias de servicios de la caja de compensación, escolar, salud, financiera, entre otros. 
8. Conmemoración del día por los derechos de las mujeres - 8M
9. Conmemoración de profesiones.
10. Se realizó socialización de las alianzas del DASCD.
11. Se han desarrollado 3 caminatas ecológicas, con asistencia de 80 personas, 102 personas y 107 personas respectivamente.
12. Se realizó la conmemoración del día internacional por la salud de las mujeres con la asistencia de 102 personas.
13. Se realizaron pausas mentales.
14. Se brindó apoyo emocional de primeros auxilios psicológicos a las servidoras que lo solicitaron.
15. Se realizó el torneo de bolos 2023, con la participación de 65 servidoras y servidores.
16. Se llevó a cabo la conmemoración del día nacional del servidor público y el 10° aniversario de la entidad. 
17. Se ejecutó el taller de manualidades con asistencia de 43 personas.
18. Se realizó la conmemoración de los días emblemáticos de mujeres jóvenes y mujeres indígenas. 
19. Se hizo el reconocimiento del día de las y los profesionales (ingenieras, antropólogas y nutricionistas).
20. Se desarrollo la conmemoración del día del conductor con el DASCD, donde participaron los 4 conductores de la Entidad.
21. Se ejecutó la actividad para prepensionadas con la asistencia de 11 personas.
22. Se llevó a cabo el torneo de minitejo con la participación de 50 funcionarias y funcionarios. 
23. Se realizó la actividad con animales de compañía (con perros fue presencial y asistieron 17 funcionarias y funcionarios, con gatos fue de manera virtual donde participaron 18 funcionarias y funcionarios). 
24. Se hizo la entrega de las boletas de teatro para 171 servidoras y servidores de la entidad.
25. Se hizo la entrega de bono de reconocimiento a 104 cuidadoras y cuidadores de la entidad.
26. ENTREGA DE BOLETAS DOBLES DE CINE para 176 servidoras y servidores.
27. VACACIONES RECREATIVAS NIÑAS Y NIÑOS DE 6 A 11 AÑOS para 40 niñas y niños.
28. VACACIONES RECREATIVAS PARA JÓVENES DE 12 A 17 AÑOS, para 15 jóvenes. 
29. ENTREGA BONO día recreativo para chiquitines para 20 niños de 2 a 5 años. 
30. DÍA DULCE para 70 personas. 
31. CONCURSO DE HALLOWEEN con la participación de toda la entidad. 
32. DÍA DE LA FAMILIA con asistencia de 250 personas.
33. BONOS NAVIDEÑOS para 66 niñas y niños de 0 a 12 años.
34. CIERRE DE GESTIÓN con asistencia de 300 personas.
35. ACTIVIDAD DIRECTIVAS en el marco del cierre de gestión con asistencia de 15 personas.
36. ACTIVIDAD CÓDIGO DE INTEGRIDAD con la participación de todas las personas vinculadas a la Entidad.</t>
  </si>
  <si>
    <t>Durante el cuarto trimestre de 2023, se adelantaron las siguientes acciones de acuerdo con el Plan Institucional de Capacitación aprobado para la vigencia 2023:
1. Contratación estatal - estructuración de estudios previos y su documentación, con asistencia de 46 personas.
2. Socialización de la política antisoborno, con asistencia de 18 personas. 
3. Capacitación sobre mesa de ayuda con asistencia de 143 personas. 
4. Capacitación y socialización de la PPLGTBI, con asistencia de 53 personas.
5. Inducción institucional con asistencia de 15 personas. 
6. Capacitación sobre a PPMYEG – Derecho al trabajo con dignidad, con asistencia de 68 personas. 
7. Capacitación sobre situaciones administrativas con asistencia de 29 personas. 
8. Capacitación sobre evaluación del desempeño, asistencia de 28 personas. 
9. Capacitación sobre los lineamientos de la ley 332, con asistencia de 23 personas. 
10. Capacitación sobre Orfeo y gestión documental, con asistencia de 28 personas. 
11. Capacitación sobre almacén e inventarios con asistencia de 71 personas. 
12. Atención al ciudadano ¿sabes cómo brindar una atención preferencial e incluyente ?, con asistencia de 50 personas. 
13. Capacitación sobre la PPMYEG – Derecho a la participación, con asistencia de 55 personas. 
14. Capacitación sobre el funcionamiento del observatorio de mujeres y equidad de género – OMEG, con asistencia de 40 personas. 
15. Capacitación sobre herramientas ofimáticas, asistencia de 26 personas. 
16. Capacitación sobre conflicto de interés, con asistencia de 36 personas. 
17. Capacitación sobre procedimientos contractuales con asistencia de 52 personas. 
18. Capacitación sobre aproximación a las reglas contractuales con asistencia de 31 personas. 
19. Capacitación sobre seguridad de la información con asistencia de 50 personas. 
20. Reinducción institucional con asistencia de 100 personas. 
21. Socialización del código de integridad.</t>
  </si>
  <si>
    <t>Durante lo corrido de la vigencia 2023, se adelantaron las siguientes acciones, de acuerdo con el Plan Institucional de Capacitación aprobado para la vigencia 2023:
1. Elaboración y aprobación del plan institucional de capacitación para la vigencia 2023.
2. Difusión del curso sobre gobernanza pública.
3. Capacitación sobre el uso de los nuevos teléfonos IP de la Entidad, asistencia de 16 personas.
4. Jornada de Inducción con la participación de 54 personas.
5. Capacitación en atención a mujeres con enfoque de género, asistencia de 40 personas.
6. Difusión del curso sobre políticas públicas.
7. Capacitación sobre fundamentos de big data, diseño y administración de bases de datos.
8. Capacitación sobre el uso del aplicativo LUCHA, con la asistencia de 69 personas.  
9. Capacitación sobre el uso del aplicativo MESA DE AYUDA, con la participación de 188 personas.
10. Capacitación sobre transversalización de la PPMYEG, con la asistencia de 124 personas. 
11. Capacitación sobre gestión contractual, con participación de 56 personas. 
12. Difusión del curso de Gobernanza Pública: Conceptualización desde los pilares de transparencia, participación y colaboración.
13. Capacitación sobre bases conceptuales y funcionamiento del SIDICU, con la asistencia de 122 personas.
14. Charla sobre lenguaje incluyente con la participación de 93 personas.
15. Capacitación sobre servicio a la ciudadanía con la asistencia de 76 personas.
16. Charla sobre prevención en acoso laboral con la participación de 76 personas.
17. Socialización del derecho a la paz con la asistencia de 73 personas.
18. Capacitación sobre el aplicativo KAWAK con la asistencia de 90 personas. 
19. Capacitación sobre el aplicativo SIMISIONAL 2.0 con la participación de 277 personas. 
20. Capacitación sobre ORFEO con la asistencia de 34 personas. 
21. Capacitación en competencias blandas con la participación de 310 personas.
22. Capacitación en lengua de señas con la asistencia de 16 personas.  
23. Capacitación sobre atención a mujeres en busca de personas desaparecidas con asistencia de 42 personas.
24. Capacitación sobre atención incluyente a la ciudadanía, con la participación de 31 personas.
25. Socialización del derecho a la cultura con la asistencia de 52 personas.
26. Capacitación sobre rutas de atención para las violencias contrala mujer con la participación de 82 personas.
27. Capacitación sobre contratación estatal con asistencia de 35 personas.
28.  Curso de actualización jurídica en derecho de familia y derecho penal, con asistencia de 24 servidoras y servidores públicos. 
29. Curso de resolución de conflictos con asistencia de 22 servidoras y servidores públicos. 
30.  Curso de primeros auxilios psicológicos con enfoque de género, con asistencia de 25 servidoras y servidores públicos. 
31.  Curso de actualización normativa en violencias de género - feminicidios. 
32.  Capacitación sobre situaciones administrativas con la asistencia de 30 personas. 
33. Capacitación en regulación contable con asistencia de 1 servidora pública.
34. Capacitación en actualización tributaria con asistencia de 1 servidora pública. 
35. Capacitación en política de seguridad y protección de datos personales, con asistencia de 207 personas. 
36. Capacitación sobre los derechos de la PPMYEG, con la asistencia de 235 personas. 
37. Capacitación sobre atención y servicio a la ciudadanía con la participación de 22 personas. 
38. Capacitación en temas contractuales con la asistencia de 96 personas.
39. Contratación estatal - estructuración de estudios previos y su documentación, con asistencia de 46 personas.
40. Socialización de la política antisoborno, con asistencia de 18 personas. 
41. Capacitación sobre mesa de ayuda con asistencia de 143 personas. 
42. Capacitación y socialización de la PPLGTBI, con asistencia de 53 personas.
43. Inducción institucional con asistencia de 15 personas. 
44. Capacitación sobre a PPMYEG – Derecho al trabajo con dignidad, con asistencia de 68 personas. 
45. Capacitación sobre situaciones administrativas con asistencia de 29 personas. 
46. Capacitación sobre evaluación del desempeño, asistencia de 28 personas. 
47. Capacitación sobre los lineamientos de la ley 332, con asistencia de 23 personas. 
48. Capacitación sobre Orfeo y gestión documental, con asistencia de 28 personas. 
49. Capacitación sobre almacén e inventarios con asistencia de 71 personas. 
50. Atención al ciudadano ¿sabes cómo brindar una atención preferencial e incluyente ?, con asistencia de 50 personas. 
51. Capacitación sobre la PPMYEG – Derecho a la participación, con asistencia de 55 personas. 
52. Capacitación sobre el funcionamiento del observatorio de mujeres y equidad de género – OMEG, con asistencia de 40 personas. 
53. Capacitación sobre herramientas ofimáticas, asistencia de 26 personas. 
54. Capacitación sobre conflicto de interés, con asistencia de 36 personas. 
55. Capacitación sobre procedimientos contractuales con asistencia de 52 personas. 
56. Capacitación sobre aproximación a las reglas contractuales con asistencia de 31 personas. 
57. Capacitación sobre seguridad de la información con asistencia de 50 personas. 
58. Reinducción institucional con asistencia de 100 personas. 
59. Socialización del código de integridad.</t>
  </si>
  <si>
    <t>Durante el cuarto trimestre de 2023, se adelantaron las siguientes acciones de acuerdo con el Plan Anual de Seguridad y Salud en el Trabajo aprobado para la vigencia 2023:
* Realizar autoevaluaciones al SG-SST en la vigencia.
* Realizar las afiliaciones de las personas vinculadas a la entidad.
* Realizar las sesiones mensuales del COPASST.
* Realizar las sesiones del CCL.
* Realizar el seguimiento al cumplimiento de las medidas de intevención.
* Realizar las inspecciones virtuales y presenciales (en caso de requerirse).
* Realizar las evaluaciones médicas ocupacionales a las que hubo  lugar.
* Realizar seguimiento a las condiciones de salud y recomendaciones médicas.
* Generar el reporte anual de ausentismos.
* Realizar el registro de los indicadores del SG-SST. 
* Realizar la revisión anual del SG-SST por parte de la Alta Dirección.</t>
  </si>
  <si>
    <t>En lo corrido de la vigencia 2023, se adelantaron las siguientes gestiones enmarcadas en el Plan Anual de Seguridad y Salud en el Trabajo aprobado para la vigencia 2023:
1. Se realizó la autoevaluación al SG-SST.
2. Se formuló y aprobó el Plan Anual de Seguridad y Salud en el trabajo para la vigencia.
3. Se ejecutaron las afiliaciones ARL de las personas que se vinculan a la entidad.
4. Se adelantaron las sesiones del COPASST con periodicidad mensual.
5. Se realizaron las elecciones del COPASST y Comité de Convivencia Laboral.
6. Se ejecutó la capacitación funciones y generalidades dirigida a representantes COPASST.
7. Se llevó a cabo la socialización de peligros en centros de trabajo.
8. Se realizaron los reportes e investigaciones de accidentes de trabajo. 
9. Se hizo el seguimiento al cumplimiento de medidas de intervención de los accidentes de trabajo.
10. Se adelantaron las inspecciones de puesto de trabajo requeridas.
11. Se programó la medición de ruido e iluminación en la CIOM Usme.
12. Se desarrollaron actividades de prevención de riesgo psicosocial. 
13. Se socializaron y se hizo seguimiento a las recomendaciones de los EMO en el marco del programa de estilos de vida saludable.
14. Se llevaron a cabo las evaluaciones médicas ocupacionales de ingreso, periódicas, egreso y post incapacidad.
15. Se registraron los resultados de los indicadores del SG-SST, teniendo en cuenta la periodicidad de estos.
16. Se actualizaron los documentos del SG-SST.
17. Se realizó seguimiento a la implementación de controles de las matrices de peligros.
18. Se realizó la entrega de suministros para prevención de riesgo biológico, capacitación y seguimiento a casos Covid-19.
19. Se realizaron acompañamientos grupales para promover estilos de vida saludable.
20. Se socializó el programa de prevención de riesgo público y se realizó capacitación de prevención.
21. Se realizó convocatoria para conformar la brigada de emergencias.
22. Se actualizó el Plan Estratégico de Seguridad Vial.
23. Se realizó seguimiento a las sesiones del CCL.
24. Se socializó la información de las matrices de peligros y planes de emergencia.
25. Se realizó seguimiento a las medidas de intervención de los AT.
26. Se realizó capacitación de brigada con énfasis en participación en simulacros.
27.         Se actualizó el Plan Estratégico de Seguridad Vial.
28. Se realizó convocatoria para conformar la brigada de emergencias.
29. Se socializó la información de las matrices de peligros y planes de emergencia.
30. Se desarrollo capacitación de brigada con énfasis en participación en simulacros.
31. Realizar el seguimiento al cumplimiento de las medidas de intevención.
32. Realizar las inspecciones virtuales y presenciales (en caso de requerirse).
33. Realizar las evaluaciones médicas ocupacionales a las que hubo  lugar.
34. Realizar seguimiento a las condiciones de salud y recomendaciones médicas.
35. Generar el reporte anual de ausentismos.
36. Realizar el registro de los indicadores del SG-SST. 
37. Realizar la revisión anual del SG-SST por parte de la Alta Dirección.</t>
  </si>
  <si>
    <t>Durante el Tercer Cuatrimestre de 2023 se adelantaron las siguientes gestiones enmarcadas en el Plan de Gestión de Integridad contenido en el Componente de Iniciativas Adicionales del Plan de Anticorrupción y Atención a la Ciudadanía – PAAC:
1. Se realizó la actualización del código de integridad y se aprobó en comité de MIPG del 27 de diciembre de 2023, así mismo se solicitó la publicación del documento actualizado en la página web de la Entidad.
2. Se han realizado publicaciones a través de la Boletina, relacionadas con la difusión y socialización del código de integridad de la Entidad.
3. Desde la Dirección de Talento Humano, se remitieron correos invitando a participar en los cursos, diplomados y charlas relacionadas con integridad.
4. Se realizó reunión con el equipo de gestoras y gestores de integridad de la Entidad el 21 de diciembre de 2023.
5. Desde la Dirección de Talento Humano se expidieron los lineamientos para el proceso de actualización de las declaraciones de bienes y rentas y conflictos de interés, así como las alertas y el seguimiento correspondiente.
6. Se integraron a las jornadas de inducción y reinducción la socialización y divulgación del código de integridad de la Entidad durante la vigencia.
7. Se realizaron las actividades de reflexión y apropiación sobre el código de integridad, denominadas "crucigrama de valores" y "dado de la integridad" con las personas vinculadas a la Entidad y sus sedes.
8. Se realizó el informe consolidado de las acciones de integridad ejecutadas durante la vigencia 2023.
9. Se llevó a cabo la evaluación de las acciones de integridad realizadas en la vigencia 2023 y se compararon sus resultados con la evaluación realizada para las acciones de integridad desarrolladas en la vigencia 2022.</t>
  </si>
  <si>
    <t>A la fecha se han  adelantado las siguientes gestiones enmarcadas en el Plan de Gestión de Integridad contenido en el Componente de Iniciativas Adicionales del Plan de Anticorrupción y Atención a la Ciudadanía – PAAC de la vigencia 2023:
1. Se realizó la encuesta de identificación de preferencias y necesidades de bienestar e incentivos 2023 - Integridad, diligenciada por 115 personas.
2. Se realizó la evaluación relacionada con las acciones de integridad ejecutadas durante la vigencia 2022, diligenciada por 105 personas.
3. Se realizó la socialización de los resultados de la encuesta sobre las propuestas para actividades 2023 y los resultados de la evaluación de las acciones de integridad ejecutadas en la vigencia 2022 con el equipo de gestoras y gestores de integridad en la reunión realizada el viernes 28 de abril de 2023.
4. Se han realizado publicaciones a través de la Boletina, relacionadas con la difusión y socialización del código de integridad de la Entidad.
5. Desde Soy10 Aprende, de la Alcaldía Mayor de Bogotá, se remitió la invitación a realizar el curso de "Gestores de Integridad: Líderes de la Cultura de Integridad en el Distrito", el cual fue remitido a las gestoras y gestores de integridad de la Entidad. Así mismo, desde la Dirección de Talento Humano, se han remitido correos "¡Te invitamos a hacer el Curso de Integridad!" a todas las servidoras, servidores y contratistas de la Entidad. Por otra parte, se enviaron invitaciones a participar en diplomados y charlas relacionadas con el tema de integridad.
6. Se realizaron reuniones con el equipo de gestoras y gestores de integridad de la Entidad el 28 de abril, el 31 de agosto y el 21 de diciembre de 2023.
7. Desde la Dirección de Talento Humano se expidieron oficios a las servidoras y servidores públicos que se retiraron de la Entidad, donde se indican los lineamientos para el proceso de desvinculación y se solicita la actualización de las declaraciones de bienes y rentas y conflictos de interés, así como las alertas y el seguimiento correspondiente.
8. Se conformó el nuevo grupo de gestoras y gestores de integridad de la Entidad para el período 2023-2025.
9. Se realizó la actualización del código de integridad y se aprobó en comité de MIPG del 27 de diciembre de 2023, así mismo se solicitó la publicación del documento actualizado en la página web de la Entidad.
10. Desde la Dirección de Talento Humano se expidieron los lineamientos para el proceso de actualización de las declaraciones de bienes y rentas y conflictos de interés, así como las alertas y el seguimiento correspondiente.
11. Se integraron a las jornadas de inducción y reinducción la socialización y divulgación del código de integridad de la Entidad durante la vigencia.
12. Se realizaron las actividades de reflexión y apropiación sobre el código de integridad, denominadas "crucigrama de valores" y "dado de la integridad" con las personas vinculadas a la Entidad y sus sedes.
13. Se realizó el informe consolidado de las acciones de integridad ejecutadas durante la vigencia 2023.
14. Se llevó a cabo la evaluación de las acciones de integridad realizadas en la vigencia 2023 y se compararon sus resultados con la evaluación realizada para las acciones de integridad desarrolladas en la vigencia 2022.</t>
  </si>
  <si>
    <t>Durante el mes de diciembre se llevó a cabo el siguiente avance del PAA 2023 – Versión 2: AUDITORÍAS: De acuerdo con la meta programada en PAA 2023, se culminaron 06 auditorías a procesos. REGLAMENTARIOS: Se emitió y publicó en página web el informe de la Actividad de Auditoría Interna para 2do Semestre 2023. SEGUIMIENTO: Se emitieron y publicaron página web los Informes de Seguimiento al Cumplimiento de condiciones de accesibilidad al medio físico de puntos de Servicio al Ciudadano, así como, la Evaluación a la Política de Gestión del Riesgo 2023 y los dos informes de Seguimiento a Planes de Mejoramiento Internos y Planes de Mejoramiento Externos con corte a nov 2023. ASESORIAS y ACOMPAÑAMIENTOS: Se llevaron a cabo la participación enlaces MIPG, comités correspondientes, se realizaron las asesorías solicitadas por los procesos y mesas técnicas institucionales. 
En cuanto a la ejecución acumulada de la presente meta, con corte a 31 de diciembre de 2023 se dio cumplimiento a la programación del Plan Anual de Auditoría 2023 y que de acuerdo con las metas planteadas para el POA de la vigencia de responsabilidad de la Oficina de Control Interno, se emitieron y publicaron un total de seis (6) informes de auditoría, quince (15) informes de seguimiento y veintiocho (28) informes reglamentarios para un total cuarenta y nueve (49) informes programados en el PAA 2023 versión 2, lo que corresponde al 100% de ejecución.</t>
  </si>
  <si>
    <t xml:space="preserve">Para el trimestre comprendido entre octubre a diciembre de 2023:  Se llevó a cabo el cierre de seis (6) auditorias internas realizadas a los Procesos de Desarrollo de Capacidades para la Vida de las Mujeres, Promoción de la Participación y Representación de las Mujeres, Gestión de Políticas Públicas, Planeación y Gestión, GestiónTecnológica y Gestión Contractual; mediante la publicación de sus correspondientes informes finales en pág web institucional. </t>
  </si>
  <si>
    <t>En el periodo de octubre a diciembre de 2023: Se emitieron díez (10) informes de Seguimiento, los cuales se encuentran publicados en la página web institucional.</t>
  </si>
  <si>
    <t>En lo corrido del 3er trimestre de octubre a diciembre de 2023, se  llevó a cabo la emisión y publicación en página webinstitucional de tres (3) informes reglamentarios dando cumplimiento al 14% de la programación para el periodo de ejecución.</t>
  </si>
  <si>
    <t>Se llevaron a cabo las actividades concernientes a trimestre de octubre a diciembre de 2023 para las asesorías en temas varios y planes de mejoramiento, acompañamientos (enlaces MIPG, participación comités CIGD, sostenibilidad, contratación, gestión de inventarios y Mesas Técnicas varias) y Secretaría Técnica CICCI.</t>
  </si>
  <si>
    <t>Durante el perido comprendido entre enero a diciembre de 2023, se ejecutaron las actividades de asesoria y acompañamiento requeridas por los procesos/áreas, en virtud del desarrollo del rol de asesoria y acompañamiento y dando cumplimiento al 100% de las actividades de la vigencia.</t>
  </si>
  <si>
    <t>En cuanto a  la ejecución de la presente meta se emitieron y publicaron dentro de la página web institucional, los informes finales de veintiocho (28) reportes reglamentarios, los cuales fueron programados en el Plan Anual de Auditoría 2023 versión 2 (Aprobada CICCI 20.06.23), para un cumplimiento del 100%.</t>
  </si>
  <si>
    <t>Para la presente meta se evidencia su cumplimiento al 100% de lo programado, para lo cual se emitieron y publlicaron los informes finales de seguimiento de los quince (15) programados en el Plan Anual de Auditoría 2023 versión 2 (aprobado CICCI 20.06.23).</t>
  </si>
  <si>
    <r>
      <t xml:space="preserve">Se dio cumplimiento con la programación planteada para la meta, que en relación con las evaluciaones independientes realizadas mediante auditorías internas a procesos, se emitieron y publicaron los informes finales de </t>
    </r>
    <r>
      <rPr>
        <sz val="11"/>
        <color indexed="8"/>
        <rFont val="Times New Roman"/>
        <family val="1"/>
      </rPr>
      <t xml:space="preserve">seis (6) evaluaciones independientes programadas en el Plan Anual de Auditoría 2023 versión 2 con aprobación  CICCI del 20.06.2023, para un cumplimiento del 100% para la presente meta.   </t>
    </r>
  </si>
  <si>
    <t xml:space="preserve">A diciembre de 2023  se expidieron 37 decisiones de fondo,  consolidandose un acumulado  final de 81 decisiones de fondo para  esta vigencia 2023, superando la meta, debido a la buena gestión de la OCDI y al  cumplimiento a los términos procesales contemplados en la Ley 1952 de 2019 reformada por la Ley 2094 de 2021, la cual  contempla el término de seis (6) meses para adelantar las investigaciónes disciplinarias , por tanto se debieron priorizar algunas decisiones de fondo. </t>
  </si>
  <si>
    <t>En relación con este indicador la Oficina de Control Disciplinario Interno cuenta con un avance de ejecución del 162%, superandose la meta semestral programada de diciembre de 2023, así como a lo programado durante la vigencia 2023.</t>
  </si>
  <si>
    <t xml:space="preserve">Para el mes de DICIEMBRE 2023  la Oficina de Control Disciplinario Interno  No  reporta avance teniendo en cuenta que para este mes no se tenía programación sobre esta actividad. </t>
  </si>
  <si>
    <r>
      <rPr>
        <b/>
        <sz val="11"/>
        <rFont val="Times New Roman"/>
        <family val="1"/>
      </rPr>
      <t>Política de Seguridad Digital</t>
    </r>
    <r>
      <rPr>
        <sz val="11"/>
        <rFont val="Times New Roman"/>
        <family val="1"/>
      </rPr>
      <t xml:space="preserve">
- Entrega del instrumento de autodiagnóstico del MSPI.
- Entrega del instrumento de autodiagnóstico de datos personales.
- Actualización del Registro de Activos de Información para 2023.
- Actualización del Índice de Información Clasificada y Reservada 2023.
- Actualización de la Política de Seguridad de la Información.
- Instalación de piloto de la herramienta Wazuh (sistema correlacionador de logs).
- Actualización de los planes de seguridad de la información para el (PETI 2024-2028).
- Actualización y medición de indicadores de seguridad de la información.
- Reporte y seguimiento del estado de vulnerabilidades técnicas de la Secretaría Distrital de la Mujer.
- Cargue y clasificación por nivel de criticidad del listado de activos tecnológicos en el sistema Lucha.
- Cargue de los riesgos de seguridad de la información en el sistema Lucha.
- Definición del RPO (Punto Objetivo de Recuperación) y RTO (Tiempo Objetivo de Recuperación) para las aplicaciones utilizadas en la Secretaría Distrital de la Mujer.
</t>
    </r>
    <r>
      <rPr>
        <b/>
        <sz val="11"/>
        <rFont val="Times New Roman"/>
        <family val="1"/>
      </rPr>
      <t xml:space="preserve">
Politica de Gobierno Digital:
</t>
    </r>
    <r>
      <rPr>
        <sz val="11"/>
        <rFont val="Times New Roman"/>
        <family val="1"/>
      </rPr>
      <t>PETI
- Se actualizó el OPEX y CAPEX  Anexo 3. Opex_Capex.xlsx del documento PETI vigencia 2024 al 2028
- Se realizó la Hoja de Ruta de Proyectos Anexo 21. Hoja de Ruta.xlsx del documento PETI vigencia 2024 al 2028
ARQUITECTURA EMPRESARIAL
- Se culminó el ejercicio de arquitectura empresarial y se aprobó su hoja de ruta</t>
    </r>
  </si>
  <si>
    <r>
      <rPr>
        <b/>
        <sz val="11"/>
        <rFont val="Times New Roman"/>
        <family val="1"/>
      </rPr>
      <t>Política de Gobierno Digital</t>
    </r>
    <r>
      <rPr>
        <sz val="11"/>
        <rFont val="Times New Roman"/>
        <family val="1"/>
      </rPr>
      <t xml:space="preserve">
- Se actualizó el OPEX y CAPEX  del documento PETI vigencia 2024 al 2028.
- Se realizó la Hoja de Ruta de Proyectos  PETI vigencia 2024 al 2028
- Se culminó el primer ejercicio de arquitectura empresarial y se cuenta con una Hoja de Ruta de los proyectos a implementar.
- La entidad cuenta con una Política de Seguridad de la Información publicada en la página web.
- Se está gestionando la implementación de la Política de Gobierno Digital, en el marco del Decreto 767 del 16 de mayo del 2022.
- La entidad ha utilizado acuerdos marco de precios para la adquisición de bienes y servicios de TI a través de Colombia Compra Eficiente.
- Se definió un esquema de mantenimiento y soporte a los sistemas de información e infraestructura tecnológica.
- Se avanza en el lineamiento del uso y apropiación, interoperabilidad. 
</t>
    </r>
    <r>
      <rPr>
        <b/>
        <sz val="11"/>
        <rFont val="Times New Roman"/>
        <family val="1"/>
      </rPr>
      <t xml:space="preserve">
Política de Seguridad Digital
</t>
    </r>
    <r>
      <rPr>
        <sz val="11"/>
        <rFont val="Times New Roman"/>
        <family val="1"/>
      </rPr>
      <t>- Se documentó y actualizó Plan de Seguridad de la Información para el año 2023.
- Se realizó la actualización de evaluación del autodiagnóstico del Modelo de Seguridad y Privacidad de la Información - MSPI.
- Actualización de la Política de Tratamiento de Datos Personales y Privacidad de la Entidad.
- Implementación del procedimiento de Gestión de Vulnerabilidades Tecnológicas en la Entidad.
- Se tiene aprobado y publicado el Registro de Activos de Información y el Índice de Información Clasificada y Reservada
- Se actualizó Manual de Políticas Específicas de Seguridad de la Información.
- Entrega del instrumento de autodiagnóstico del MSPI.
- Entrega del instrumento de autodiagnóstico de datos personales.
- Actualización del Registro de Activos de Información para 2023.
- Actualización de la Política de Seguridad de la Información.
- Reporte y seguimiento del estado de vulnerabilidades técnicas de la Secretaría Distrital de la Mujer.
- Definición del RPO y RTO  para las aplicaciones utilizadas en la Secretaría Distrital de la Mujer.</t>
    </r>
  </si>
  <si>
    <r>
      <rPr>
        <b/>
        <sz val="11"/>
        <rFont val="Times New Roman"/>
        <family val="1"/>
      </rPr>
      <t xml:space="preserve">Política de Gobierno Digital
Retrasos y factores limitantes para el cumplimiento:
</t>
    </r>
    <r>
      <rPr>
        <sz val="11"/>
        <rFont val="Times New Roman"/>
        <family val="1"/>
      </rPr>
      <t>La oficina de Gestión del Conocimiento tardó en el envío de la información con respecto a la Gestión de Datos de Información.</t>
    </r>
    <r>
      <rPr>
        <b/>
        <sz val="11"/>
        <rFont val="Times New Roman"/>
        <family val="1"/>
      </rPr>
      <t xml:space="preserve">
Soluciones propuestas para resolver los retrasos y factores limitantes para el cumplimiento:
</t>
    </r>
    <r>
      <rPr>
        <sz val="11"/>
        <rFont val="Times New Roman"/>
        <family val="1"/>
      </rPr>
      <t xml:space="preserve">- Que la Dirección de Gestión del Conocimiento, responda el correo enviado de cada punto según la plantilla guía enviada para su respuesta, si se tiene información que lo envíen de manera formal y si no se tiene enviar un  correo o un oficio formal explicando el motivo del por qué no se tiene dicha información y así proceder.
</t>
    </r>
    <r>
      <rPr>
        <b/>
        <sz val="11"/>
        <rFont val="Times New Roman"/>
        <family val="1"/>
      </rPr>
      <t xml:space="preserve">
Política de Seguridad Digital
Retrasos y factores limitantes para el cumplimiento:</t>
    </r>
    <r>
      <rPr>
        <sz val="11"/>
        <rFont val="Times New Roman"/>
        <family val="1"/>
      </rPr>
      <t xml:space="preserve">
- Vulnerabilidades críticas en el Sistema Simisional1 que requieren que se finalice la migración del sistema por parte de la Dirección de Gestión del Conocimiento a Simisional2.
- Vulnerabilidades en acceso en el sistema Orfeo que requieren que se realicen ajustes de fondo al módulo de seguridad del sistema.
</t>
    </r>
    <r>
      <rPr>
        <b/>
        <sz val="11"/>
        <rFont val="Times New Roman"/>
        <family val="1"/>
      </rPr>
      <t xml:space="preserve">Soluciones propuestas para resolver los retrasos y factores limitantes para el cumplimiento:
</t>
    </r>
    <r>
      <rPr>
        <sz val="11"/>
        <rFont val="Times New Roman"/>
        <family val="1"/>
      </rPr>
      <t>- Se solicitará reunión entre las lideresas de la OAP y de la Dirección de Gestión del Conocimiento para definir fecha de migración definitiva del sistema Simisional1 al Simisional2.
- Se realizan reuniones semanales de seguimiento con personal especialista de la Dirección Administrativa y Financiera para que se gestionen las vulnerabilidades identificadas.</t>
    </r>
  </si>
  <si>
    <r>
      <rPr>
        <b/>
        <sz val="11"/>
        <rFont val="Times New Roman"/>
        <family val="1"/>
      </rPr>
      <t>Política de Gobierno Digital</t>
    </r>
    <r>
      <rPr>
        <sz val="11"/>
        <rFont val="Times New Roman"/>
        <family val="1"/>
      </rPr>
      <t xml:space="preserve">
Uso y aprovechamiento de las Tecnologías de la Información y las Comunicaciones -TIC, para consolidar un Estado y ciudadanos competitivos, proactivos, e innovadores, que generen valor público en un entorno de confianza digital.
</t>
    </r>
    <r>
      <rPr>
        <b/>
        <sz val="11"/>
        <rFont val="Times New Roman"/>
        <family val="1"/>
      </rPr>
      <t>Política de Seguridad Digital</t>
    </r>
    <r>
      <rPr>
        <sz val="11"/>
        <rFont val="Times New Roman"/>
        <family val="1"/>
      </rPr>
      <t xml:space="preserve">
- Según lo informado la Dirección de Gestión del Conocimiento, la migración del sistema Simisional1 a Simisional2, finalizará el 28 de febrero de 2024.
- La Dirección Administrativa y Financiera a cargo de la Administración del Sistema Orfeo entregará plan de migración del sistema en la última semana de diciembre de 2023.</t>
    </r>
  </si>
  <si>
    <r>
      <rPr>
        <b/>
        <sz val="11"/>
        <rFont val="Times New Roman"/>
        <family val="1"/>
      </rPr>
      <t xml:space="preserve">Politica de Gobierno Digital:
</t>
    </r>
    <r>
      <rPr>
        <sz val="11"/>
        <rFont val="Times New Roman"/>
        <family val="1"/>
      </rPr>
      <t xml:space="preserve">- Se actualizó el OPEX y CAPEX  del documento PETI vigencia 2024 al 2028.
- Se realizó la Hoja de Ruta de Proyectos  PETI vigencia 2024 al 2028
- Se culminó el primer ejercicio de arquitectura empresarial y se cuenta con una Hoja de Ruta de los proyectos a implementar.
- La entidad cuenta con una Política de Seguridad de la Información publicada en la página web.
- Se está gestionando la implementación de la Política de Gobierno Digital, en el marco del Decreto 767 del 16 de mayo del 2022.
- La entidad ha utilizado acuerdos marco de precios para la adquisición de bienes y servicios de TI a través de Colombia Compra Eficiente.
- Se definió un esquema de mantenimiento y soporte a los sistemas de información e infraestructura tecnológica.
- Se avanza en el lineamiento del uso y apropiación, interoperabilidad. 
</t>
    </r>
    <r>
      <rPr>
        <b/>
        <sz val="11"/>
        <rFont val="Times New Roman"/>
        <family val="1"/>
      </rPr>
      <t>Retrasos y factores limitantes para el cumplimiento:</t>
    </r>
    <r>
      <rPr>
        <sz val="11"/>
        <rFont val="Times New Roman"/>
        <family val="1"/>
      </rPr>
      <t xml:space="preserve">
- La oficina de Gestión del Conocimiento tardó en el envío de la información con respecto a la Gestión de Datos de Información.
</t>
    </r>
    <r>
      <rPr>
        <b/>
        <sz val="11"/>
        <rFont val="Times New Roman"/>
        <family val="1"/>
      </rPr>
      <t>Soluciones propuestas para resolver los retrasos y factores limitantes para el cumplimiento:</t>
    </r>
    <r>
      <rPr>
        <sz val="11"/>
        <rFont val="Times New Roman"/>
        <family val="1"/>
      </rPr>
      <t xml:space="preserve">
- Que la Dirección de Gestión del Conocimiento, responda el correo enviado de cada punto según la plantilla guía enviada para su respuesta, si se tiene información que lo envíen de manera formal y si no se tiene enviar un  correo o un oficio formal explicando el motivo del por qué no se tiene dicha información y así proceder.</t>
    </r>
  </si>
  <si>
    <r>
      <rPr>
        <b/>
        <sz val="11"/>
        <rFont val="Times New Roman"/>
        <family val="1"/>
      </rPr>
      <t>Política de Seguridad Digital</t>
    </r>
    <r>
      <rPr>
        <sz val="11"/>
        <rFont val="Times New Roman"/>
        <family val="1"/>
      </rPr>
      <t xml:space="preserve">
- Se documentó y actualizó Plan de Seguridad de la Información para el año 2023.
- Se realizó la actualización de evaluación del autodiagnóstico del Modelo de Seguridad y Privacidad de la Información - MSPI.
- Actualización de la Política de Tratamiento de Datos Personales y Privacidad de la Entidad.
- Implementación del procedimiento de Gestión de Vulnerabilidades Tecnológicas en la Entidad.
- Se tiene aprobado y publicado el Registro de Activos de Información y el Índice de Información Clasificada y Reservada
- Se actualizó Manual de Políticas Específicas de Seguridad de la Información.
- Entrega del instrumento de autodiagnóstico del MSPI.
- Entrega del instrumento de autodiagnóstico de datos personales.
- Actualización del Registro de Activos de Información para 2023.
- Actualización de la Política de Seguridad de la Información.
- Reporte y seguimiento del estado de vulnerabilidades técnicas de la Secretaría Distrital de la Mujer.
- Definición del RPO y RTO  para las aplicaciones utilizadas en la Secretaría Distrital de la Mujer.
</t>
    </r>
    <r>
      <rPr>
        <b/>
        <sz val="11"/>
        <rFont val="Times New Roman"/>
        <family val="1"/>
      </rPr>
      <t>Retrasos y factores limitantes para el cumplimiento:</t>
    </r>
    <r>
      <rPr>
        <sz val="11"/>
        <rFont val="Times New Roman"/>
        <family val="1"/>
      </rPr>
      <t xml:space="preserve">
- Vulnerabilidades críticas en el Sistema Simisional1 que requieren que se finalice la migración del sistema por parte de la Dirección de Gestión del Conocimiento a Simisional2.
- Vulnerabilidades en acceso en el sistema Orfeo que requieren que se realicen ajustes de fondo al módulo de seguridad del sistema.
</t>
    </r>
    <r>
      <rPr>
        <b/>
        <sz val="11"/>
        <rFont val="Times New Roman"/>
        <family val="1"/>
      </rPr>
      <t xml:space="preserve">Soluciones propuestas para resolver los retrasos y factores limitantes para el cumplimiento:
</t>
    </r>
    <r>
      <rPr>
        <sz val="11"/>
        <rFont val="Times New Roman"/>
        <family val="1"/>
      </rPr>
      <t>- Se solicitará reunión entre las lideresas de la OAP y de la Dirección de Gestión del Conocimiento para definir fecha de migración definitiva del sistema Simisional1 al Simisional2.
- Se realizan reuniones semanales de seguimiento con personal especialista de la Dirección Administrativa y Financiera para que se gestionen las vulnerabilidades identificadas.</t>
    </r>
  </si>
  <si>
    <r>
      <rPr>
        <b/>
        <sz val="11"/>
        <rFont val="Times New Roman"/>
        <family val="1"/>
      </rPr>
      <t xml:space="preserve">Infraestructura
</t>
    </r>
    <r>
      <rPr>
        <sz val="11"/>
        <rFont val="Times New Roman"/>
        <family val="1"/>
      </rPr>
      <t xml:space="preserve">- Se realiza primer mantenimiento de UPS del contrato 1008 de 2023.
- Se realizó mantenimientos del almacenamiento SAN y Planta Telefónica.
- Mantenimiento equipos de comunicaciones ETB
- Mantenimiento equipos de seguridad perimetral
- Mantenimiento equipos de comunicaciones Switches nivel central
- Mantenimiento servidores centro de cómputo
- Mantenimiento UPS Nivel Central
- Mantenimiento servidor backup
</t>
    </r>
    <r>
      <rPr>
        <b/>
        <sz val="11"/>
        <rFont val="Times New Roman"/>
        <family val="1"/>
      </rPr>
      <t>Contractual</t>
    </r>
    <r>
      <rPr>
        <sz val="11"/>
        <rFont val="Times New Roman"/>
        <family val="1"/>
      </rPr>
      <t xml:space="preserve">
- Se suscribió contrato 951 de 2023 con la empresa de telecomunicaciones ETB
- Se suscribió el contrato 952 Kawak
- Se suscribió contrato  Microsoft 932 de 2023
- Se suscribió adquisición de certificados SSL contrato 975 de 2023
- Se dio inicio al contrato de Oracle orden de compra 113288 cto 987 de 2023
- Se dio inicio al contrato licencias Adobe cto 995 de 2023 
- Se dio inicio al contrato de smartnet 1005 de 2023
- Se dio inicio al contrato de UPS 1008 de 2023 
- Se dio inicio al contrato de proyección de video 1007 de 2023
- Se sacó la solicitud de información a proveedores SP-033-2023 de consumibles
- Se dieron respuesta a las observaciones y evaluación del proceso SDMUJER-MC-017-2023 Mantenimiento de aire.
- Se dieron respuestas a las observaciones y evaluación del proceso SDMUJER-SASI-001-2023 DLP
- Se realiza estudio de mercado, estudios previo y matriz de riesgo del proceso SP-031-2023 Firmas electrónicas.
</t>
    </r>
    <r>
      <rPr>
        <b/>
        <sz val="11"/>
        <rFont val="Times New Roman"/>
        <family val="1"/>
      </rPr>
      <t xml:space="preserve">
Productos con Microsoft
Suscripciones totales: 5331
Suscripciones en uso:  5290
Porcentaje de utilización: 99.9%
Se envío documento a los proyectos para que definan la cantidad de suscripciones que requieren para 2024.Porcentaje de utilización: 99.9%
</t>
    </r>
    <r>
      <rPr>
        <sz val="11"/>
        <rFont val="Times New Roman"/>
        <family val="1"/>
      </rPr>
      <t xml:space="preserve">
</t>
    </r>
    <r>
      <rPr>
        <b/>
        <sz val="11"/>
        <rFont val="Times New Roman"/>
        <family val="1"/>
      </rPr>
      <t>Mesa de Ayuda (mes) 
Casos recibidos: 663
Casos atendidos: 579
Casos pendientes de solución por complejidad: 84
Mesa de Ayuda (año corrido)
Casos recibidos: 7931
Casos atendidos: 7309</t>
    </r>
  </si>
  <si>
    <r>
      <rPr>
        <b/>
        <sz val="11"/>
        <rFont val="Times New Roman"/>
        <family val="1"/>
      </rPr>
      <t>Soporte y actualización de servicios</t>
    </r>
    <r>
      <rPr>
        <sz val="11"/>
        <rFont val="Times New Roman"/>
        <family val="1"/>
      </rPr>
      <t xml:space="preserve">
Requerimientos de soporte ICOPS atendidos: 1090
Requerimientos relacionados con soporte a la página: 3129
- Alistamiento, configuración y actualización de los servidores que soportan los aplicativos de la entidad y portales institucionales.
- Se realizaron 34 publicaciones en la Intranet
- Configuración y despliegue del servidor preproducción de Simisional 2
- Actualización de usuarios general para FUID de acuerdo con requerimiento.
- Actualización de actividades económicas e indicadores para ICOPS
- Se atienden 120 casos de mesa de ayuda para ICOPs
- Capacitaciones sobre actualización y modificaciones de contratos en ICOPs.
- Se realiza actualización del chat bot de manzanas del cuidado con las 4 manzanas nuevas.
- Se instalan y actualizan los temas y plugins de WordPress para el portal “Da el primer paso”.
- Se realizan mesas de trabajo de levantamiento de requerimientos para el módulo de seguimiento a PAABS de contratos en ICOPs.
- Actualización de encuesta “Evaluación del servicio socio jurídico de la Secretaría Distrital de la Mujer”, percibido por las personas que han recibido atención.
- Se realiza ajuste al formulario para el registro de información de la aplicación del Decreto 332 de 2020 – Promover participación de contratación de mujeres.
- Se realiza despliegue de actualizaciones en el servidor de aplicaciones para el SIMISIONAL2 tanto pruebas como producción, de acuerdo con requerimientos de Gestión de Conocimiento.</t>
    </r>
  </si>
  <si>
    <r>
      <rPr>
        <sz val="11"/>
        <rFont val="Times New Roman"/>
        <family val="1"/>
      </rPr>
      <t xml:space="preserve">En el mes de Diciembre: </t>
    </r>
    <r>
      <rPr>
        <b/>
        <sz val="11"/>
        <rFont val="Times New Roman"/>
        <family val="1"/>
      </rPr>
      <t xml:space="preserve">
</t>
    </r>
    <r>
      <rPr>
        <sz val="11"/>
        <rFont val="Times New Roman"/>
        <family val="1"/>
      </rPr>
      <t>Se prepararon los comités MIPG No. 14. Se realizó seguimiento a 2 planes de mejora FURAG, se realizó el seguimiento del cumplimiento al Plan de Adecuación y sostenibilidad de MIPG, los cuales fueron presentados en el comité de diciembre y se dio respuesta a requerimientos</t>
    </r>
    <r>
      <rPr>
        <b/>
        <sz val="11"/>
        <rFont val="Times New Roman"/>
        <family val="1"/>
      </rPr>
      <t xml:space="preserve">
</t>
    </r>
    <r>
      <rPr>
        <sz val="11"/>
        <rFont val="Times New Roman"/>
        <family val="1"/>
      </rPr>
      <t xml:space="preserve">Se actualizaron 68 documentos de diferentes procesos de la entidad y se atendieron 52 solicitudes en mesa de ayuda y correo sobre LUCHA. 
Se atiendieron 9 solicitudes sobre planes de mejoramiento de las 9  recibidas, teniendo un avance del 100%. 
Se realizarón 9 actividades del PIGA y se atendieron requerimientos relacionados con temas ambientales
Se realizó el acompañamiento a 5 procesos en la gestion del riesgos    
Se realizó la actualización de 36 documentos en 14 numerales del link de transparencia 
Con corte al 31 de Diciembre: </t>
    </r>
    <r>
      <rPr>
        <b/>
        <sz val="11"/>
        <rFont val="Times New Roman"/>
        <family val="1"/>
      </rPr>
      <t xml:space="preserve">
</t>
    </r>
    <r>
      <rPr>
        <sz val="11"/>
        <rFont val="Times New Roman"/>
        <family val="1"/>
      </rPr>
      <t>Durante lo transcurrido de esta vigencia se han realizado 14 Comité Institucional de gestión y desempeño, se realizó el seguimiento del cumplimiento al Plan de Adecuación y sostenibilidad de MIPG  y se cuenta con la matriz de lineas de defensa de los 22 procesos de la entidad  
Durante lo transcurrido de esta vigencia se han atendido 320 solicitudes de documentos, gestión de usuarios LUCHA y capacitaciones del SIG.
Durante lo transcurrido de esta vigencia se han atendido 110 solicitudes de planes de mejora y se cuenta con 596 acciones abiertas de las cuales el 70% se encuentran con un 100% de ejecución 
Durante lo transcurrido de esta vigencia se han realizarón 89 actividades del PIGA 
Durante lo transcurrido de esta vigencia se realizaron 97 reuniones de acompañamiento a los procesos en temas realcionados con riesgos 
Durante lo transcurrido de esta vigencia se han realizado 391 publicaciones de documentos en el botón de transparencia</t>
    </r>
  </si>
  <si>
    <r>
      <t xml:space="preserve">Para dar cumplimiento a los objetivos del proyecto de inversión 7662, y poder brindar el soporte transversal necesario para la óptima ejecución de los recursos, la Secretaía Distrital de la Mujer, en aras de cumplir con su misional, presentan los siguientes avances de las 3 buenas prácticas con corte al mes de diciembre: 
Fortalecimiento tecnológico:
Se  continúan adelantando los támites precontractuales de los procesos proyectados a contratar en la vigencia de acuerdo a la programación del plan anual de adquisiciones. Se realizan reuniones de validación y compromisos de todos los procesos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Fortalecimiento MIPG:
Se han realizado actividades para avanzar en la implementación de las políticas de gestión y desempeño, que han permitido a la Entidad la mejora continua.
Fortalecimiento institucional:
</t>
    </r>
    <r>
      <rPr>
        <sz val="11"/>
        <color indexed="8"/>
        <rFont val="Times New Roman"/>
        <family val="1"/>
      </rPr>
      <t xml:space="preserve">Se suscribió 1 contrato por modalidad de contratación directa con proveedor exclusivo,  1 contrato por madalidad de Selección Abreviada-Adhesión Acuerdo Marco de Precios y 4 contratos por Modalidad de Mínima cuantía.  Se ha dado respuesta a requerimientos de la Contraloría de Bogotá,  y de la Personería de Bogotá. </t>
    </r>
    <r>
      <rPr>
        <b/>
        <sz val="11"/>
        <color indexed="8"/>
        <rFont val="Times New Roman"/>
        <family val="1"/>
      </rPr>
      <t>3</t>
    </r>
    <r>
      <rPr>
        <sz val="11"/>
        <color indexed="8"/>
        <rFont val="Times New Roman"/>
        <family val="1"/>
      </rPr>
      <t>. Durante el mes de diciembre,  se atendieron todas las solicitudes de certificados presupuestales recibidas.</t>
    </r>
  </si>
  <si>
    <t>Este mes no se reporta avance de este indicador, debido a la periodicidad de su programación.</t>
  </si>
  <si>
    <t>Se realizó revisión y aprobación de la documentación de Planes de Acción de los 11 proyectos de inversión para la vigencia 2023 en el Comité Institucional de Gestión y Desempeño mediante acta número 002 del 30 de enero de 2022.</t>
  </si>
  <si>
    <t>Se realizó presentación de seguimiento al Plan Estratégico Institucional con corte al 31 de diciembre de 2022 y con corte al 30 de junio de 2023 en el Comité MIPG No.08.</t>
  </si>
  <si>
    <t>En el mes de diciembre se realizó la revisión de los reportes de seguimiento del plan de acción con corte a 30 de noviembre de 2023 de los 11 proyectos de inversión.</t>
  </si>
  <si>
    <t>En el marco del proceso de anteproyecto presupuestal para la vigencia 2023, desde la Oficina Asesora de Planeación fueron expedidos los lineamientos y cronograma para la elaboración, consolidación y presentación del documento de anteproyecto para la SHD en la fecha establecida. 
En cumplimiento del cronograma, en el mes de julio se recibieron las versiones preliminares de la programación presupuestal las cuales fueron revisadas por el equipo de Direccionamiento Estratégico.
Entre el 11 y el 14 de julio se realizaron mesas de trabajo con las dependencias para revisar las necesidades de presupuesto. Posteriormente, el 24 de julio se presentaron las necesidades al Despacho y el 10 de agosto se adelantó la mesa técnica con la Secretaría Distrital de Hacienda-SDH y la Secretaría Distrital de Planeación-SDP, conforme con los lineamientos y el cronograma establecido por la SHD.
El 30 de septiembre se comunicaron las cuotas de inversión y funcionamiento y se solicitó a las dependencias ajustar la programación presupuestal, así como las justificaciones técnicas de los proyectos para 2024
Con base a la cuota informada mediante radicado 1-2023-017110 del 9 de octubre, la Oficina Asesora de Planeación envió a la SDH el documento correspondiente al Anteproyecto de Presupuesto de Gastos e Inversiones para la vigencia 2024 para la SDMujer.</t>
  </si>
  <si>
    <t>Durante la vigencia 2023 se realizó la revisión del seguimiento del plan de acción de los 11 proyectos de inversión con corte al mes de diciembre de 2022, enero, febrero, marzo, abril, mayo, junio, julio, agosto, septiembre, octubre y noviembre de 2023.</t>
  </si>
  <si>
    <t xml:space="preserve">Se remite a las partes interesadas internas que acceden a los servicios de asesoría prestados por la Oficina Asesora de Planeación, el instrumento de medición de satisfacción, obteniendo como resultado al corte 31 de diciembre 81% de satisfacción en el servicio prestado, seis puntos porcentuales por debajo de la linea base calculada en el primer semestre de la vigencia. </t>
  </si>
  <si>
    <r>
      <rPr>
        <b/>
        <sz val="11"/>
        <color indexed="8"/>
        <rFont val="Times New Roman"/>
        <family val="1"/>
      </rPr>
      <t>PETI</t>
    </r>
    <r>
      <rPr>
        <sz val="11"/>
        <color indexed="8"/>
        <rFont val="Times New Roman"/>
        <family val="1"/>
      </rPr>
      <t xml:space="preserve">
- Se actualizó el OPEX y CAPEX  Anexo 3. Opex_Capex.xlsx del documento PETI vigencia 2024 al 2028
- Se realizó la Hoja de Ruta de Proyectos Anexo 21. Hoja de Ruta.xlsx del documento PETI vigencia 2024 al 2028
</t>
    </r>
    <r>
      <rPr>
        <b/>
        <sz val="11"/>
        <color indexed="8"/>
        <rFont val="Times New Roman"/>
        <family val="1"/>
      </rPr>
      <t xml:space="preserve">
ARQUITECTURA EMPRESARIAL
</t>
    </r>
    <r>
      <rPr>
        <sz val="11"/>
        <color indexed="8"/>
        <rFont val="Times New Roman"/>
        <family val="1"/>
      </rPr>
      <t>- Se culminó el ejercicio de arquitectura empresarial y se aprobó su hoja de ruta</t>
    </r>
  </si>
  <si>
    <r>
      <rPr>
        <b/>
        <sz val="11"/>
        <color indexed="8"/>
        <rFont val="Times New Roman"/>
        <family val="1"/>
      </rPr>
      <t xml:space="preserve">Política de Gobierno Digital
</t>
    </r>
    <r>
      <rPr>
        <sz val="11"/>
        <color indexed="8"/>
        <rFont val="Times New Roman"/>
        <family val="1"/>
      </rPr>
      <t xml:space="preserve">- Se actualizó el OPEX y CAPEX  Anexo 3. Opex_Capex.xlsx del documento PETI vigencia 2024 al 2028
- Se realizó la Hoja de Ruta de Proyectos Anexo 21. Hoja de Ruta.xlsx del documento PETI vigencia 2024 al 2028
</t>
    </r>
    <r>
      <rPr>
        <sz val="11"/>
        <color indexed="8"/>
        <rFont val="Times New Roman"/>
        <family val="1"/>
      </rPr>
      <t>- Se culminó el primer ejercicio de arquitectura empresarial y se cuenta con una Hoja de Ruta de los proyectos a implementar.
- La entidad cuenta con una Política de Seguridad de la Información publicada en la página web.
- Se está gestionando la implementación de la Política de Gobierno Digital, en el marco del Decreto 767 del 16 de mayo del 2022.
- Se cuenta con un Plan Estratégico de Tecnologías de la Información y las Comunicaciones.
- La entidad ha utilizado acuerdos marco de precios para la adquisición de bienes y servicios de TI a través de Colombia Compra Eficiente.
- Se definió un esquema de mantenimiento y soporte a los sistemas de información e infraestructura tecnológica.
- Se terminó el documento en sus cuatro (4) fases: situación actual, estado objetivo, brechas y hoja de ruta; el cual está pendiente de revisión, ajustes y empalme con el equipo de Gestión Tecnológica.
- Se avanza en el lineamiento del uso y apropiación, interoperabilidad. 
- Documentación de los catálogos de TI.</t>
    </r>
  </si>
  <si>
    <t>La oficina de Gestión del Conocimiento tardó en el envío de la información con respecto a la Gestión de Datos de Información.</t>
  </si>
  <si>
    <t>- Que la Dirección de Gestión del Conocimiento, responda el correo enviado de cada punto según la plantilla guía enviada para su respuesta, si se tiene información que lo envíen de manera formal y si no se tiene enviar un  correo o un oficio formal explicando el motivo del por qué no se tiene dicha información y así proceder.</t>
  </si>
  <si>
    <r>
      <rPr>
        <b/>
        <sz val="11"/>
        <color indexed="8"/>
        <rFont val="Times New Roman"/>
        <family val="1"/>
      </rPr>
      <t>Política de Seguridad Digital</t>
    </r>
    <r>
      <rPr>
        <sz val="11"/>
        <color indexed="8"/>
        <rFont val="Times New Roman"/>
        <family val="1"/>
      </rPr>
      <t xml:space="preserve">
- Entrega del instrumento de autodiagnóstico del MSPI.
- Entrega del instrumento de autodiagnóstico de datos personales.
- Actualización del Registro de Activos de Información para 2023.
- Actualización del Índice de Información Clasificada y Reservada 2023.
- Actualización de la Política de Seguridad de la Información.
- Instalación de piloto de la herramienta Wazuh (sistema correlacionador de logs).
- Actualización de los planes de seguridad de la información para el (PETI 2024-2028).
- Actualización y medición de indicadores de seguridad de la información.
- Reporte y seguimiento del estado de vulnerabilidades técnicas de la Secretaría Distrital de la Mujer.
- Cargue y clasificación por nivel de criticidad del listado de activos tecnológicos en el sistema Lucha.
- Cargue de los riesgos de seguridad de la información en el sistema Lucha.
- Definición del RPO (Punto Objetivo de Recuperación) y RTO (Tiempo Objetivo de Recuperación) para las aplicaciones utilizadas en la Secretaría Distrital de la Mujer.</t>
    </r>
  </si>
  <si>
    <r>
      <rPr>
        <b/>
        <sz val="11"/>
        <color indexed="8"/>
        <rFont val="Times New Roman"/>
        <family val="1"/>
      </rPr>
      <t>Política de Seguridad Digital</t>
    </r>
    <r>
      <rPr>
        <sz val="11"/>
        <color indexed="8"/>
        <rFont val="Times New Roman"/>
        <family val="1"/>
      </rPr>
      <t xml:space="preserve">
- Se documentó y actualizó Plan de Seguridad de la Información para el año 2023.
- Se realizó la actualización de evaluación del autodiagnóstico del Modelo de Seguridad y Privacidad de la Información - MSPI.
- Actualización de la Política de Tratamiento de Datos Personales y Privacidad de la Entidad.
- Implementación del procedimiento de Gestión de Vulnerabilidades Tecnológicas en la Entidad.
- Se tiene aprobado y publicado el Registro de Activos de Información y el Índice de Información Clasificada y Reservada
- Se actualizó Manual de Políticas Específicas de Seguridad de la Información.
- Entrega del instrumento de autodiagnóstico del MSPI.
- Entrega del instrumento de autodiagnóstico de datos personales.
- Actualización del Registro de Activos de Información para 2023.
- Actualización del Índice de Información Clasificada y Reservada 2023.
- Actualización de la Política de Seguridad de la Información.</t>
    </r>
    <r>
      <rPr>
        <sz val="11"/>
        <color indexed="8"/>
        <rFont val="Times New Roman"/>
        <family val="1"/>
      </rPr>
      <t xml:space="preserve">
- Reporte y seguimiento del estado de vulnerabilidades técnicas de la Secretaría Distrital de la Mujer.
- Definición del RPO (Punto Objetivo de Recuperación) y RTO (Tiempo Objetivo de Recuperación) para las aplicaciones utilizadas en la Secretaría Distrital de la Mujer.</t>
    </r>
  </si>
  <si>
    <t>- Vulnerabilidades críticas en el Sistema Simisional1 que requieren que se finalice la migración del sistema por parte de la Dirección de Gestión del Conocimiento a Simisional2. 
- Vulnerabilidades en acceso en el sistema Orfeo que requieren que se realicen ajustes de fondo al módulo de seguridad del sistema.</t>
  </si>
  <si>
    <t>- Según lo informado la Dirección de Gestión del Conocimiento, la migración del sistema Simisional1 a Simisional2, finalizará el 28 de febrero de 2024.
- La Dirección Administrativa y Financiera a cargo de la Administración del Sistema Orfeo entregará plan de migración del sistema en la última semana de diciembre de 2023.</t>
  </si>
  <si>
    <t>Productos con Microsoft
Suscripciones totales: 5331
Suscripciones en uso:  5290
Porcentaje de utilización: 99.9%</t>
  </si>
  <si>
    <t>Productos con Microsoft
Suscripciones totales: 5331
Suscripciones en uso:  5290
Porcentaje de utilización: 99.9%
Se envío documento a los proyectos para que definan la cantidad de suscripciones que requieren para 2024.</t>
  </si>
  <si>
    <t>- Los proyectos deben definir las cantidades de suscripciones de correos que requieren para realizar la contratación en el año 2024.</t>
  </si>
  <si>
    <t>- Se tramita desembolso del contrato No 1046-2023 - Firmas Electrónicas
- Se ajusta solicitud de modificación contractual para la adición de recursos a la orden de compra No 108689 contrato 914-2023 (Lote 1: Renovación de los servicios de infraestructura (IaaS), (PaaS) Cloud de Oracle).
- Se tramitó pago No. 6 de la ETB
- Se tramitó pago No. 2 de Tecnosoft
- Se tramitó pago de DLP
- Se declara desierto el proceso de consumibles
- Se realizó el contrato de VMware 1048 de 2023
- Se realizó el contrato de Mantenimiento de Aire Acondicionado del CC.
- Se instaló la herramienta Wazuh para monitoreo de eventos de seguridad.
- Se desinstaló la herramienta de Nessus de monitoreo de eventos de seguridad.</t>
  </si>
  <si>
    <t xml:space="preserve">- Se suscribió contrato 951 de 2023 con la empresa de telecomunicaciones ETB
- Se suscribió el contrato 952 Kawak
- Se suscribió contrato  Microsoft 932 de 2023
- Se suscribió adquisición de certificados SSL contrato 975 de 2023
- Se dio inicio al contrato de Oracle orden de compra 113288 cto 987 de 2023
- Se dio inicio al contrato licencias Adobe cto 995 de 2023 
- Se dio inicio al contrato de smartnet 1005 de 2023
- Se dio inicio al contrato de UPS 1008 de 2023 
- Se dio inicio al contrato de proyección de video 1007 de 2023
- Se realizó el pago de los contratos 1008 de 2023 UPS, Contrato No. 1005 smartnet, video proyección 1007 de 2023 y pago del contrato de la ETB 951 de 2023.
- Se realizó el contrato SDMUJER-MC-017-2023 Mantenimiento de aire.
- Se dieron respuestas a las observaciones y evaluación del proceso SDMUJER-SASI-001-2023 DLP
- Se tramita desembolso del contrato No 1012 Soporte de Licencia TOAD
- Se tramita desembolso del contrato No 1046-2023 - Firmas Electrónicas
- Se ajusta solicitud de modificación contractual para la adición de recursos a la orden de compra No 108689 contrato 914-2023 (Lote 1: Renovación de los servicios de infraestructura (IaaS), (PaaS) Cloud de Oracle).
- Se tramitó pago No. 6 de la ETB
- Se declara desierto el proceso de consumibles
- Se realizó el contrato de VMware 1048 de 2023
- Se realizó el contrato de Mantenimiento de Aire Acondicionado del CC.
</t>
  </si>
  <si>
    <t>- Riesgo que no se pueda realizar la adición de recursos a los servicios de Oracle por demora en la definición de valores y revisiones por parte de los encargados de contratación.</t>
  </si>
  <si>
    <t>Mesa de Ayuda (mes) 
Casos recibidos: 663
Casos atendidos: 579
Casos pendientes de solución por complejidad: 84</t>
  </si>
  <si>
    <t>Mesa de Ayuda (año corrido)
Casos recibidos: 7931
Casos atendidos: 7309</t>
  </si>
  <si>
    <t>- Los requerimientos pendientes corresponden en su gran mayoría a Simisional1 y solo hay una persona que brinda el soporte.</t>
  </si>
  <si>
    <t>Se realiza seguimiento semanal a los casos pendientes y se envía correo a los solucionadores solicitando acelerar la gestión de los mismos. Se espera reducir los pendientes con SIMISIONAL2.</t>
  </si>
  <si>
    <t xml:space="preserve">Salió proceso de aire acondicionado del centro de cómputo y se realiza primer mantenimiento. </t>
  </si>
  <si>
    <t>- Se realiza primer mantenimiento de UPS del contrato 1008 de 2023.
- Se realizó mantenimientos del almacenamiento SAN y Planta Telefónica.
- Mantenimiento equipos de comunicaciones ETB
- Mantenimiento equipos de seguridad perimetral
- Mantenimiento equipos de comunicaciones Switches nivel central
- Mantenimiento servidores centro de cómputo
- Mantenimiento UPS Nivel Central
- Mantenimiento servidor backup
- Mantenimiento aire acondicionado del centro de cómputo</t>
  </si>
  <si>
    <t>No hubo mantenimientos relacionados con servicios en nube y aplicaciones en desarrollo.</t>
  </si>
  <si>
    <t>- Se realizaron los mantenimientos a los sistemas de información de acuerdo al cronograma.
- Se realizó mantenimientos del almacenamiento SAN y Planta Telefónica.
- Se migro del sistema de virtualización de hyper-v a VMware del servidor de mesa de ayuda.
- Se actualizó la versión del sistema de versionamiento GITLAB
- Se realizaron mantenimientos de CIOM de los equipos de comunicaciones de la ETB.
- Se actualizaron los servidores ICOPS-DESAROLLO, MESADEAYUDA, VERSIONAMIENTO, APLICACION DE ORFEO Y BASE DE DATOS DE ORFEO.
- Se realiza actualización del portal de la entidad core y librerías.
- Se actualiza core de intranet y librerías.
- Salió proceso de contratación VMware SDMUJER-SASI-002-2023
- Se envió documentos a contratos para revisión de Aire acondicionado y consumibles
- Se realizaron pruebas de saturación de los canales de datos de la ETB
- Se realiza actualización de paquetes y librerías del servidor de SIMISIONAL2Pruebas para mitigar las vulnerabilidades.</t>
  </si>
  <si>
    <t>Falta celeridad de los procesos en el área jurídica.</t>
  </si>
  <si>
    <t>- Se realizaron 3 requerimientos para el aplicativo ICOPS y 1 actualización. 
- Se realizaron 165 publicaciones en la página web de la entidad. 
- Se realizaron 11 publicaciones en la Intranet.
- Se realiza ajuste al formulario para el registro de información de la aplicación del Decreto 332 de 2020 – Promover participación de contratación de mujeres.
- Se realiza despliegue de actualizaciones en el servidor de aplicaciones para el SIMISIONAL2 tanto pruebas como producción, de acuerdo con requerimientos de Gestión de Conocimiento.</t>
  </si>
  <si>
    <t xml:space="preserve">Requerimientos de soporte ICOPS atendidos: 1090
Requerimientos relacionados con soporte a la página: 3129
- Alistamiento, configuración y actualización de los servidores que soportan los aplicativos de la entidad y portales institucionales.
- Se realizaron 34 publicaciones en la Intranet
- Configuración y despliegue del servidor preproducción de Simisional 2
- Actualización de usuarios general para FUID de acuerdo con requerimiento.
- Actualización de actividades económicas e indicadores para ICOPS
- Se atienden 120 casos de mesa de ayuda para ICOPs
- Capacitaciones sobre actualización y modificaciones de contratos en ICOPs.
- Se realiza actualización del chat bot de manzanas del cuidado con las 4 manzanas nuevas.
- Se instalan y actualizan los temas y plugins de WordPress para el portal “Da el primer paso”.
- Se realizan mesas de trabajo de levantamiento de requerimientos para el módulo de seguimiento a PAABS de contratos en ICOPs.
- Actualización de encuesta “Evaluación del servicio socio jurídico de la Secretaría Distrital de la Mujer”, percibido por las personas que han recibido atención.
- Se realiza ajuste al formulario para el registro de información de la aplicación del Decreto 332 de 2020 – Promover participación de contratación de mujeres.
- Se realiza despliegue de actualizaciones en el servidor de aplicaciones para el SIMISIONAL2 tanto pruebas como producción, de acuerdo con requerimientos de Gestión de Conocimiento.
</t>
  </si>
  <si>
    <t>En el mes de diciembre:
- Se realizó la revisión del reporte de seguimiento del plan de acción con corte al 30 de noviembre de 2023.
- Se realizó el correspondiente acompañamiento en el cargue del seguimiento con corte al 30 de noviembre de 2023 en DNP-SPI y Segplan.
- Se atendieron las siguientes solicitudes de información: (i) solicitud de avance metas PDD, retos de la OAP y temas por atender para el informe de gestión de la Secretaria; (ii) seguimiento compromisos CDPS “publicación de los logros y avances que se tienen en cada una de las estrategias de la SDMujer en página web” y (iii) informe de seguimiento a la gestión y ejecución de recursos de cooperación nacional e internacional del Distrito Capital.
Con corte a 31 de diciembre:
- Se ha realizado la revisión mensual del reporte de seguimiento del plan de acción con el corte al cierre del mes inmediatamente anterior de los proyectos de inversión. 
- Se realizó la revisión de la formulación y actualización del plan de acción de los proyectos de inversión para el 2023.
- Se realizó el correspondiente acompañamiento en el cargue del seguimiento mensual con corte al cierre del mes inmediatamente anterior de los proyectos de inversión en DNP-SPI.
- Se realizó el cargue del seguimiento de los proyectos de inversión con corte al 4 trimestre del 2022, la reformulación del 2023 y tres primeros trimestres del 2023 en la plataforma Segplan, así como Plan de Choque PDD en el último trimestre de la vigencia. 
- Se han elaborado respuestas y consolidado insumos para atender derechos de petición, proposiciones y requerimientos de información.</t>
  </si>
  <si>
    <t>Por parte de los profesionales de la Dirección de Contratación en el trimestre se procedió con la revisión de los Estudios Previos de prestación de servicios y apoyo a la gestión de la contratación y procesos de bienes y servicios,</t>
  </si>
  <si>
    <t>En el periodo comprendido de enero a diciembre se materializaron las acciones mediante el cual se reportaron los Estudios Previos revisados por el equipo de abogados de las diferentes areas misionales de la Entidad</t>
  </si>
  <si>
    <t xml:space="preserve">No se presentaron retarsos </t>
  </si>
  <si>
    <t>Por parte de los profesionales de la Dirección de Contratación en el trimestre se procedió con la elaboración de las Minutas de prestación de servicios y apoyo a la gestión y procesos de bienes y servicios,</t>
  </si>
  <si>
    <t>En el periodo comprendido de enero a diciembre  se materializo la acción mediante el cual se reportaron las minutas contractuales elaboradas por el equipo de abogados de las diferentes areas misionales de la Entidad.</t>
  </si>
  <si>
    <t xml:space="preserve">En el trimestre se procedio con las publicaciones de los pliegos de condiciones dentro de los procesos de selección. </t>
  </si>
  <si>
    <t xml:space="preserve">En el periodo comprendido de enero a diciembre  se materializaron las acciones realizando pliegos de condiciones definitivos y culminando con el proceso de contractación SDMUJER-SASI-002-2023 y se procedio con la publicación del Pliego Definitivo. </t>
  </si>
  <si>
    <t>En el trimestre se remitieron correos de seguimiento de publicación de PAABS</t>
  </si>
  <si>
    <t>En el periodo comprendido de enero a diciembre  se materializaron las acciones realizando  publicacion de PAABS, en este periodo no se materialzo la acción de seguimiento a PAABS</t>
  </si>
  <si>
    <t>En el trimestre se expidieron comunicaciones oficiales, respuesta a SDQS, 
Derechos de Petición a entes internos y externos.
Se emitieron certificaciones.</t>
  </si>
  <si>
    <t>En el periodo comprendido de enero a diciembre se materializo la acción mediante el cual se remitieron y dieron respuesta a solicitudes y derechos de petición</t>
  </si>
  <si>
    <t xml:space="preserve">En el trimestre se realizaron capacitaciones de Gestiòn Contractual los cuales se expusieron temas relevantes de las diferentes etapas de contrataciòn </t>
  </si>
  <si>
    <t xml:space="preserve">En el periodo comprendido de enero a diciembre se materializo la acción en la cual se desarrollaron capacitaciones a los diferentes enlaces supervisores y contratistas de la Entidad </t>
  </si>
  <si>
    <t xml:space="preserve">En el trimestre se realizaron  liquidaciones de contratos suscritos con personas naturales y juridicas bajo la modalidad prestación de servicios profesionales y de bienes y servicios.  </t>
  </si>
  <si>
    <t xml:space="preserve">En el periodo comprendido de enero a diciembre  se matrializo la acción realizando el trámite poscontractual de los contratos de prestación de servicios y apoyo a la gestión y de bienes y servicios </t>
  </si>
  <si>
    <t>En el trimestre se remitieron alertas a los supervisores de los contratos de 
prestación de servicios y apoyo a la gestión y de bienes y servicios para que realicen el tramite de liquidación.</t>
  </si>
  <si>
    <t xml:space="preserve">En el periodo comprendido de enero a diciembre  se materializo la acción mediante la cual se enviaron alertas a los Supervisores de los contractos generando solicitud de los contratos que se deben liquidar. </t>
  </si>
  <si>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DICIEMBRE se tramitaron 64 respuestas a requerimientos asignados a la OAJ en los términos legales establecidos y de acuerdo con el marco normativo vigente, para un TOTAL con CORTE A 31 de DICIEMBRE de 741 respuestas emitidas.</t>
  </si>
  <si>
    <t xml:space="preserve">En el cuarto trimestre se recibieron y respondieron 160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</si>
  <si>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Con corte a 31 DE DICIEMBRE se recibieron y respondieron un total de  564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</si>
  <si>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En el  cuarto trimestre se recibieron 21 solicitudes de pronunciamiento de Proyectos de Acuerdo y/o Ley y se emitieron 21 conceptos en respuesta a las solicitudes. </t>
  </si>
  <si>
    <t xml:space="preserve">Con corte a 31 DE  DICIEMBRE se recibieron un total de 112 solicitudes de pronunciamiento de Proyectos de Acuerdo y/o Ley y se emitieron 112 conceptos en respuesta a las solicitudes. </t>
  </si>
  <si>
    <t>En el cuarto  trimestre se recibieron y tramitaron  25 tramites de  acciones de tutela y se ha llevado a cabo seguimiento a los procesos judiciales de conocimiento ante los Jueces Administrativos en los que la Sdmujer actúa como sujeto procesal, asi como dentro Proceso Penal informado por la Fiscalía 43 Delegada para la Dirección Especializada contra el Lavado de Activos de la Fiscalía General de la Nación, en el que la Entidad no se ha constituido formalmente como víctima.</t>
  </si>
  <si>
    <t>Con corte a 31  DE DICIEMBRE  se recibieron y tramitaron un total de 103 actuaciones relacionadas con acciones de tutela y se han llevado a cabo 16 actuaciones judiciales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es parte ni se ha constituido formalmente como víctima.</t>
  </si>
  <si>
    <t xml:space="preserve">En el   cuarto trimestre  se requirió proyectar una  (1) decisiones de segunda instancia en los procesos disciplinarios de la entidad. </t>
  </si>
  <si>
    <t xml:space="preserve">Con corte a 31  DE ICIEMBRE  solo se  proyecto una (1) decisiones de segunda instancia en los procesos disciplinarios de la entidad. </t>
  </si>
  <si>
    <t xml:space="preserve">En el  cuarto trimestre se recibieron 11 solicitudes por control político referentes a proposiciones del Concejo de Bogotá y se dio respuesta a las 11 solicitudes. </t>
  </si>
  <si>
    <t xml:space="preserve">Con corte a 31 DE DICIEMBRE se recibieron un total de 46 solicitudes por control político referentes a proposiciones del Concejo de Bogotá y se dio respuesta a las 57 solicitudes. </t>
  </si>
  <si>
    <t xml:space="preserve">En el cuarto  trimestre se asistió a  7 Comités de enlaces ordinario virtual realizado por la plataforma teams, y se asiganarón por parte de  la secretaría técnica del comité  10 casos para estudio, los cuales fueron presentados ante el comité. </t>
  </si>
  <si>
    <t xml:space="preserve">Con corte a 31 de DICIEMBRE se asistió a un total de 41 Comités de enlaces ordinario virtual realizado por la plataforma teams, y se asiganarón por parte de  la secretaría técnica del comité 75 casos para estudio, los cuales fueron presentados ante el comité. </t>
  </si>
  <si>
    <t xml:space="preserve">En el cuarto trimestre se realizarón 6 sesiones ordinarias del Comité de Conciliación, conforme a las 2 sesiones planeadas por mes. </t>
  </si>
  <si>
    <t xml:space="preserve">Con corte a 31 DE SDICIEMBRE se realizarón un total de 26 sesiones ordinarias del Comité de Conciliación y 2 (dos) sesiones Extraordinaria, conforme a las 2 sesiones planeadas por mes. </t>
  </si>
  <si>
    <t xml:space="preserve">Con corte al 30 de noviembre de la vigencia 2023, se realizó transferencia documental primaria  de la Dirección de Contratación con 0,75 metros lineales y Oficina de Control Interno con 1,5 metros lineales, por solicitud de la dependencia, para un total de 2,2 en el mes  y un total de 56,75 mts lineales de los 55 metros proyectados.. </t>
  </si>
  <si>
    <t>Como avance acumulado  (enero - noviembre) del año 2023,  para el total de archivos transferidos se gestionó lo correspondiente de parte de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Dirección de Enfoque Diferencial, Dirección de Talento Humano con 1,25 metros lineales, Dirección de Territorialización con 6,5 metros lineales, Subsecretaria de Fortalecimiento de Capacidades y Oportunidaddes con 1,25 metros lineales, Subsecretaria de Gestión Corporativa con 0,25 metros lineales, Dirección Administrativa y Financiera con 17,5 metros lineales,  Dirección de Contratación con 0,75 metros lineales y Oficina de Control Interno con 1,5 metros lineales( por solicitud de la dependencia), para un total de 56,75 metros lineales de los 55 metros proyectados y  dando cumplimiento con la ejecución al 100% de la meta propuesta para el cuatrienio (2020-2024) frente a la implementación de la politica de Gestión Documental institucional</t>
  </si>
  <si>
    <t>No Aplica</t>
  </si>
  <si>
    <t>Con corte al 31 de diciembre de la vigencia 2023, se realizó organización documental (clasificación, ordenación, foliación y rótulación) de 73 cajas equivalentes a 18,25  metros lineales de la Dirección de Contratación, Vigencias 2015  a 2017 - Archivo Central y 6 cajas equivañentes a 1,5 metros lineales de la Dirección de Contratación, Vigencia 2021 y 2023 Edificio Elemento,  para un total de 79 cajas equivalentes a 19,75 metros lineales.
Del mes de enero al mes de diciembre, se tienen un total de 163 metros lineales de los 150 proyectados, cumpliendo con la meta propuesta para el reporte al mes y dando cumplimiento con la ejecución al 100% de la meta propuesta para el cuatrienio (2020-2024) frente a la implementación de la politica de Gestión Documental institucional.</t>
  </si>
  <si>
    <t>Como avance acumulado (enero-diciembre) del año de 2023, se consolidó la contratación del recurso necesario profesionales, técnicos y auxiliares para ejecutar las actividades programadas para la vigencia, se realizó (clasificación, ordenación, foliación y descripción) de los documentos de gestión de las dependencias: Dirección de Talento Humano, Dirección de Contratación, Dirección Administrativa y Financiera, Dirección de Derechos y Diseño y Políticas y Subsecretaria del Cuidado y Políticas de Igualdad. El total de archivos intervenidos acumulados es de 15 metros lineales en febrero, 8,25 mts lineales en marzo, 16,25mts lineales en abril, 15 metros lineales en mayo, 24,5 mts lineales en junio, 14,5 metros lineales en julio, 13,75metros lineales en agosto, 16,75 metros lineales en septiembre, 5,75 metros lineales en octubre, 13,5 metros lienales en noviembre y 19,75 metros lineales en diciembre, para un acumulado de 163 metros lineales de los 150 proyectados y  dando cumplimiento con la ejecución al 100% de la meta propuesta para el cuatrienio (2020-2024) frente a la implementación de la politica de Gestión Documental institucional.</t>
  </si>
  <si>
    <t>Con corte al 31 de diciembre de la vigencia 2023, se realizó la actualización de cuatro documentos: GD-PR-5 - PRODUCCION, GESTION Y TRAMITE DE COMUNICACIONES - V1, GD-PR-6 - TRANSFERENCIAS DOCUMENTALES PRIMARIAS - V2, GD-IN-6 - TABLAS DE CONTROL DE ACCESO - V3, GD-GU-4 - LIMPIEZA LOCATIVA DE ESPACIOS, MOBILIARIO Y UNIDADES DE ALMACENAMIENTO DOCUMENTAL - V3. Por otro lado, se realizaron 3 sensibilizaciones a las 17 dependencias de la SDMujer con tema referente a Instrumentos Archivísticos y se realizó visita de seguimiento a la Dirección de Enfoque Diferencial - Estrategía Casa de Todas con la finalidad de identificar el proceso de organización documental y la implementación del instrumento Archivístico Tabla de Retención Documental, cumpliendo con la meta propuesta para el reporte al mes y dando cumplimiento a la ejecución del 100% de la meta propuesta para el cuatrienio (2020-2024) frente a la implementación de la politica de Gestión Documental institucional.</t>
  </si>
  <si>
    <t>Como avance acumulado  (enero - noviembre) del año 2023, en cuanto a los instrumentos actualizados y publicados son:
- En enero: PINAR
- En marzo: Caracterizacion del proceso.
- En mayo: Manual de Gestion Documental
- En junio: Instructivo Organizar y Administrar el Archivo.
- En septiembre: Cauadro de clasificación documental /  Cuadro de Caracterización Documental / Fichas de Valoración Documental / Instructivo de Eliminación Documental con sus respectuvas actas.
- En Octubre: Formato Tabla de Control de Acceso / Revisión ajustes TRD - Archivo de Bogotá
- En Noviembre: Instructivo GD-IN-6 - TABLA DE CONTROL DE ACCESO - TCA - V3,  / Procedimiento Transferencias Documentales Primarias  / Guia de limpieza locativa de espacios, mobiliario y unidades de almacenamiento documental.
- En Diciembre: Reiteración de socialización y publicación documentos: GD-PR-5 - Producción, Gestión Y Trámite De Comunicaciones - V1, GD-PR-6 - Transferencias Documentales Primarias - V2, / GD-GU-4 - Limpieza Locativa de Espacios, Mobiliario y Unidades de Almacenamiento Documental - V3.
En cuanto a las sensibilizaciones el avance acumulado entre los meses de enero a diciembre de 2023, es de 31 sensibilizaciones realizadas a Servidoras (es) de las dependencias de acuerdo al plan de sensibilizaciones vigencia 2023 con temática Aplicación de Tabla de Retención Documental,  Eliminación de Documentos por TRD, e Instrumentos Archivísticos. Se efectúa implementación de instrumentos archivísticos Fuid en Línea Ciom Barrios Unidos. Así mismo, se realizaron 20 visitas de seguimiento a nivel central de acuerdo al cronograma 2023 y dando cumplimiento con la ejecución al 100% de la meta propuesta para el cuatrienio (2020-2024) frente a la implementación de la politica de Gestión Documental institucional.</t>
  </si>
  <si>
    <t>Con corte al 31 de diciembre de la vigencia 2023, y como parte de la implementación del Sistema Integrado de Conservación- SIC, se realizó sensibilización sobre lineamientos técnicos a tener en cuenta ante una emergencia documental, así mismo, se realizó informe correspondiente a las mediciones de condiciones ambientales (humedad relativa y temperatura) del Archivo Central, Archivo Talento Humano, Archivo de gestión centralizado y se actualizó el documento GD-GU-4 Guía de limpieza y desinfección de espacios, mobiliario y unidades de almacenamiento documental, dando cumplimiento con la ejecución al 100% de la meta propuesta para el cuatrienio (2020-2024) frente a la implementación de la politica de Gestión Documental institucional.</t>
  </si>
  <si>
    <t>Como avance acumulado  (enero - diciembre) del año 2023 y como parte de la implementación del Sistema Integrado de Conservación- SIC, se realizaron 13 sensibilizaciones en temas relacionados con: aspectos básicos de conservación, emergencias documentales y manipulación, embalaje e identificación de cajas para traslado de la bodega del Archivo Central. Además, se realizaron 20 visitas de seguimiento en temas relacionados con Conservación Documental, formalizándose bajo informe general. Por otro lado,  se realizó seguimiento al proceso de contratación frente al saneamiento ambiental y así mismo, se realizaron 2 conceptos técnicos a la revisión de las unidades de conservación (carpetas cuatro aletas) para la Casa Refugio Rosa Elvira Cely.  
Del mismo modo,  se definieron los lineamientos técnicos para el almacenamiento y conservación de las Historias Laborales y el uso de sobres de papel bond blanco para cds. 
Por otro lado, se obtuvo aprobación de concepto técnico para traslado de bodega por parte del Archivo de Bogotá y se formalizó bajo contrato No. 944 de 2023. Además, se realizaron actividades de organización, ubicación topográfica y cambio parcial de las unidades de almacenamiento en el Archivo Central.
Así mismo, se formalizó contratación para la adquisición de mobiliario para el Archivo Central bajo contrato 1011-2023 y  se realizó la instalación y puesta en funcionamiento  de 5 dataloggers en el Archivo Central, Archivo Centralizado Nivel Central y Archivo de Gestión Talento Humano, dando cumpliendo con la implementación del Sistema Integrado de Conservación- SIC en su Plan de Conservación Documental, se realizó informe correspondiente a las mediciones de condiciones ambientales (humedad relativa y temperatura) del Archivo Central, Archivo Talento Humano, Archivo de gestión centralizado y se actualizó el documento GD-GU-4 Guía de limpieza y desinfección de espacios, mobiliario y unidades de almacenamiento documental, dando cumplimiento con la ejecución al 100% de la meta propuesta para el cuatrienio (2020-2024) frente a la implementación de la politica de Gestión Documental institucional.</t>
  </si>
  <si>
    <t>Con corte al 31 de diciembre de la vigencia 2023, se solicitó bajo memorando 3-2023-004853 a la Oficina Asesora de Planeación, aplicar las acciones para la migración del sistema de desarrollo a producción, donde se relacionaron los avances y aspectos realizados con la finalidad de mejorar la seguridad y eficiencia del sistema.  Así mismo, se atendieron 100 mesas de ayuda, dando cumplimiento a las actividades contempladas en el Plan de Preservación Digital a Largo Plazo, dando cumplimiento con la ejecución al 100% de la meta propuesta para el cuatrienio (2020-2024) frente a la implementación de la politica de Gestión Documental institucional.</t>
  </si>
  <si>
    <t>Como avance acumulado  (enero - diciembre) del año 2023,  se realizaron las actividades de desarrollo para la gestión de interoperabilidad entre Orfeo y Icops y la elaboracion  del  instructivo para socializar el proceso de interoperabilidad.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Por tro lado, se realizan mesas de trabajo frente a temas de firma autográfa, firmas electrónicas certificadas,  comunicaciones masivas e identificación de vulnerabilidades y debilidades en el Sistema de Gestión Documental Orfeo, .  Por otra parte, se realizó documento preliminar del instrumento  ArchivÍstico Modelo de Requisitos del Sistema de Documentos  Electrónicos de Archivo con base en lo establecido en el Decreto 1080 de 2015 y se dio atención a 283 mesas de ayuda.
Asi mismo,  se solicitó bajo memorando 3-2023-004853, aplicar las acciones para la migración del sistema de desarrollo a producción, donde se relacionaron los avances y aspectos realizados con la finalidad de mejorar la seguridad y eficiencia del sistema y se realizaron 16  sensibilizaciones en temas referentes al Sistema Documental Orfeo de acuerdo a la programación, dando cumplimiento a las actividades contempladas en el Plan de Preservación Digital a Largo Plazo, dando cumplimiento con la ejecución al 100% de la meta propuesta para el cuatrienio (2020-2024) frente a la implementación de la politica de Gestión Documental institucional.</t>
  </si>
  <si>
    <r>
      <t xml:space="preserve">"En cumplimiento con lo establecido en la Carta Circular 121 de 2023 ""Publicación de Informes financieros y contables para los Entes Públicos Distritales"",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Resolución No. DCC-000004 de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 ""Publicación de los Estados Contables. La Dirección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t>
    </r>
    <r>
      <rPr>
        <b/>
        <sz val="12"/>
        <color indexed="8"/>
        <rFont val="Calibri"/>
        <family val="2"/>
      </rPr>
      <t xml:space="preserve">El 20 dediciembre del 2023 se publicó en la página Web de la entidad los siguientes estados financieros: </t>
    </r>
    <r>
      <rPr>
        <sz val="12"/>
        <color indexed="8"/>
        <rFont val="Calibri"/>
        <family val="2"/>
      </rPr>
      <t xml:space="preserve"> Estado de Situación Financiera comparativo Noviembre - Septiembre 2023, Estado de Resultado Comparativo Noviembre 2023-2022 y Certificación de los estados financieros Noviembre 2023</t>
    </r>
  </si>
  <si>
    <t xml:space="preserve"> El avance acumulado entre enero y agosto, se relaciona a continuación:                                                                                                                                                                                                                                                              
• OCTUBRE 2023:El 20 de octubre del 2023 se publicó en la página Web de la entidad los siguientes estados financieros:  ESTADO SITUACIÓN FINANCIERA (Comparativo) SEPTIEMBRE 23 A JUNIO 23, ESTADO DE RESULTADOS (Comparativo) SEPTIEMBRE 23 A SEPTIEMBRE 22, CERTIFICACIÓN ESTADOS FINANCIEROS SEPTIEMBRE 2023, NOTAS A LOS ESTADOS FINANCIEROS A 30 DE SEP 2023, CGN 2016 01 VARIACIONES FINAL 30092023-2022, REPORTE CGN2015_001_SALDOS_Y_MOVIMIENTOS_CONVERGENCIA 3ER TRIMESTRE SEPTIEMBRE 2023 y CGN2015_002_OPERACIONES_ RECIPROCAS_CONVERGENCIA 3T SEPTIEMBRE 2023.
• SEPTIEMBRE 2023:El 19 de septiembre del 2023 se publicó en la página Web de la entidad los siguientes estados financieros:   Estado de situación financiera comparativo Agosto - Junio 2023, Estado de Resultado Comparativo Agosto 2023-2022 y Certificación de los estados financieros Agosto 2023. 
AGOSTO 2023: El 18 de agosto del 2023 se publicó en la página Web de la entidad los siguientes estados financieros:   Estado de situación financiera comparativo Julio - Junio 2023, Estado de Resultado Comparativo Julio 2023-2022 y Certificación de los estados financieros Julio 2023.
• JULIO 2023: El 19 de julio del 2023 se publicó en la página Web de la entidad los siguientes estados financieros: CGN2005 001 SALDOS Y MOVIMIENTOS 2DO TRIMESTRE JUNIO 2023 / CGN2015 002 OPERACIONES RECIPROCAS CONVERGENCIA 2T JUNIO 2023 / ESTADO SITUACIÓN FINANCIERA (Comparativo) JUN - MAR 23 / ESTADO DE RESULTADOS (Comparativo) JUN 23 - 22 / NOTAS A LOS ESTADOS FINANCIEROS A 30 DE JUNIO 2023 / CGN 2016 01 VARIACIONES FINAL 30062023-2022 / CERTIFICACIÓN JUN 23.
Los días 12 y 19 de julio del 2023 se publicó en la página de Bogotá Consolida la siguiente información: CGN2005 001 SALDOS Y MOVIMIENTOS 2ER TRIMESTRE JUNIO 2023 / CGN2015 002 OPERACIONES RECIPROCAS CONVERGENCIA 2T JUNIO 2023 / ESTADO SITUACIÓN FINANCIERA (Comparativo) JUN - MAR 23 / ESTADO DE RESULTADOS (Comparativo) JUN 23 - 22 / CGN 2016 01 VARIACIONES FINAL 30062023-2022.
• JUNIO 2023: El 14 de junio del 2023 se publicó en la página Web de la entidad los siguientes estados financieros:   Estado de Situación Financiera Mayo 2023 - Marzo 2023, Estado de Resultado mayo 2023 y Certificación de los estados financieros.
• MAYO 2023: El 19 de mayo del 2023 se publicó en la página Web de la entidad los siguientes estados financieros:  
1. ESTADO DE SITUACION FINANCIERA ABRIL 2023 – MARZO 2023, 
2. ESTADO DE RESULTADO ABRIL 2023-2022 y 3. CERTIFICACIÓN EF ABRIL 2023. 
Adicionalmente se publicó:
1. ESTADO DE SITUACION FINANCIERA MARZO 2023 - DIC 2022 
2. NOTAS A LOS ESTADOS FINANCIEROS A 31 DE MARZO 2023. 
• ABRIL 2023:  El 20 de abril del 2023 se publicó en la página Web de la entidad los Estados Financieros comparativos periodo de marzo 2023-2022,  1 Estado de Situación Financiera Marzo 2023 – 2 Estado de Resultados Marzo 2023 - 3 Certificación Ef Marzo 2023 – 4 Notas A Los Estados Financieros A 31 De Marzo 2023 - 5 Cgn2015_001_Saldos_Y_Movimientos 1er Trimestre Marzo 2023 - 6 Cgn 2015 002 Reciprocas 1t Marzo 2023 - 7 Cgn 2016 01 Variaciones Final Marzo 2023. 
• MARZO 2023: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28 DE FEBRERO 2023.
• FEBRERO 2023: El 20 de febrero del 2023 se publicó en la página Web de la entidad los Estados Financieros comparativos periodo de enero 2023-2022, los cuales se relacionan a continuación:   1. ESTADO DE SITUACION FINANCIERA ENERO 2023 – 2. ESTADO DE RESULTADO ENERO 2023 –– 4. CERTIFICACIÓN EF ENERO 2023 – NOTAS A LOS ESTADOS FINANCIEROS A 31 DE ENERO 2023.  y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31 DE FEBRERO 2023.
• ENERO 2023:  El 31 de Enero de 2023, se publicaron los Estados Financieros comparativos período de diciembre 2022-2021: SITUACION FINANCIERA DICIEMBRE 2022 – ESTADO DE ACTIVIDAD FINANCIERA ECONOMICA SOCIAL Y AMBIENTAL DICIEMBRE 2022 –– CERTIFICACION A LOS ESTADOS FINANCIEROS DICIEMBRE 2022 – CAMBIO EN EL PATRIMONIO - NOTAS A LOS ESTADOS FINANCIEROS A 31 DE DICIEMBRE 2022 – VARIACIONES TRIMESTRALES SIGNIFICATIVAS DICIEMBRE 2022  – CGN2005_001_SALDOS_Y_MOVIMIENTOS DIC 2022 –  CGN 2015 002 RECIPROCAS DIC 2022. 
Por otro lado, los formatos de COVID 19 se derogaron mediante resolución No. 225 del 24 de agosto de 2022 expedida por la Contaduría General de la Nación.
El 20 de noviembre del 2023 se publicó en la página Web de la entidad los siguientes estados financieros:  Estado de situación financiera comparativo Octubre - Septiembre 2023, Estado de Resultado Comparativo Octubre 2023-2022 y Certificación de los estados financieros Octubre 2023</t>
  </si>
  <si>
    <t>No aplica</t>
  </si>
  <si>
    <t xml:space="preserve">Este mes no se reporta avance de este indicador, debido a la periodicidad de su programación. </t>
  </si>
  <si>
    <t>El 18 de enero de 2023, se reportó en la plataforma de la Secretaría Distrital de Hacienda, la información de los artículos 1º y 2º de la Resolución SDH 415 de 2016, correspondiente al informe de estampillas distritales del período comprendido entre el 1 de julio al 31 de diciembre de 2022.
El 20 de abril de 2023, la Secretaria de Hacienda Distrital Oficina de consolidación transmitio en la plataforma Muisca de la Dirección de Impuestos y Aduanas Nacionales - DIAN de la Secretaría Distrital de Hacienda, la información de los de los foramtos 1001 - Información de pagos o abonos en cuenta y de retenciones en la fuente practicadas, Formato 1009: Información del saldo de los pasivos a 31 de diciembre, Formato 2575 Información de donaciones recibidas y certificadas por las entidades no contribuyentes y Formato 2276: Información del certificado de ingresos y retenciones para personas naturales empleados por el año gravable 2022”, en cumplimiento a lo dispuesto en la Resolución 000124 de octubre 28 de 2021 expedida por la Dirección de Impuestos y Aduanas Nacionales.
El 17 de Julio de 2023, se reportó en la plataforma de la Secretaria Distrital de Hacienda, la información de  los artículos 1º y 2º de la Resolución SDH 415 de 2016, correspondiente al informe de estampillas distritales del período comprendido entre el 1 de enero al 30 de junio de 2023.
El 18 de Julio de 2023 se reporte en la plataforma de la Secrearia Distrital de Hacienda, la información de los articulo 2 y 4 de la exogena distrital vigencia 2022 RESOLUCIÓN DDI-015564 DE 2023</t>
  </si>
  <si>
    <t>Durante el mes de DICIEMBRE, se atendieron todas las solicitudes de certificados presupuestales recibidas expidiendo lo que se relaciona a continuación:
-   140 Certificados de Disponibilidad Presupuestal -CDP
-   323 Certificados de Registro Presupuestal - CRP</t>
  </si>
  <si>
    <t>Entre el período comprendido entre los meses de enero a 31 de diciembre de 2023, las expediciones acumuladas, son las siguientes: 
- 1.877  Certificados  de Disponibilidad Presupuestal . CDP
- 2.054  Certificados de Registro Presupuestal - CRP</t>
  </si>
  <si>
    <t>Durante el mes de DICIEMBRE, se publica en la página web de la entidad (mes vencido) la ejecución presupuestal. En el mes de DICIEMBRE se publicó la información relativa al mes de  NOVIEMBRE 2023.</t>
  </si>
  <si>
    <t>Mensualmente se publica en la página web de la entidad la ejecución presupuestal del mes inmediatamente anterior. Este año se han realizado las respectivas publicaciones  en los meses de enero, febrero, marzo, abril, mayo, junio, julio ,agosto, septiembre, octubre,  noviembre y diciembre</t>
  </si>
  <si>
    <t>El acumulado para el mes de agosto de 2023 es el siguiente:
- 1 Informe de seguimiento del IV trimestre de la vigencia 2022, presentado en el mes de enero a la OCI.
- 1 Informe consolidado Anual de Austeridad Presentado al Consejo de Bogotá en el mes de Febrero de 2023.
- 1 informe trimestral de seguimiento a las medidas de austeridad para el primer trimestre de la vigencia 2023.
- 1 Informe trimestral de seguimiento a las medidas de austeridad para el segundo trimestre de la vigencia 2023.
-1 Iforme Semestral denominado "Informe de Austeridad del Gasto de la vigencia 1 enero a 30 junio de 2023".
Para el mes de agosto de 2023, se elaboró, el Informe de Austeridad en el Gasto del I semestre 2023; El cual se envió al Concejo de Bogotá con RAD No. 1-2023-0013800 DEL 30-08-2023; en cumplimiento a lo establecido en el Articulo 30del Decreto 492 del 2019 de la Alcaldía de Bogotá. Así mismo se envió copia del informe a la Secretaría Distrital de Hacienda.
1 informe trimestral de seguimiento a las medidas de austeridad para el tercer trimestre de la vigencia 2023.
Adicionalmente se elaboro el Informe consolidado de Austeridad del 1de enero al 30 de  septiembre de 2023, que se envío a la Secretaría Distrital de Hacienda.
Para el mes de octubre se reporta el avance del presente indicador: 
En el mes de octubre de 2023, se elaboró y presento el informe de respuesta al memorando de solicitud de OCI con radicado No. 3-2023-004352 del 02-10-2023 -Solicitud de Información - Medidas de Austeridad en el Gasto Público III Trimestre de 2023. El Informe presentado a la Oficina de Control Interno, se radico desde la Dirección Administrativa y Financiera con radicado memorando No. 3-2023-004537 Fecha: 17-10-2023, así mismo se envió mediante correo electrónico.
Así mismo se envió informe consolidado de austeridad en el gasto del período 1 de enero al 30 de septiembre de 2023, a la OAP para ser remitido a la Secretaría Distrital de Hacienda.</t>
  </si>
  <si>
    <t>Se elaboraron  y actualizaron los siguientes documentos: 
1. " Esquema de Publicación de la Información actualizado"
2. Resolución 0357 del 31 de agosto de 2023, “Por medio de la cual se actualiza el Esquema de Publicación de la Información de la Secretaría Distrital de la Mujer, y se dictan otras disposiciones.”
Así mismo se publicaron en pagina web , botón de transaparencia y acceso a la información; dichos documentos.
Se solicitó a todas las áreas que reportan información en el Botón de Transparencia, la revisión y actualización del documento denominado “Esquema de Publicación de la información”, en el formato EXCEL con el código CD-FO-43; se procedió a su actualización acorde con la retroalimentación de las áreas.
Se tramitó y actualizó la Resolución No. 0357 del 31 agosto 2023 “Por medio de la cual se actualiza el Esquema de Publicación de la Información de la Secretaría Distrital de la Mujer, y se dictan otras disposiciones.” ; la cual deroga la Resolución No. 306 del 31 de agosto del 2022.
Se actualiza el presente formato y se publica en página WEB de la Entidad, BOTON DE TRANSPARENCIA Y ACCESO A LA INFORMACIÓN, numeral 7: el "Esquema de Publicación del Información" y la Resolución No. 357 de agosto 31 de 2023. Posteriormente se solicitó la publicación del "esquema de Publicación de la información en la Página WEB de la Entidad y en Datos Abiertos.</t>
  </si>
  <si>
    <t>Se gestionó (seguimiento, trazabilidad y asignaciòn) del 100% de las mesas de ayuda del mes de Diciembre, cuyo total fue de 144 requerimientos, distribuidos de la siguiente manera:
- Almacén recibió y gestionó 85 solicitudes.
- Mantenimiento recibió y gestionó 59 solicitudes.</t>
  </si>
  <si>
    <r>
      <rPr>
        <sz val="11"/>
        <color indexed="8"/>
        <rFont val="Times New Roman"/>
        <family val="0"/>
      </rPr>
      <t xml:space="preserve">El avance acumulado del  seguimiento, trazabilidad y asignación de las mesas de ayuda, en el aplicativo Mesa de Ayuda es el siguiente:
- Enero: 43 requerimientos recibidos
- Febrero: 157 requerimientos recibidos
- Marzo: 146 requerimientos recibidos
- Abril: 104 requerimientos recibidos 
- Mayo: 144 requierimientos recibidos
- Junio: 111 requerimientos recibidos 
- Julio: 126 requerimientos recibidos 
- Agosto: 125 requerimientos recibidos 
- Septiembre: 122 requerimientos recibidos 
- Octubre: 157 requerimientos recibidos 
- Noviembre: 157 requerimientos recibidos 
- Diciembre: 144 requerimientos recibidos 
El  total  acumulado es de 1.536 solicitudes recibidas y gestionadas al 100%, de las cuales  </t>
    </r>
    <r>
      <rPr>
        <b/>
        <sz val="11"/>
        <color indexed="8"/>
        <rFont val="Times New Roman"/>
        <family val="0"/>
      </rPr>
      <t>el  almacen recibio y gestionó 771 y Mantenimiento gestionó 765</t>
    </r>
    <r>
      <rPr>
        <sz val="11"/>
        <color indexed="8"/>
        <rFont val="Times New Roman"/>
        <family val="0"/>
      </rPr>
      <t>. Cumpliendo con lo propuesto y dando respuesta oportuna a los requerimientos.</t>
    </r>
  </si>
  <si>
    <t>Las mesas de ayuda cerradas, correspondientes al mes de noviembre (mes vencido) fueron de 1.260 mesas de 1.392 solicitadas, lo cual representa un 91% de la meta propuesta mes vencido.</t>
  </si>
  <si>
    <t xml:space="preserve">El avance acumulado del  seguimiento, trazabilidad y asignación de las mesas de ayuda, en el aplicativo Mesa de Ayuda es el siguiente:
- Enero: 43 requerimientos recibidos - 47%
- Febrero: 157 requerimientos recibidos - 79%
- Marzo: 146 requerimientos recibidos - 92%
- Abril: 104 requerimientos recibidos - 91%
- Mayo: 144 requerimientos recibidos - 92%
- Junio: 111 requerimientos recibidos - 89%
- Julio: 126 requerimientos recibidos - 89%
- Agosto: 125 requerimientos recibidos - 93%
- Septiembre: 122 requerimientos recibidos - 92%
- Octubre: 157 requerimientos recibidos - 92%
- Noviembre: 157 requerimientos recibidos - 91%
- Diciembre: 144 requerimientos recibidos - 91%
En total se cerraron un total acumulado de 1.260 mesas de ayuda al corte de mes de noviembre. </t>
  </si>
  <si>
    <t>La toma física de inventarios culminó el 31 de octubre de 2023 de acuerdo a cronograma y como resultado se encuentra en tramite de firmas la resolución de baja 2023.</t>
  </si>
  <si>
    <t>En la vigencia 2023 se realizó toma física total en 20 casas de igualdad, 18 centros de inclusión digital, 15 casa de justicia, 3 Uri, capiv, caivas, casa de todas, archivo central, 18 dependencias que se encuentran en nivel central, 19 manzanas del cuidado, 9 hospitales, casa refugio, equipos de duplas, equipos de estrategia de agentes químicos y bodega. 
Como resultado de la toma física realizada en la vigencia 2023, se presentaron 2.626 novedades, las cuales están detalladas por cada sede en el formato GA-FO-48 – Reporte Novedades Toma Física de Bienes. 
De las novedades que quedaron en estado pendiente son equipos y periféricos que se encuentran en servicio con las siguientes observaciones:
* Diademas en malas condiciones
* Manchas en las pantallas de los equipos
* Equipos que no prenden sin estar conectados al cargador
* Impresoras con tapas caídas o sueltas
Se realizó de la resolución de baja para la vigencia 2023 y fue aprobada en la sesión 14 del comité de MIPG.</t>
  </si>
  <si>
    <t>Para el mes de diciembre no se reporta avance de acuerdo a la programaciòn, ya se cumplio al 100%</t>
  </si>
  <si>
    <t>Mesas de ayuda Administrativa: Para el mes de diciembre de 2023, se recibieron por mesa de ayuda 144 solicitudes, de las cuales 59 de ellas corresponden  a requerimientos de mantenimiento locativo, equivale al 41% , para el área de almacen se registraton 85 solicitudes equivalentes al 59%. 
Del total de los requerimientos se gestionaron el 100% dando una primera respuesta y seguimiento de los casos. Dentro del mes se cerraron 70 mesas de ayudas equivalentes a un 49% teniendo en cuenta las diferentes variables que se presentan para dar pronta solucion a los requerimientos.</t>
  </si>
  <si>
    <t>Solicitudes de CDP y CRP: 
Durante el mes de diciembre, se atendieron todas las solicitudes de certificados presupuestales recibidas expidiendo lo que se relaciona a continuación:
- 140 Certificados de Disponibilidad Presupuestal -CDP
- 323 Certificados de Registro Presupuestal - CRP
Entre el período comprendido entre los meses de enero a 31 de diciembre de 2023, las expediciones acumuladas, son las siguientes: 
- 1.877  Certificados  de Disponibilidad Presupuestal . CDP
- 2.054  Certificados de Registro Presupuestal - CRP
Lo anterior refleja un avance en la ejecución presupuestal del 98,42% y de giros de 89,38% con corte al 31 de diciembre.
El 20 de noviembre del 2023 se publicó en la página Web de la entidad los siguientes estados financieros:  Estado de situación financiera comparativo Octubre - Septiembre 2023, Estado de Resultado Comparativo Octubre 2023-2022 y Certificación de los estados financieros Octubre 2023</t>
  </si>
  <si>
    <t>Para este mes se suscribieron un total de un (01) contrato por modalidad de contratación directa con proveedor exclusivo,  un (1) contrato por madalidad de Selección Abreviada-Adhesión Acuerdo Marco de Precios y cuatro (4) contratos por Modalidad de Mínima cuantía. 
Por lo que se evanzo en un 8% en la contratación y un 100% en modificaciones.</t>
  </si>
  <si>
    <t>Con corte al 31 de diciembre de la vigencia 2023, se realizó la actualización de cuatro documentos: GD-PR-5 - PRODUCCION, GESTION Y TRAMITE DE COMUNICACIONES - V1, GD-PR-6 - TRANSFERENCIAS DOCUMENTALES PRIMARIAS - V2, GD-IN-6 - TABLAS DE CONTROL DE ACCESO - V3, GD-GU-4 - LIMPIEZA LOCATIVA DE ESPACIOS, MOBILIARIO Y UNIDADES DE ALMACENAMIENTO DOCUMENTAL - V3. Por otro lado, se realizaron 3 sensibilizaciones a las 17 dependencias de la SDMujer con tema referente a Instrumentos Archivísticos y se realizó visita de seguimiento a la Dirección de Enfoque Diferencial - Estrategía Casa de Todas con la finalidad de identificar el proceso de organización documental y la implementación del instrumento Archivístico Tabla de Retención Documental, cumpliendo con la meta propuesta para el reporte al mes y dando cumplimiento a la ejecución del 100% de la meta propuesta para el cuatrienio (2020-2024) frente a la implementación de la politica de Gestión Documental institucional</t>
  </si>
  <si>
    <t xml:space="preserve">Del mes de enero al mes de diciembre, se transfirieron un total de 56,75 metros lineales, dando cumplimiento con la ejecución al 100% de la meta propuesta para el cuatrienio (2020-2024) frente a la implementación de la politica de Gestión Documental institucional.
   </t>
  </si>
  <si>
    <t xml:space="preserve">Con corte al 31 de diciembre de la vigencia 2023, se realizó organización documental (clasificación, ordenación, foliación y rótulación) de 73 cajas equivalentes a 18,25  metros lineales de la Dirección de Contratación, Vigencias 2015  a 2017 - Archivo Central y 6 cajas equivañentes a 1,5 metros lineales de la Dirección de Contratación, Vigencia 2021 y 2023 Edificio Elemento,  para un total de 79 cajas equivalentes a 19,75 metros lineales.  Del mes de enero al mes de diciembre, se tienen un total de 163 metros lineales de los 150 proyectados, cumpliendo con la meta propuesta para el reporte al mes y dando cumplimiento con la ejecución al 100% de la meta propuesta para el cuatrienio (2020-2024) frente a la implementación de la politica de Gestión Documental institucional. </t>
  </si>
  <si>
    <t>En el marco del seguimiento al cumplimiento de la Política de Gestión Documental en la entidad desde el Proceso de Gestión Documental, se dió cumplimiento al 100% del cronograma de trabajo establecido para la vigencia frente a la gestión de transferencia documental, organización documental, Sistema Integrado de COnservación - SIC y mesa de ayuda, según cronograma aprobado en sesión No. 1 del Comité Institucional de Gestión y Desempeño.</t>
  </si>
  <si>
    <t xml:space="preserve">Con corte al 31 de diciembre de la vigencia 2023, se realizó organización documental (clasificación, ordenación, foliación y rótulación) de 73 cajas equivalentes a 18,25  metros lineales de la Dirección de Contratación, Vigencias 2015  a 2017 - Archivo Central y 6 cajas equivañentes a 1,5 metros lineales de la Dirección de Contratación, Vigencia 2021 y 2023 Edificio Elemento,  para un total de 79 cajas equivalentes a 19,75 metros lineales. 
Del mes de enero al mes de diciembre, se transfirieron un total de 56,75 metros lineales, dando cumplimiento con la ejecución al 100% de la meta propuesta para el cuatrienio (2020-2024) frente a la implementación de la politica de Gestión Documental institucional.
Asimismo, se realizó la actualización de cuatro documentos: GD-PR-5 - PRODUCCION, GESTION Y TRAMITE DE COMUNICACIONES - V1, GD-PR-6 - TRANSFERENCIAS DOCUMENTALES PRIMARIAS - V2, GD-IN-6 - TABLAS DE CONTROL DE ACCESO - V3, GD-GU-4 - LIMPIEZA LOCATIVA DE ESPACIOS, MOBILIARIO Y UNIDADES DE ALMACENAMIENTO DOCUMENTAL - V3. Por otro lado, se realizaron 3 sensibilizaciones a las 17 dependencias de la SDMujer con tema referente a Instrumentos Archivísticos y se realizó visita de seguimiento a la Dirección de Enfoque Diferencial - Estrategía Casa de Todas con la finalidad de identificar el proceso de organización documental y la implementación del instrumento Archivístico Tabla de Retención Documental, cumpliendo con la meta propuesta para el reporte al mes y dando cumplimiento a la ejecución del 100% de la meta propuesta para el cuatrienio (2020-2024) frente a la implementación de la politica de Gestión Documental institucional.
Como parte de la implementación del Sistema Integrado de Conservación- SIC, se realizó sensibilización sobre lineamientos técnicos a tener en cuenta ante una emergencia documental, así mismo, se realizó informe correspondiente a las mediciones de condiciones ambientales (humedad relativa y temperatura) del Archivo Central, Archivo Talento Humano, Archivo de gestión centralizado y se actualizó el documento GD-GU-4 Guía de limpieza y desinfección de espacios, mobiliario y unidades de almacenamiento documental, dando cumplimiento con la ejecución al 100% de la meta propuesta para el cuatrienio (2020-2024) frente a la implementación de la política de Gestión Documental institucional.        
Con corte al 31 de diciembre de la vigencia 2023, se solicitó bajo memorando 3-2023-004853 a la Oficina Asesora de Planeación, aplicar las acciones para la migración del sistema de desarrollo a producción, donde se relacionaron los avances y aspectos realizados con la finalidad de mejorar la seguridad y eficiencia del sistema.  Así mismo, se atendieron 100 mesas de ayuda, dando cumplimiento a las actividades contempladas en el Plan de Preservación Digital a Largo Plazo, dando cumplimiento con la ejecución al 100% de la meta propuesta para el cuatrienio (2020-2024) frente a la implementación de la politica de Gestión Documental institucional. </t>
  </si>
  <si>
    <r>
      <t xml:space="preserve">Para dar cumplimiento a los objetivos del proyecto de inversión 7662, y poder brindar el soporte transversal necesario para la óptima ejecución de los recursos, la Secretaía Distrital de la Mujer, en aras de cumplir con su misional, presentan los siguientes avances de las 3 buenas prácticas durante la vigencia: 
Fortalecimiento tecnológico:
Se adelantaron los támites precontractuales y contractuales de los procesos proyectados de acuerdo a la programación del plan anual de adquisiciones. Se realizan reuniones de validación y compromisos de todos los procesos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Fortalecimiento MIPG:
Se han realizado actividades para avanzar en la implementación de las políticas de gestión y desempeño, que han permitido a la Entidad la mejora continua, pasando del 75.5 al 98.1 en los resultados del Índice de Desempeño Institución -IDI.
Fortalecimiento Institucional:
Gestión efectiva de solicitudes y trámites de contratación de Prestación de Servicios Profesionales y de Apoyo a la gestión. </t>
    </r>
    <r>
      <rPr>
        <sz val="11"/>
        <color indexed="8"/>
        <rFont val="Times New Roman"/>
        <family val="1"/>
      </rPr>
      <t>La atención a los diferentes requerimientos y rendiciones de cuentas por parte de la Entidad tanto a los órganos de control y al Concejo de Bogotá,  evidencian no solo el acatamiento de los mismo por la Entidad sino la transparencia en sus actuaciones.</t>
    </r>
    <r>
      <rPr>
        <b/>
        <sz val="11"/>
        <color indexed="8"/>
        <rFont val="Times New Roman"/>
        <family val="1"/>
      </rPr>
      <t xml:space="preserve"> </t>
    </r>
    <r>
      <rPr>
        <sz val="11"/>
        <color indexed="8"/>
        <rFont val="Times New Roman"/>
        <family val="1"/>
      </rPr>
      <t>Avance en la ejecución presupuestal en inversión del 98.15%, giros del 80.23%. y funcionamiento 91.39% y giros de 88.09%</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</si>
</sst>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 numFmtId="217" formatCode="_-* #,##0.000\ _€_-;\-* #,##0.000\ _€_-;_-* &quot;-&quot;??\ _€_-;_-@_-"/>
    <numFmt numFmtId="218" formatCode="_-* #,##0.0000\ _€_-;\-* #,##0.0000\ _€_-;_-* &quot;-&quot;??\ _€_-;_-@_-"/>
    <numFmt numFmtId="219" formatCode="_-* #,##0.00000\ _€_-;\-* #,##0.00000\ _€_-;_-* &quot;-&quot;??\ _€_-;_-@_-"/>
    <numFmt numFmtId="220" formatCode="0.000000%"/>
    <numFmt numFmtId="221" formatCode="0.0000000%"/>
  </numFmts>
  <fonts count="107">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b/>
      <sz val="9"/>
      <name val="Tahoma"/>
      <family val="2"/>
    </font>
    <font>
      <sz val="9"/>
      <name val="Tahoma"/>
      <family val="2"/>
    </font>
    <font>
      <b/>
      <sz val="14"/>
      <name val="Tahoma"/>
      <family val="2"/>
    </font>
    <font>
      <sz val="14"/>
      <name val="Tahoma"/>
      <family val="2"/>
    </font>
    <font>
      <b/>
      <sz val="12"/>
      <color indexed="8"/>
      <name val="Calibri"/>
      <family val="2"/>
    </font>
    <font>
      <sz val="12"/>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b/>
      <sz val="8"/>
      <color indexed="49"/>
      <name val="Verdana"/>
      <family val="2"/>
    </font>
    <font>
      <sz val="9"/>
      <color indexed="8"/>
      <name val="Calibri"/>
      <family val="2"/>
    </font>
    <font>
      <sz val="12"/>
      <color indexed="8"/>
      <name val="Times New Roman"/>
      <family val="1"/>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b/>
      <sz val="8"/>
      <color rgb="FF4189AB"/>
      <name val="Verdana"/>
      <family val="2"/>
    </font>
    <font>
      <sz val="11"/>
      <color rgb="FF000000"/>
      <name val="Calibri"/>
      <family val="2"/>
    </font>
    <font>
      <sz val="9"/>
      <color rgb="FF000000"/>
      <name val="Calibri"/>
      <family val="2"/>
    </font>
    <font>
      <sz val="12"/>
      <color theme="1"/>
      <name val="Times New Roman"/>
      <family val="1"/>
    </font>
    <font>
      <sz val="12"/>
      <color rgb="FF000000"/>
      <name val="Calibri"/>
      <family val="2"/>
    </font>
    <font>
      <b/>
      <sz val="12"/>
      <color theme="1"/>
      <name val="Times New Roman"/>
      <family val="1"/>
    </font>
    <font>
      <b/>
      <sz val="18"/>
      <color theme="0" tint="-0.3499799966812134"/>
      <name val="Calibri"/>
      <family val="2"/>
    </font>
    <font>
      <b/>
      <sz val="11"/>
      <color theme="0" tint="-0.3499799966812134"/>
      <name val="Times New Roman"/>
      <family val="1"/>
    </font>
    <font>
      <sz val="12"/>
      <color rgb="FF000000"/>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7030A0"/>
        <bgColor indexed="64"/>
      </patternFill>
    </fill>
  </fills>
  <borders count="9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style="medium"/>
      <bottom>
        <color indexed="63"/>
      </bottom>
    </border>
    <border>
      <left style="thin">
        <color rgb="FF000000"/>
      </left>
      <right>
        <color indexed="63"/>
      </right>
      <top style="thin"/>
      <bottom>
        <color indexed="63"/>
      </bottom>
    </border>
    <border>
      <left style="thin">
        <color rgb="FF000000"/>
      </left>
      <right>
        <color indexed="63"/>
      </right>
      <top>
        <color indexed="63"/>
      </top>
      <bottom style="medium"/>
    </border>
    <border>
      <left/>
      <right style="medium">
        <color rgb="FF000000"/>
      </right>
      <top style="thin"/>
      <bottom/>
    </border>
    <border>
      <left style="thin"/>
      <right/>
      <top/>
      <bottom style="thin">
        <color rgb="FF000000"/>
      </bottom>
    </border>
    <border>
      <left/>
      <right/>
      <top/>
      <bottom style="thin">
        <color rgb="FF000000"/>
      </bottom>
    </border>
    <border>
      <left/>
      <right style="medium">
        <color rgb="FF000000"/>
      </right>
      <top/>
      <bottom style="thin">
        <color rgb="FF000000"/>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9" fontId="65"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6" fillId="21" borderId="0" applyNumberFormat="0" applyBorder="0" applyAlignment="0" applyProtection="0"/>
    <xf numFmtId="0" fontId="67" fillId="22" borderId="4" applyNumberFormat="0" applyAlignment="0" applyProtection="0"/>
    <xf numFmtId="0" fontId="68" fillId="23" borderId="5" applyNumberFormat="0" applyAlignment="0" applyProtection="0"/>
    <xf numFmtId="0" fontId="69" fillId="0" borderId="6" applyNumberFormat="0" applyFill="0" applyAlignment="0" applyProtection="0"/>
    <xf numFmtId="0" fontId="70" fillId="0" borderId="7" applyNumberFormat="0" applyFill="0" applyAlignment="0" applyProtection="0"/>
    <xf numFmtId="0" fontId="71" fillId="24" borderId="0" applyNumberFormat="0" applyProtection="0">
      <alignment horizontal="left" wrapText="1" indent="4"/>
    </xf>
    <xf numFmtId="0" fontId="72" fillId="24" borderId="0" applyNumberFormat="0" applyProtection="0">
      <alignment horizontal="left" wrapText="1" indent="4"/>
    </xf>
    <xf numFmtId="0" fontId="73" fillId="0" borderId="0" applyNumberFormat="0" applyFill="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8" fillId="30" borderId="0" applyNumberFormat="0" applyBorder="0" applyAlignment="0" applyProtection="0"/>
    <xf numFmtId="0" fontId="74" fillId="31" borderId="4" applyNumberFormat="0" applyAlignment="0" applyProtection="0"/>
    <xf numFmtId="16" fontId="40" fillId="0" borderId="0" applyFont="0" applyFill="0" applyBorder="0" applyAlignment="0">
      <protection/>
    </xf>
    <xf numFmtId="0" fontId="75" fillId="32" borderId="0" applyNumberFormat="0" applyBorder="0" applyProtection="0">
      <alignment horizontal="center" vertical="center"/>
    </xf>
    <xf numFmtId="0" fontId="76" fillId="0" borderId="0" applyNumberFormat="0" applyFill="0" applyBorder="0" applyAlignment="0" applyProtection="0"/>
    <xf numFmtId="0" fontId="77" fillId="0" borderId="0" applyNumberFormat="0" applyFill="0" applyBorder="0" applyAlignment="0" applyProtection="0"/>
    <xf numFmtId="0" fontId="78"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9" fillId="34" borderId="0" applyNumberFormat="0" applyBorder="0" applyAlignment="0" applyProtection="0"/>
    <xf numFmtId="0" fontId="80"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1" fillId="22" borderId="9" applyNumberFormat="0" applyAlignment="0" applyProtection="0"/>
    <xf numFmtId="0" fontId="82" fillId="0" borderId="0" applyNumberFormat="0" applyFill="0" applyBorder="0" applyAlignment="0" applyProtection="0"/>
    <xf numFmtId="0" fontId="72" fillId="0" borderId="0" applyFill="0" applyBorder="0">
      <alignment wrapText="1"/>
      <protection/>
    </xf>
    <xf numFmtId="0" fontId="64" fillId="0" borderId="0">
      <alignment/>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73" fillId="0" borderId="11" applyNumberFormat="0" applyFill="0" applyAlignment="0" applyProtection="0"/>
    <xf numFmtId="0" fontId="86" fillId="24" borderId="0" applyNumberFormat="0" applyBorder="0" applyProtection="0">
      <alignment horizontal="left" indent="1"/>
    </xf>
    <xf numFmtId="0" fontId="87" fillId="0" borderId="12" applyNumberFormat="0" applyFill="0" applyAlignment="0" applyProtection="0"/>
  </cellStyleXfs>
  <cellXfs count="1216">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7"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8" fillId="38" borderId="28" xfId="0" applyFont="1" applyFill="1" applyBorder="1" applyAlignment="1">
      <alignment vertical="center"/>
    </xf>
    <xf numFmtId="0" fontId="88" fillId="38" borderId="0" xfId="0" applyFont="1" applyFill="1" applyBorder="1" applyAlignment="1">
      <alignment vertical="center"/>
    </xf>
    <xf numFmtId="0" fontId="88"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89"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7"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87"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8" fillId="0" borderId="0" xfId="0" applyFont="1" applyAlignment="1">
      <alignment vertical="center"/>
    </xf>
    <xf numFmtId="0" fontId="90" fillId="11" borderId="41" xfId="0" applyFont="1" applyFill="1" applyBorder="1" applyAlignment="1">
      <alignment vertical="center"/>
    </xf>
    <xf numFmtId="0" fontId="90" fillId="11" borderId="42" xfId="0" applyFont="1" applyFill="1" applyBorder="1" applyAlignment="1">
      <alignment vertical="center"/>
    </xf>
    <xf numFmtId="0" fontId="90" fillId="11" borderId="0" xfId="0" applyFont="1" applyFill="1" applyBorder="1" applyAlignment="1">
      <alignment vertical="center"/>
    </xf>
    <xf numFmtId="0" fontId="90" fillId="11" borderId="43" xfId="0" applyFont="1" applyFill="1" applyBorder="1" applyAlignment="1">
      <alignment vertical="center"/>
    </xf>
    <xf numFmtId="0" fontId="90" fillId="11" borderId="15" xfId="0" applyFont="1" applyFill="1" applyBorder="1" applyAlignment="1">
      <alignment vertical="center"/>
    </xf>
    <xf numFmtId="0" fontId="90" fillId="11" borderId="44" xfId="0" applyFont="1" applyFill="1" applyBorder="1" applyAlignment="1">
      <alignment vertical="center"/>
    </xf>
    <xf numFmtId="0" fontId="90" fillId="11" borderId="13" xfId="0" applyFont="1" applyFill="1" applyBorder="1" applyAlignment="1">
      <alignment horizontal="center" vertical="center" wrapText="1"/>
    </xf>
    <xf numFmtId="0" fontId="88" fillId="0" borderId="13" xfId="0" applyFont="1" applyBorder="1" applyAlignment="1">
      <alignment horizontal="center" vertical="center"/>
    </xf>
    <xf numFmtId="0" fontId="88" fillId="0" borderId="13" xfId="0" applyFont="1" applyBorder="1" applyAlignment="1">
      <alignment horizontal="center" vertical="center" wrapText="1"/>
    </xf>
    <xf numFmtId="175" fontId="88" fillId="0" borderId="13" xfId="59" applyFont="1" applyBorder="1" applyAlignment="1">
      <alignment horizontal="center" vertical="center" wrapText="1"/>
    </xf>
    <xf numFmtId="0" fontId="88" fillId="0" borderId="13" xfId="0" applyFont="1" applyBorder="1" applyAlignment="1">
      <alignment vertical="center"/>
    </xf>
    <xf numFmtId="0" fontId="88" fillId="0" borderId="13" xfId="79" applyNumberFormat="1" applyFont="1" applyBorder="1" applyAlignment="1">
      <alignment vertical="center"/>
    </xf>
    <xf numFmtId="0" fontId="89" fillId="0" borderId="13" xfId="0" applyFont="1" applyBorder="1" applyAlignment="1">
      <alignment vertical="center" wrapText="1"/>
    </xf>
    <xf numFmtId="9" fontId="88" fillId="0" borderId="13" xfId="79" applyFont="1" applyBorder="1" applyAlignment="1">
      <alignment vertical="center"/>
    </xf>
    <xf numFmtId="0" fontId="88"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xf>
    <xf numFmtId="0" fontId="88" fillId="0" borderId="0" xfId="0" applyFont="1" applyAlignment="1">
      <alignment horizontal="center" vertical="center"/>
    </xf>
    <xf numFmtId="0" fontId="92" fillId="0" borderId="13" xfId="0" applyFont="1" applyBorder="1" applyAlignment="1">
      <alignment vertical="center"/>
    </xf>
    <xf numFmtId="0" fontId="91" fillId="11" borderId="13" xfId="0" applyFont="1" applyFill="1" applyBorder="1" applyAlignment="1">
      <alignment horizontal="left" vertical="center"/>
    </xf>
    <xf numFmtId="0" fontId="88" fillId="0" borderId="13" xfId="0" applyFont="1" applyBorder="1" applyAlignment="1">
      <alignment horizontal="left" vertical="center"/>
    </xf>
    <xf numFmtId="0" fontId="88" fillId="0" borderId="14" xfId="0" applyFont="1" applyFill="1" applyBorder="1" applyAlignment="1">
      <alignment horizontal="left" vertical="center"/>
    </xf>
    <xf numFmtId="0" fontId="88" fillId="0" borderId="13" xfId="0" applyFont="1" applyFill="1" applyBorder="1" applyAlignment="1">
      <alignment horizontal="left" vertical="center"/>
    </xf>
    <xf numFmtId="41" fontId="88" fillId="0" borderId="13" xfId="60" applyFont="1" applyFill="1" applyBorder="1" applyAlignment="1">
      <alignment vertical="center"/>
    </xf>
    <xf numFmtId="0" fontId="92" fillId="0" borderId="0" xfId="0" applyFont="1" applyAlignment="1">
      <alignment vertical="center"/>
    </xf>
    <xf numFmtId="0" fontId="16" fillId="0" borderId="13" xfId="0" applyFont="1" applyBorder="1" applyAlignment="1">
      <alignment horizontal="center" vertical="center" wrapText="1"/>
    </xf>
    <xf numFmtId="0" fontId="90" fillId="0" borderId="0" xfId="0" applyFont="1" applyAlignment="1">
      <alignment horizontal="left" vertical="center"/>
    </xf>
    <xf numFmtId="0" fontId="90" fillId="11" borderId="13" xfId="0" applyFont="1" applyFill="1" applyBorder="1" applyAlignment="1">
      <alignment vertical="center"/>
    </xf>
    <xf numFmtId="41" fontId="88" fillId="0" borderId="14" xfId="60" applyFont="1" applyFill="1" applyBorder="1" applyAlignment="1">
      <alignment vertical="center"/>
    </xf>
    <xf numFmtId="49" fontId="88" fillId="0" borderId="14" xfId="60" applyNumberFormat="1" applyFont="1" applyFill="1" applyBorder="1" applyAlignment="1">
      <alignment vertical="center"/>
    </xf>
    <xf numFmtId="49" fontId="88" fillId="0" borderId="13" xfId="60" applyNumberFormat="1" applyFont="1" applyFill="1" applyBorder="1" applyAlignment="1">
      <alignment vertical="center"/>
    </xf>
    <xf numFmtId="0" fontId="88" fillId="0" borderId="0" xfId="0" applyFont="1" applyAlignment="1">
      <alignment horizontal="left" vertical="center"/>
    </xf>
    <xf numFmtId="0" fontId="88" fillId="0" borderId="0" xfId="0" applyFont="1" applyFill="1" applyAlignment="1">
      <alignment horizontal="left" vertical="center"/>
    </xf>
    <xf numFmtId="0" fontId="90" fillId="17" borderId="13" xfId="0" applyFont="1" applyFill="1" applyBorder="1" applyAlignment="1">
      <alignment horizontal="center" vertical="center"/>
    </xf>
    <xf numFmtId="0" fontId="88" fillId="0" borderId="16"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88" fillId="0" borderId="13" xfId="0" applyFont="1" applyFill="1" applyBorder="1" applyAlignment="1">
      <alignment vertical="center" wrapText="1"/>
    </xf>
    <xf numFmtId="0" fontId="90" fillId="0" borderId="13" xfId="0" applyFont="1" applyFill="1" applyBorder="1" applyAlignment="1">
      <alignment vertical="center" wrapText="1"/>
    </xf>
    <xf numFmtId="0" fontId="88"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90" fillId="0" borderId="22" xfId="0" applyFont="1" applyFill="1" applyBorder="1" applyAlignment="1">
      <alignment horizontal="left" vertical="center" wrapText="1"/>
    </xf>
    <xf numFmtId="0" fontId="88"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4"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2" xfId="72" applyFont="1" applyFill="1" applyBorder="1" applyAlignment="1" applyProtection="1">
      <alignment horizontal="center" vertical="center" wrapText="1"/>
      <protection/>
    </xf>
    <xf numFmtId="0" fontId="93"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4"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4" fillId="0" borderId="13" xfId="79" applyNumberFormat="1" applyFont="1" applyBorder="1" applyAlignment="1">
      <alignment vertical="center"/>
    </xf>
    <xf numFmtId="9" fontId="90" fillId="11" borderId="13" xfId="79" applyFont="1" applyFill="1" applyBorder="1" applyAlignment="1">
      <alignment horizontal="center" vertical="center" wrapText="1"/>
    </xf>
    <xf numFmtId="9" fontId="88" fillId="0" borderId="0" xfId="79" applyFont="1" applyAlignment="1">
      <alignment vertical="center"/>
    </xf>
    <xf numFmtId="0" fontId="90" fillId="17" borderId="13" xfId="0" applyFont="1" applyFill="1" applyBorder="1" applyAlignment="1">
      <alignment horizontal="left" vertical="center"/>
    </xf>
    <xf numFmtId="0" fontId="90" fillId="0" borderId="13" xfId="0" applyFont="1" applyFill="1" applyBorder="1" applyAlignment="1">
      <alignment horizontal="left" vertical="center"/>
    </xf>
    <xf numFmtId="0" fontId="90" fillId="0" borderId="13" xfId="0" applyFont="1" applyFill="1" applyBorder="1" applyAlignment="1">
      <alignment horizontal="left" vertical="center" wrapText="1"/>
    </xf>
    <xf numFmtId="208" fontId="16" fillId="0" borderId="13" xfId="63" applyNumberFormat="1" applyFont="1" applyBorder="1" applyAlignment="1">
      <alignment vertical="center"/>
    </xf>
    <xf numFmtId="208"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2" applyFont="1" applyFill="1" applyBorder="1" applyAlignment="1" applyProtection="1">
      <alignment vertical="center" wrapText="1"/>
      <protection/>
    </xf>
    <xf numFmtId="0" fontId="11" fillId="38" borderId="56" xfId="72" applyFont="1" applyFill="1" applyBorder="1" applyAlignment="1" applyProtection="1">
      <alignment vertical="center" wrapText="1"/>
      <protection/>
    </xf>
    <xf numFmtId="0" fontId="90" fillId="11" borderId="41" xfId="0" applyFont="1" applyFill="1" applyBorder="1" applyAlignment="1">
      <alignment horizontal="center" vertical="center"/>
    </xf>
    <xf numFmtId="0" fontId="90" fillId="11" borderId="15" xfId="0" applyFont="1" applyFill="1" applyBorder="1" applyAlignment="1">
      <alignment horizontal="center" vertical="center"/>
    </xf>
    <xf numFmtId="0" fontId="90"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0"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8" fillId="0" borderId="13" xfId="79" applyFont="1" applyFill="1" applyBorder="1" applyAlignment="1">
      <alignment horizontal="center" vertical="center" wrapText="1"/>
    </xf>
    <xf numFmtId="175" fontId="88" fillId="0" borderId="13" xfId="59" applyFont="1" applyFill="1" applyBorder="1" applyAlignment="1">
      <alignment horizontal="center" vertical="center" wrapText="1"/>
    </xf>
    <xf numFmtId="9" fontId="88"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8" fillId="0" borderId="13" xfId="59" applyFont="1" applyFill="1" applyBorder="1" applyAlignment="1">
      <alignment horizontal="center" vertical="center"/>
    </xf>
    <xf numFmtId="1" fontId="88" fillId="0" borderId="13" xfId="0" applyNumberFormat="1" applyFont="1" applyBorder="1" applyAlignment="1">
      <alignment horizontal="center" vertical="center"/>
    </xf>
    <xf numFmtId="1" fontId="88" fillId="0" borderId="13" xfId="59" applyNumberFormat="1" applyFont="1" applyFill="1" applyBorder="1" applyAlignment="1">
      <alignment horizontal="center" vertical="center"/>
    </xf>
    <xf numFmtId="0" fontId="88" fillId="0" borderId="13" xfId="79" applyNumberFormat="1" applyFont="1" applyFill="1" applyBorder="1" applyAlignment="1">
      <alignment horizontal="center" vertical="center" wrapText="1"/>
    </xf>
    <xf numFmtId="0" fontId="88" fillId="38" borderId="22" xfId="0" applyFont="1" applyFill="1" applyBorder="1" applyAlignment="1">
      <alignment horizontal="center" vertical="center" wrapText="1"/>
    </xf>
    <xf numFmtId="9" fontId="88" fillId="0" borderId="13" xfId="0" applyNumberFormat="1" applyFont="1" applyBorder="1" applyAlignment="1">
      <alignment horizontal="center" vertical="center" wrapText="1"/>
    </xf>
    <xf numFmtId="9" fontId="88" fillId="0" borderId="13" xfId="79" applyFont="1" applyFill="1" applyBorder="1" applyAlignment="1">
      <alignment horizontal="center" vertical="center"/>
    </xf>
    <xf numFmtId="0" fontId="88" fillId="38" borderId="13" xfId="0" applyFont="1" applyFill="1" applyBorder="1" applyAlignment="1">
      <alignment horizontal="center" vertical="center" wrapText="1"/>
    </xf>
    <xf numFmtId="0" fontId="0" fillId="0" borderId="0" xfId="0" applyAlignment="1">
      <alignment vertical="center"/>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38" borderId="23" xfId="72" applyFont="1" applyFill="1" applyBorder="1" applyAlignment="1">
      <alignment vertical="center" wrapText="1"/>
      <protection/>
    </xf>
    <xf numFmtId="0" fontId="11" fillId="38" borderId="24" xfId="72" applyFont="1" applyFill="1" applyBorder="1" applyAlignment="1">
      <alignment vertical="center" wrapText="1"/>
      <protection/>
    </xf>
    <xf numFmtId="0" fontId="11" fillId="38" borderId="25" xfId="72" applyFont="1" applyFill="1" applyBorder="1" applyAlignment="1">
      <alignment vertical="center" wrapText="1"/>
      <protection/>
    </xf>
    <xf numFmtId="0" fontId="11" fillId="38" borderId="0" xfId="72" applyFont="1" applyFill="1" applyAlignment="1">
      <alignment vertical="center" wrapText="1"/>
      <protection/>
    </xf>
    <xf numFmtId="0" fontId="13" fillId="38" borderId="0" xfId="72" applyFont="1" applyFill="1" applyAlignment="1">
      <alignment vertical="center" wrapText="1"/>
      <protection/>
    </xf>
    <xf numFmtId="0" fontId="11" fillId="38" borderId="26" xfId="72" applyFont="1" applyFill="1" applyBorder="1" applyAlignment="1">
      <alignment vertical="center" wrapText="1"/>
      <protection/>
    </xf>
    <xf numFmtId="0" fontId="10" fillId="38" borderId="26" xfId="72" applyFont="1" applyFill="1" applyBorder="1" applyAlignment="1">
      <alignment vertical="center" wrapText="1"/>
      <protection/>
    </xf>
    <xf numFmtId="0" fontId="10" fillId="38" borderId="27" xfId="72" applyFont="1" applyFill="1" applyBorder="1" applyAlignment="1">
      <alignment vertical="center" wrapText="1"/>
      <protection/>
    </xf>
    <xf numFmtId="0" fontId="11"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0" fillId="38" borderId="29" xfId="72" applyFont="1" applyFill="1" applyBorder="1" applyAlignment="1">
      <alignment vertical="center" wrapText="1"/>
      <protection/>
    </xf>
    <xf numFmtId="0" fontId="11" fillId="0" borderId="28" xfId="72" applyFont="1" applyBorder="1" applyAlignment="1">
      <alignment vertical="center" wrapText="1"/>
      <protection/>
    </xf>
    <xf numFmtId="0" fontId="11" fillId="0" borderId="0" xfId="72" applyFont="1" applyAlignment="1">
      <alignment vertical="center" wrapText="1"/>
      <protection/>
    </xf>
    <xf numFmtId="0" fontId="93" fillId="0" borderId="0" xfId="0" applyFont="1" applyAlignment="1">
      <alignment horizontal="center" vertical="center"/>
    </xf>
    <xf numFmtId="0" fontId="87" fillId="0" borderId="0" xfId="0" applyFont="1" applyAlignment="1">
      <alignment horizontal="center" vertical="center" wrapText="1"/>
    </xf>
    <xf numFmtId="0" fontId="0" fillId="0" borderId="0" xfId="0" applyAlignment="1">
      <alignment horizontal="center" vertical="center"/>
    </xf>
    <xf numFmtId="0" fontId="13" fillId="0" borderId="0" xfId="72" applyFont="1" applyAlignment="1">
      <alignment vertical="center" wrapText="1"/>
      <protection/>
    </xf>
    <xf numFmtId="0" fontId="10" fillId="0" borderId="0" xfId="72" applyFont="1" applyAlignment="1">
      <alignment vertical="center" wrapText="1"/>
      <protection/>
    </xf>
    <xf numFmtId="0" fontId="10" fillId="0" borderId="29" xfId="72" applyFont="1" applyBorder="1" applyAlignment="1">
      <alignment vertical="center" wrapText="1"/>
      <protection/>
    </xf>
    <xf numFmtId="0" fontId="14" fillId="38" borderId="0" xfId="72" applyFont="1" applyFill="1" applyAlignment="1">
      <alignment horizontal="center" vertical="center" wrapText="1"/>
      <protection/>
    </xf>
    <xf numFmtId="0" fontId="11" fillId="38" borderId="0" xfId="72" applyFont="1" applyFill="1" applyAlignment="1">
      <alignment horizontal="center" vertical="center" wrapText="1"/>
      <protection/>
    </xf>
    <xf numFmtId="0" fontId="14" fillId="0" borderId="0" xfId="72" applyFont="1" applyAlignment="1">
      <alignment horizontal="center" vertical="center" wrapText="1"/>
      <protection/>
    </xf>
    <xf numFmtId="0" fontId="10" fillId="38" borderId="34" xfId="72" applyFont="1" applyFill="1" applyBorder="1" applyAlignment="1">
      <alignment vertical="center" wrapText="1"/>
      <protection/>
    </xf>
    <xf numFmtId="0" fontId="10" fillId="38" borderId="35" xfId="72" applyFont="1" applyFill="1" applyBorder="1" applyAlignment="1">
      <alignment vertical="center" wrapText="1"/>
      <protection/>
    </xf>
    <xf numFmtId="0" fontId="15" fillId="39" borderId="0" xfId="72" applyFont="1" applyFill="1" applyAlignment="1">
      <alignment vertical="center" wrapText="1"/>
      <protection/>
    </xf>
    <xf numFmtId="0" fontId="88" fillId="38" borderId="0" xfId="0" applyFont="1" applyFill="1" applyAlignment="1">
      <alignment vertical="center"/>
    </xf>
    <xf numFmtId="192" fontId="0" fillId="0" borderId="0" xfId="0" applyNumberFormat="1" applyAlignment="1">
      <alignment vertical="center"/>
    </xf>
    <xf numFmtId="0" fontId="10" fillId="38" borderId="28" xfId="72" applyFont="1" applyFill="1" applyBorder="1" applyAlignment="1">
      <alignment vertical="center" wrapText="1"/>
      <protection/>
    </xf>
    <xf numFmtId="0" fontId="11" fillId="5" borderId="46" xfId="72" applyFont="1" applyFill="1" applyBorder="1" applyAlignment="1">
      <alignment horizontal="center" vertical="center" wrapText="1"/>
      <protection/>
    </xf>
    <xf numFmtId="0" fontId="11" fillId="5" borderId="47" xfId="72" applyFont="1" applyFill="1" applyBorder="1" applyAlignment="1">
      <alignment horizontal="center" vertical="center" wrapText="1"/>
      <protection/>
    </xf>
    <xf numFmtId="0" fontId="11" fillId="5" borderId="48" xfId="72" applyFont="1" applyFill="1" applyBorder="1" applyAlignment="1">
      <alignment horizontal="center" vertical="center" wrapText="1"/>
      <protection/>
    </xf>
    <xf numFmtId="0" fontId="11" fillId="38" borderId="0" xfId="72" applyFont="1" applyFill="1" applyAlignment="1">
      <alignment horizontal="left" vertical="center" wrapText="1"/>
      <protection/>
    </xf>
    <xf numFmtId="0" fontId="11" fillId="5" borderId="13" xfId="72" applyFont="1" applyFill="1" applyBorder="1" applyAlignment="1">
      <alignment horizontal="center" vertical="center" wrapText="1"/>
      <protection/>
    </xf>
    <xf numFmtId="0" fontId="11" fillId="0" borderId="37" xfId="72" applyFont="1" applyBorder="1" applyAlignment="1">
      <alignment horizontal="left" vertical="center" wrapText="1"/>
      <protection/>
    </xf>
    <xf numFmtId="0" fontId="11" fillId="0" borderId="22" xfId="72" applyFont="1" applyBorder="1" applyAlignment="1">
      <alignment horizontal="center" vertical="center" wrapText="1"/>
      <protection/>
    </xf>
    <xf numFmtId="0" fontId="11" fillId="0" borderId="16" xfId="72" applyFont="1" applyBorder="1" applyAlignment="1">
      <alignment horizontal="left" vertical="center" wrapText="1"/>
      <protection/>
    </xf>
    <xf numFmtId="0" fontId="11" fillId="11" borderId="38" xfId="72" applyFont="1" applyFill="1" applyBorder="1" applyAlignment="1">
      <alignment horizontal="left" vertical="center" wrapText="1"/>
      <protection/>
    </xf>
    <xf numFmtId="9" fontId="11" fillId="0" borderId="39" xfId="72" applyNumberFormat="1" applyFont="1" applyBorder="1" applyAlignment="1">
      <alignment horizontal="center" vertical="center" wrapText="1"/>
      <protection/>
    </xf>
    <xf numFmtId="9" fontId="11" fillId="0" borderId="0" xfId="72" applyNumberFormat="1" applyFont="1" applyAlignment="1">
      <alignment vertical="center" wrapText="1"/>
      <protection/>
    </xf>
    <xf numFmtId="0" fontId="11" fillId="11" borderId="13" xfId="72" applyFont="1" applyFill="1" applyBorder="1" applyAlignment="1">
      <alignment horizontal="left" vertical="center" wrapText="1"/>
      <protection/>
    </xf>
    <xf numFmtId="9" fontId="11" fillId="0" borderId="14" xfId="72" applyNumberFormat="1" applyFont="1" applyBorder="1" applyAlignment="1">
      <alignment horizontal="center" vertical="center" wrapText="1"/>
      <protection/>
    </xf>
    <xf numFmtId="0" fontId="11" fillId="0" borderId="13" xfId="72" applyFont="1" applyBorder="1" applyAlignment="1">
      <alignment horizontal="left" vertical="center" wrapText="1"/>
      <protection/>
    </xf>
    <xf numFmtId="9" fontId="11" fillId="0" borderId="40" xfId="72" applyNumberFormat="1" applyFont="1" applyBorder="1" applyAlignment="1">
      <alignment horizontal="center" vertical="center" wrapText="1"/>
      <protection/>
    </xf>
    <xf numFmtId="0" fontId="90" fillId="11" borderId="13" xfId="0" applyFont="1" applyFill="1" applyBorder="1" applyAlignment="1">
      <alignment horizontal="center" vertical="center" wrapText="1"/>
    </xf>
    <xf numFmtId="9" fontId="88" fillId="0" borderId="13" xfId="79" applyFont="1" applyBorder="1" applyAlignment="1">
      <alignment horizontal="center" vertical="center" wrapText="1"/>
    </xf>
    <xf numFmtId="0" fontId="95" fillId="0" borderId="13" xfId="0" applyFont="1" applyBorder="1" applyAlignment="1">
      <alignment horizontal="center" vertical="center" wrapText="1"/>
    </xf>
    <xf numFmtId="9" fontId="90" fillId="11" borderId="41" xfId="79" applyFont="1" applyFill="1" applyBorder="1" applyAlignment="1">
      <alignment horizontal="center" vertical="center"/>
    </xf>
    <xf numFmtId="9" fontId="90" fillId="11" borderId="42" xfId="79" applyFont="1" applyFill="1" applyBorder="1" applyAlignment="1">
      <alignment horizontal="center" vertical="center"/>
    </xf>
    <xf numFmtId="9" fontId="90" fillId="11" borderId="0" xfId="79" applyFont="1" applyFill="1" applyBorder="1" applyAlignment="1">
      <alignment horizontal="center" vertical="center"/>
    </xf>
    <xf numFmtId="0" fontId="90" fillId="11" borderId="0" xfId="0" applyFont="1" applyFill="1" applyAlignment="1">
      <alignment horizontal="center" vertical="center"/>
    </xf>
    <xf numFmtId="9" fontId="90" fillId="11" borderId="43" xfId="79" applyFont="1" applyFill="1" applyBorder="1" applyAlignment="1">
      <alignment horizontal="center" vertical="center"/>
    </xf>
    <xf numFmtId="9" fontId="90" fillId="11" borderId="15" xfId="79" applyFont="1" applyFill="1" applyBorder="1" applyAlignment="1">
      <alignment horizontal="center" vertical="center"/>
    </xf>
    <xf numFmtId="9" fontId="90" fillId="11" borderId="44" xfId="79" applyFont="1" applyFill="1" applyBorder="1" applyAlignment="1">
      <alignment horizontal="center" vertical="center"/>
    </xf>
    <xf numFmtId="9" fontId="11" fillId="11" borderId="22" xfId="79" applyFont="1" applyFill="1" applyBorder="1" applyAlignment="1">
      <alignment horizontal="center" vertical="center" wrapText="1"/>
    </xf>
    <xf numFmtId="0" fontId="88" fillId="0" borderId="13" xfId="59" applyNumberFormat="1" applyFont="1" applyBorder="1" applyAlignment="1">
      <alignment horizontal="center" vertical="center" wrapText="1"/>
    </xf>
    <xf numFmtId="9" fontId="88" fillId="0" borderId="13" xfId="79" applyFont="1" applyBorder="1" applyAlignment="1">
      <alignment horizontal="center" vertical="center"/>
    </xf>
    <xf numFmtId="9" fontId="88" fillId="0" borderId="0" xfId="79" applyFont="1" applyAlignment="1">
      <alignment horizontal="center" vertical="center"/>
    </xf>
    <xf numFmtId="175" fontId="88" fillId="0" borderId="13" xfId="59" applyFont="1" applyBorder="1" applyAlignment="1">
      <alignment horizontal="left" vertical="center" wrapText="1"/>
    </xf>
    <xf numFmtId="9" fontId="88" fillId="0" borderId="13" xfId="0" applyNumberFormat="1" applyFont="1" applyBorder="1" applyAlignment="1">
      <alignment vertical="center"/>
    </xf>
    <xf numFmtId="0" fontId="88" fillId="0" borderId="13" xfId="0" applyFont="1" applyBorder="1" applyAlignment="1">
      <alignment vertical="center" wrapText="1"/>
    </xf>
    <xf numFmtId="0" fontId="88" fillId="0" borderId="13" xfId="0" applyFont="1" applyBorder="1" applyAlignment="1">
      <alignment vertical="top" wrapText="1"/>
    </xf>
    <xf numFmtId="0" fontId="88" fillId="0" borderId="13" xfId="0" applyFont="1" applyBorder="1" applyAlignment="1">
      <alignment horizontal="left" vertical="top" wrapText="1"/>
    </xf>
    <xf numFmtId="0" fontId="11" fillId="38" borderId="55" xfId="72" applyFont="1" applyFill="1" applyBorder="1" applyAlignment="1">
      <alignment vertical="center" wrapText="1"/>
      <protection/>
    </xf>
    <xf numFmtId="0" fontId="11" fillId="38" borderId="56" xfId="72" applyFont="1" applyFill="1" applyBorder="1" applyAlignment="1">
      <alignment vertical="center" wrapText="1"/>
      <protection/>
    </xf>
    <xf numFmtId="0" fontId="88" fillId="0" borderId="13" xfId="0" applyFont="1" applyBorder="1" applyAlignment="1">
      <alignment horizontal="justify" vertical="center" wrapText="1"/>
    </xf>
    <xf numFmtId="41" fontId="88"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89"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89" fillId="0" borderId="13" xfId="0" applyFont="1" applyBorder="1" applyAlignment="1">
      <alignment vertical="center"/>
    </xf>
    <xf numFmtId="0" fontId="89"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8" fillId="38" borderId="13" xfId="0" applyNumberFormat="1" applyFont="1" applyFill="1" applyBorder="1" applyAlignment="1">
      <alignment vertical="center"/>
    </xf>
    <xf numFmtId="0" fontId="88" fillId="38" borderId="13" xfId="0" applyFont="1" applyFill="1" applyBorder="1" applyAlignment="1">
      <alignment vertical="center"/>
    </xf>
    <xf numFmtId="9" fontId="10" fillId="38" borderId="13" xfId="80" applyFont="1" applyFill="1" applyBorder="1" applyAlignment="1" applyProtection="1">
      <alignment horizontal="center" vertical="center" wrapText="1"/>
      <protection locked="0"/>
    </xf>
    <xf numFmtId="0" fontId="10" fillId="0" borderId="37" xfId="72" applyFont="1" applyBorder="1" applyAlignment="1">
      <alignment horizontal="center" vertical="center" wrapText="1"/>
      <protection/>
    </xf>
    <xf numFmtId="9" fontId="10" fillId="0" borderId="22" xfId="79" applyFont="1" applyFill="1" applyBorder="1" applyAlignment="1" applyProtection="1">
      <alignment horizontal="center" vertical="center" wrapText="1"/>
      <protection/>
    </xf>
    <xf numFmtId="9" fontId="92" fillId="0" borderId="13" xfId="76" applyNumberFormat="1" applyFont="1" applyBorder="1" applyAlignment="1">
      <alignment horizontal="center" vertical="center"/>
      <protection/>
    </xf>
    <xf numFmtId="9" fontId="11" fillId="0" borderId="13" xfId="72" applyNumberFormat="1" applyFont="1" applyBorder="1" applyAlignment="1">
      <alignment horizontal="center" vertical="center" wrapText="1"/>
      <protection/>
    </xf>
    <xf numFmtId="0" fontId="11" fillId="11" borderId="57" xfId="72" applyFont="1" applyFill="1" applyBorder="1" applyAlignment="1">
      <alignment horizontal="left" vertical="center" wrapText="1"/>
      <protection/>
    </xf>
    <xf numFmtId="9" fontId="10" fillId="11" borderId="57" xfId="79" applyFont="1" applyFill="1" applyBorder="1" applyAlignment="1" applyProtection="1">
      <alignment horizontal="center" vertical="center" wrapText="1"/>
      <protection locked="0"/>
    </xf>
    <xf numFmtId="9" fontId="10" fillId="11" borderId="58" xfId="79" applyFont="1" applyFill="1" applyBorder="1" applyAlignment="1" applyProtection="1">
      <alignment horizontal="center" vertical="center" wrapText="1"/>
      <protection locked="0"/>
    </xf>
    <xf numFmtId="9" fontId="11" fillId="0" borderId="58" xfId="72"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8" fillId="11" borderId="38" xfId="81" applyFont="1" applyFill="1" applyBorder="1" applyAlignment="1" applyProtection="1">
      <alignment horizontal="center" vertical="center" wrapText="1"/>
      <protection/>
    </xf>
    <xf numFmtId="9" fontId="87" fillId="0" borderId="28" xfId="79" applyFont="1" applyBorder="1" applyAlignment="1">
      <alignment horizontal="center" vertical="center"/>
    </xf>
    <xf numFmtId="189" fontId="87" fillId="0" borderId="0" xfId="58" applyNumberFormat="1" applyFont="1" applyAlignment="1">
      <alignment vertical="center"/>
    </xf>
    <xf numFmtId="0" fontId="11" fillId="38" borderId="59" xfId="72" applyFont="1" applyFill="1" applyBorder="1" applyAlignment="1">
      <alignment vertical="center" wrapText="1"/>
      <protection/>
    </xf>
    <xf numFmtId="0" fontId="11" fillId="38" borderId="60" xfId="72" applyFont="1" applyFill="1" applyBorder="1" applyAlignment="1">
      <alignment vertical="center" wrapText="1"/>
      <protection/>
    </xf>
    <xf numFmtId="199" fontId="11" fillId="0" borderId="60" xfId="72" applyNumberFormat="1" applyFont="1" applyBorder="1" applyAlignment="1">
      <alignment horizontal="center" vertical="center" wrapText="1"/>
      <protection/>
    </xf>
    <xf numFmtId="199" fontId="11" fillId="0" borderId="61" xfId="72" applyNumberFormat="1" applyFont="1" applyBorder="1" applyAlignment="1">
      <alignment vertical="center" wrapText="1"/>
      <protection/>
    </xf>
    <xf numFmtId="199" fontId="11" fillId="0" borderId="62" xfId="72" applyNumberFormat="1" applyFont="1" applyBorder="1" applyAlignment="1">
      <alignment vertical="center" wrapText="1"/>
      <protection/>
    </xf>
    <xf numFmtId="0" fontId="40" fillId="0" borderId="0" xfId="0" applyFont="1" applyAlignment="1">
      <alignment/>
    </xf>
    <xf numFmtId="189" fontId="40" fillId="0" borderId="0" xfId="58" applyNumberFormat="1" applyFont="1" applyAlignment="1">
      <alignment/>
    </xf>
    <xf numFmtId="9" fontId="10" fillId="38" borderId="16" xfId="80"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92" fillId="0" borderId="13" xfId="0" applyFont="1" applyBorder="1" applyAlignment="1">
      <alignment horizontal="left" vertical="center" wrapText="1"/>
    </xf>
    <xf numFmtId="0" fontId="92" fillId="0" borderId="13" xfId="0" applyFont="1" applyBorder="1" applyAlignment="1">
      <alignment horizontal="center" vertical="center" wrapText="1"/>
    </xf>
    <xf numFmtId="0" fontId="10" fillId="0" borderId="22" xfId="72" applyFont="1" applyBorder="1" applyAlignment="1">
      <alignment horizontal="left" vertical="center" wrapText="1"/>
      <protection/>
    </xf>
    <xf numFmtId="0" fontId="88" fillId="0" borderId="0" xfId="0" applyFont="1" applyAlignment="1">
      <alignment vertical="center" wrapText="1"/>
    </xf>
    <xf numFmtId="9" fontId="10" fillId="0" borderId="22" xfId="72" applyNumberFormat="1" applyFont="1" applyBorder="1" applyAlignment="1">
      <alignment horizontal="center" vertical="center" wrapText="1"/>
      <protection/>
    </xf>
    <xf numFmtId="0" fontId="88" fillId="0" borderId="0" xfId="0" applyFont="1" applyAlignment="1">
      <alignment horizontal="justify" vertical="center" wrapText="1"/>
    </xf>
    <xf numFmtId="41" fontId="88" fillId="0" borderId="13" xfId="60" applyFont="1" applyFill="1" applyBorder="1" applyAlignment="1">
      <alignment horizontal="center" vertical="center"/>
    </xf>
    <xf numFmtId="41" fontId="88" fillId="38" borderId="13" xfId="60" applyFont="1" applyFill="1" applyBorder="1" applyAlignment="1">
      <alignment horizontal="center" vertical="center"/>
    </xf>
    <xf numFmtId="41" fontId="88" fillId="38" borderId="13" xfId="60" applyFont="1" applyFill="1" applyBorder="1" applyAlignment="1">
      <alignment horizontal="center" vertical="center" wrapText="1"/>
    </xf>
    <xf numFmtId="41" fontId="88" fillId="38" borderId="16" xfId="60" applyFont="1" applyFill="1" applyBorder="1" applyAlignment="1">
      <alignment horizontal="center" vertical="center" wrapText="1"/>
    </xf>
    <xf numFmtId="0" fontId="88" fillId="38" borderId="13" xfId="0" applyFont="1" applyFill="1" applyBorder="1" applyAlignment="1">
      <alignment horizontal="center" vertical="center"/>
    </xf>
    <xf numFmtId="198" fontId="88" fillId="38" borderId="13" xfId="59" applyNumberFormat="1" applyFont="1" applyFill="1" applyBorder="1" applyAlignment="1">
      <alignment vertical="center"/>
    </xf>
    <xf numFmtId="175" fontId="88" fillId="38" borderId="13" xfId="59" applyFont="1" applyFill="1" applyBorder="1" applyAlignment="1">
      <alignment vertical="center"/>
    </xf>
    <xf numFmtId="9" fontId="88" fillId="38" borderId="13" xfId="79" applyFont="1" applyFill="1" applyBorder="1" applyAlignment="1">
      <alignment vertical="center"/>
    </xf>
    <xf numFmtId="175" fontId="10" fillId="38" borderId="13" xfId="80"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8" fillId="0" borderId="13" xfId="0" applyNumberFormat="1" applyFont="1" applyFill="1" applyBorder="1" applyAlignment="1">
      <alignment vertical="center"/>
    </xf>
    <xf numFmtId="9" fontId="88" fillId="0" borderId="13" xfId="79" applyFont="1" applyFill="1" applyBorder="1" applyAlignment="1">
      <alignment vertical="center"/>
    </xf>
    <xf numFmtId="9" fontId="88" fillId="0" borderId="13" xfId="0" applyNumberFormat="1" applyFont="1" applyFill="1" applyBorder="1" applyAlignment="1">
      <alignment vertical="center"/>
    </xf>
    <xf numFmtId="0" fontId="88" fillId="0" borderId="13" xfId="0" applyFont="1" applyFill="1" applyBorder="1" applyAlignment="1">
      <alignment vertical="center"/>
    </xf>
    <xf numFmtId="9" fontId="10" fillId="0" borderId="13" xfId="79" applyFont="1" applyFill="1" applyBorder="1" applyAlignment="1">
      <alignment vertical="center"/>
    </xf>
    <xf numFmtId="0" fontId="88" fillId="0" borderId="22" xfId="0" applyFont="1" applyBorder="1" applyAlignment="1">
      <alignment vertical="center"/>
    </xf>
    <xf numFmtId="0" fontId="96" fillId="0" borderId="13" xfId="0" applyFont="1" applyBorder="1" applyAlignment="1">
      <alignment horizontal="center" vertical="center" wrapText="1"/>
    </xf>
    <xf numFmtId="9" fontId="96" fillId="0" borderId="13" xfId="79" applyFont="1" applyFill="1" applyBorder="1" applyAlignment="1">
      <alignment horizontal="center" vertical="center" wrapText="1"/>
    </xf>
    <xf numFmtId="175" fontId="96"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9" applyFont="1" applyAlignment="1">
      <alignment/>
    </xf>
    <xf numFmtId="0" fontId="10" fillId="0" borderId="22" xfId="72"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90" fillId="11" borderId="13" xfId="0" applyFont="1" applyFill="1" applyBorder="1" applyAlignment="1">
      <alignment horizontal="center" vertical="center" wrapText="1"/>
    </xf>
    <xf numFmtId="0" fontId="19" fillId="0" borderId="37" xfId="72" applyFont="1" applyFill="1" applyBorder="1" applyAlignment="1">
      <alignment horizontal="center" vertical="center" wrapText="1"/>
      <protection/>
    </xf>
    <xf numFmtId="9" fontId="11" fillId="0" borderId="22" xfId="79" applyFont="1" applyBorder="1" applyAlignment="1">
      <alignment horizontal="center" vertical="center" wrapText="1"/>
    </xf>
    <xf numFmtId="0" fontId="88" fillId="0" borderId="13" xfId="0" applyFont="1" applyFill="1" applyBorder="1" applyAlignment="1">
      <alignment horizontal="center" vertical="center" wrapText="1"/>
    </xf>
    <xf numFmtId="0" fontId="89"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9" applyFont="1" applyFill="1" applyBorder="1" applyAlignment="1">
      <alignment horizontal="center" vertical="center"/>
    </xf>
    <xf numFmtId="0" fontId="10" fillId="38" borderId="13" xfId="0" applyFont="1" applyFill="1" applyBorder="1" applyAlignment="1">
      <alignment horizontal="center" vertical="center"/>
    </xf>
    <xf numFmtId="0" fontId="96" fillId="0" borderId="13" xfId="0" applyFont="1" applyBorder="1" applyAlignment="1">
      <alignment horizontal="justify" vertical="center" wrapText="1"/>
    </xf>
    <xf numFmtId="175" fontId="96"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2"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80"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90" fillId="11" borderId="13" xfId="0" applyFont="1" applyFill="1" applyBorder="1" applyAlignment="1">
      <alignment horizontal="center" vertical="center" wrapText="1"/>
    </xf>
    <xf numFmtId="10" fontId="10" fillId="11" borderId="13" xfId="79" applyNumberFormat="1" applyFont="1" applyFill="1" applyBorder="1" applyAlignment="1" applyProtection="1">
      <alignment horizontal="center" vertical="center" wrapText="1"/>
      <protection locked="0"/>
    </xf>
    <xf numFmtId="10" fontId="88" fillId="0" borderId="13" xfId="79" applyNumberFormat="1" applyFont="1" applyBorder="1" applyAlignment="1">
      <alignment vertical="center"/>
    </xf>
    <xf numFmtId="0" fontId="10" fillId="0" borderId="13" xfId="79" applyNumberFormat="1" applyFont="1" applyBorder="1" applyAlignment="1">
      <alignment horizontal="center" vertical="center"/>
    </xf>
    <xf numFmtId="9" fontId="10" fillId="11" borderId="38" xfId="8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90" fillId="11" borderId="13" xfId="0" applyFont="1" applyFill="1" applyBorder="1" applyAlignment="1">
      <alignment horizontal="center" vertical="center" wrapText="1"/>
    </xf>
    <xf numFmtId="0" fontId="89"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7" fillId="0" borderId="13" xfId="58" applyNumberFormat="1" applyFont="1" applyBorder="1" applyAlignment="1">
      <alignment/>
    </xf>
    <xf numFmtId="189" fontId="87"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2" applyFont="1" applyFill="1" applyBorder="1" applyAlignment="1">
      <alignment horizontal="center" vertical="center" wrapText="1"/>
      <protection/>
    </xf>
    <xf numFmtId="9" fontId="11" fillId="0" borderId="38" xfId="72" applyNumberFormat="1" applyFont="1" applyBorder="1" applyAlignment="1">
      <alignment horizontal="center" vertical="center" wrapText="1"/>
      <protection/>
    </xf>
    <xf numFmtId="189" fontId="0" fillId="3" borderId="0" xfId="58" applyNumberFormat="1" applyFont="1" applyFill="1" applyAlignment="1">
      <alignment/>
    </xf>
    <xf numFmtId="189" fontId="0" fillId="42" borderId="0" xfId="58" applyNumberFormat="1" applyFont="1" applyFill="1" applyAlignment="1">
      <alignment/>
    </xf>
    <xf numFmtId="10" fontId="0" fillId="0" borderId="0" xfId="79" applyNumberFormat="1" applyFont="1" applyAlignment="1">
      <alignment/>
    </xf>
    <xf numFmtId="0" fontId="87" fillId="0" borderId="0" xfId="0" applyFont="1" applyAlignment="1">
      <alignment/>
    </xf>
    <xf numFmtId="9" fontId="87" fillId="0" borderId="0" xfId="79" applyFont="1" applyAlignment="1">
      <alignment/>
    </xf>
    <xf numFmtId="199" fontId="87" fillId="0" borderId="0" xfId="59" applyNumberFormat="1" applyFont="1" applyAlignment="1">
      <alignment/>
    </xf>
    <xf numFmtId="0" fontId="87"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7" fillId="29" borderId="0" xfId="79" applyFont="1" applyFill="1" applyAlignment="1">
      <alignment/>
    </xf>
    <xf numFmtId="199" fontId="87" fillId="43" borderId="0" xfId="59" applyNumberFormat="1" applyFont="1" applyFill="1" applyAlignment="1">
      <alignment/>
    </xf>
    <xf numFmtId="10" fontId="0" fillId="0" borderId="0" xfId="79" applyNumberFormat="1" applyFont="1" applyAlignment="1">
      <alignment/>
    </xf>
    <xf numFmtId="0" fontId="97" fillId="0" borderId="0" xfId="0" applyFont="1" applyAlignment="1">
      <alignment/>
    </xf>
    <xf numFmtId="2" fontId="88" fillId="0" borderId="13" xfId="0" applyNumberFormat="1" applyFont="1" applyBorder="1" applyAlignment="1">
      <alignment vertical="center"/>
    </xf>
    <xf numFmtId="10" fontId="0" fillId="0" borderId="0" xfId="79" applyNumberFormat="1" applyFont="1" applyAlignment="1">
      <alignment/>
    </xf>
    <xf numFmtId="189" fontId="0" fillId="0" borderId="0" xfId="58" applyNumberFormat="1" applyFont="1" applyAlignment="1">
      <alignment/>
    </xf>
    <xf numFmtId="0" fontId="92" fillId="0" borderId="13" xfId="0" applyFont="1" applyBorder="1" applyAlignment="1">
      <alignment vertical="center" wrapText="1"/>
    </xf>
    <xf numFmtId="9" fontId="10" fillId="0" borderId="13" xfId="79" applyFont="1" applyBorder="1" applyAlignment="1">
      <alignment vertical="center"/>
    </xf>
    <xf numFmtId="9" fontId="10" fillId="0" borderId="13" xfId="79" applyFont="1" applyFill="1" applyBorder="1" applyAlignment="1">
      <alignment horizontal="center" vertical="center" wrapText="1"/>
    </xf>
    <xf numFmtId="0" fontId="22" fillId="11" borderId="13" xfId="0" applyFont="1" applyFill="1" applyBorder="1" applyAlignment="1">
      <alignment horizontal="center" vertical="center" wrapText="1"/>
    </xf>
    <xf numFmtId="9" fontId="0" fillId="0" borderId="40" xfId="79" applyFont="1" applyBorder="1" applyAlignment="1">
      <alignment horizontal="center" vertical="center"/>
    </xf>
    <xf numFmtId="9" fontId="0" fillId="0" borderId="21" xfId="79" applyFont="1" applyBorder="1" applyAlignment="1">
      <alignment horizontal="center" vertical="center"/>
    </xf>
    <xf numFmtId="9" fontId="0" fillId="0" borderId="52" xfId="79" applyFont="1" applyBorder="1" applyAlignment="1">
      <alignment horizontal="center" vertical="center"/>
    </xf>
    <xf numFmtId="0" fontId="88" fillId="0" borderId="13" xfId="0" applyFont="1" applyBorder="1" applyAlignment="1">
      <alignment horizontal="center" vertical="center"/>
    </xf>
    <xf numFmtId="0" fontId="88" fillId="0" borderId="13" xfId="0" applyFont="1" applyBorder="1" applyAlignment="1">
      <alignment horizontal="center" vertical="center"/>
    </xf>
    <xf numFmtId="9" fontId="88" fillId="0" borderId="13" xfId="79" applyFont="1" applyBorder="1" applyAlignment="1">
      <alignment horizontal="center" vertical="center"/>
    </xf>
    <xf numFmtId="10" fontId="88" fillId="0" borderId="13" xfId="0" applyNumberFormat="1" applyFont="1" applyBorder="1" applyAlignment="1">
      <alignment vertical="center"/>
    </xf>
    <xf numFmtId="9" fontId="88" fillId="0" borderId="13" xfId="0" applyNumberFormat="1" applyFont="1" applyFill="1" applyBorder="1" applyAlignment="1">
      <alignment horizontal="center" vertical="center"/>
    </xf>
    <xf numFmtId="189" fontId="0" fillId="43" borderId="0" xfId="58" applyNumberFormat="1" applyFont="1" applyFill="1" applyAlignment="1">
      <alignment/>
    </xf>
    <xf numFmtId="189" fontId="0" fillId="37" borderId="0" xfId="58" applyNumberFormat="1" applyFont="1" applyFill="1" applyAlignment="1">
      <alignment/>
    </xf>
    <xf numFmtId="0" fontId="88" fillId="0" borderId="13" xfId="0" applyFont="1" applyBorder="1" applyAlignment="1">
      <alignment horizontal="center" vertical="center" wrapText="1"/>
    </xf>
    <xf numFmtId="9" fontId="88" fillId="0" borderId="13" xfId="0" applyNumberFormat="1" applyFont="1" applyBorder="1" applyAlignment="1">
      <alignment horizontal="center" vertical="center"/>
    </xf>
    <xf numFmtId="0" fontId="88" fillId="0" borderId="13" xfId="0" applyFont="1" applyBorder="1" applyAlignment="1">
      <alignment horizontal="center" vertical="center"/>
    </xf>
    <xf numFmtId="0" fontId="88" fillId="0" borderId="13" xfId="0" applyFont="1" applyBorder="1" applyAlignment="1">
      <alignment horizontal="center" vertical="center" wrapText="1"/>
    </xf>
    <xf numFmtId="9" fontId="88" fillId="0" borderId="13" xfId="79" applyFont="1" applyBorder="1" applyAlignment="1">
      <alignment horizontal="center" vertical="center" wrapText="1"/>
    </xf>
    <xf numFmtId="0" fontId="11" fillId="11" borderId="22" xfId="0" applyFont="1" applyFill="1" applyBorder="1" applyAlignment="1">
      <alignment horizontal="center" vertical="center" wrapText="1"/>
    </xf>
    <xf numFmtId="9" fontId="89" fillId="0" borderId="13" xfId="0" applyNumberFormat="1" applyFont="1" applyFill="1" applyBorder="1" applyAlignment="1">
      <alignment vertical="center"/>
    </xf>
    <xf numFmtId="9" fontId="88" fillId="0" borderId="13" xfId="79" applyFont="1" applyBorder="1" applyAlignment="1">
      <alignment vertical="center"/>
    </xf>
    <xf numFmtId="0" fontId="88" fillId="0" borderId="13" xfId="0" applyFont="1" applyFill="1" applyBorder="1" applyAlignment="1">
      <alignment horizontal="center" vertical="center"/>
    </xf>
    <xf numFmtId="0" fontId="88" fillId="0" borderId="13" xfId="0" applyFont="1" applyBorder="1" applyAlignment="1">
      <alignment horizontal="left" vertical="center" wrapText="1"/>
    </xf>
    <xf numFmtId="9" fontId="88" fillId="0" borderId="13" xfId="79" applyFont="1" applyFill="1" applyBorder="1" applyAlignment="1">
      <alignment horizontal="center" vertical="center" wrapText="1"/>
    </xf>
    <xf numFmtId="9" fontId="88" fillId="0" borderId="13" xfId="0" applyNumberFormat="1" applyFont="1" applyBorder="1" applyAlignment="1">
      <alignment vertical="center"/>
    </xf>
    <xf numFmtId="9" fontId="88" fillId="0" borderId="13" xfId="79" applyFont="1" applyFill="1" applyBorder="1" applyAlignment="1">
      <alignment vertical="center"/>
    </xf>
    <xf numFmtId="9" fontId="88" fillId="0" borderId="13" xfId="0" applyNumberFormat="1" applyFont="1" applyFill="1" applyBorder="1" applyAlignment="1">
      <alignment vertical="center"/>
    </xf>
    <xf numFmtId="0" fontId="88" fillId="0" borderId="13" xfId="0" applyFont="1" applyFill="1" applyBorder="1" applyAlignment="1">
      <alignment vertical="center"/>
    </xf>
    <xf numFmtId="10" fontId="10" fillId="11" borderId="13" xfId="79" applyNumberFormat="1" applyFont="1" applyFill="1" applyBorder="1" applyAlignment="1" applyProtection="1">
      <alignment horizontal="center" vertical="center" wrapText="1"/>
      <protection locked="0"/>
    </xf>
    <xf numFmtId="0" fontId="88" fillId="0" borderId="13" xfId="79" applyNumberFormat="1" applyFont="1" applyBorder="1" applyAlignment="1">
      <alignment vertical="center" wrapText="1"/>
    </xf>
    <xf numFmtId="9" fontId="88" fillId="0" borderId="13" xfId="79" applyFont="1" applyBorder="1" applyAlignment="1">
      <alignment vertical="center" wrapText="1"/>
    </xf>
    <xf numFmtId="9" fontId="10" fillId="11" borderId="38" xfId="81" applyFont="1" applyFill="1" applyBorder="1" applyAlignment="1" applyProtection="1">
      <alignment horizontal="center" vertical="center" wrapText="1"/>
      <protection/>
    </xf>
    <xf numFmtId="0" fontId="10" fillId="0" borderId="13" xfId="0" applyFont="1" applyBorder="1" applyAlignment="1">
      <alignment horizontal="left" vertical="center" wrapText="1"/>
    </xf>
    <xf numFmtId="0" fontId="92" fillId="38" borderId="13" xfId="79" applyNumberFormat="1" applyFont="1" applyFill="1" applyBorder="1" applyAlignment="1">
      <alignment horizontal="center" vertical="center"/>
    </xf>
    <xf numFmtId="0" fontId="92" fillId="0" borderId="13" xfId="79" applyNumberFormat="1" applyFont="1" applyBorder="1" applyAlignment="1">
      <alignment horizontal="center" vertical="center"/>
    </xf>
    <xf numFmtId="0" fontId="40" fillId="0" borderId="13" xfId="0" applyFont="1" applyBorder="1" applyAlignment="1">
      <alignment vertical="center" wrapText="1"/>
    </xf>
    <xf numFmtId="0" fontId="40" fillId="0" borderId="13" xfId="0" applyFont="1" applyBorder="1" applyAlignment="1">
      <alignment vertical="top" wrapText="1"/>
    </xf>
    <xf numFmtId="0" fontId="40" fillId="38" borderId="13" xfId="0" applyFont="1" applyFill="1" applyBorder="1" applyAlignment="1">
      <alignment vertical="center" wrapText="1"/>
    </xf>
    <xf numFmtId="1" fontId="88" fillId="0" borderId="13" xfId="0" applyNumberFormat="1" applyFont="1" applyBorder="1" applyAlignment="1">
      <alignment vertical="center"/>
    </xf>
    <xf numFmtId="189" fontId="0" fillId="0" borderId="13" xfId="58" applyNumberFormat="1" applyFont="1" applyFill="1" applyBorder="1" applyAlignment="1">
      <alignment vertical="center"/>
    </xf>
    <xf numFmtId="207" fontId="0" fillId="0" borderId="13" xfId="58" applyNumberFormat="1" applyFont="1" applyFill="1" applyBorder="1" applyAlignment="1">
      <alignment vertical="center"/>
    </xf>
    <xf numFmtId="189" fontId="88" fillId="0" borderId="13" xfId="58" applyNumberFormat="1" applyFont="1" applyBorder="1" applyAlignment="1">
      <alignment horizontal="center" vertical="center"/>
    </xf>
    <xf numFmtId="9" fontId="10" fillId="0" borderId="13" xfId="79" applyFont="1" applyFill="1" applyBorder="1" applyAlignment="1">
      <alignment vertical="center" wrapText="1"/>
    </xf>
    <xf numFmtId="0" fontId="11" fillId="5" borderId="13" xfId="72" applyFont="1" applyFill="1" applyBorder="1" applyAlignment="1">
      <alignment horizontal="center" vertical="center" wrapText="1"/>
      <protection/>
    </xf>
    <xf numFmtId="0" fontId="90" fillId="11" borderId="13" xfId="0" applyFont="1" applyFill="1" applyBorder="1" applyAlignment="1">
      <alignment horizontal="center" vertical="center" wrapText="1"/>
    </xf>
    <xf numFmtId="9" fontId="10" fillId="0" borderId="13" xfId="76" applyNumberFormat="1" applyFont="1" applyBorder="1" applyAlignment="1">
      <alignment horizontal="center" vertical="center"/>
      <protection/>
    </xf>
    <xf numFmtId="0" fontId="10" fillId="0" borderId="13" xfId="79" applyNumberFormat="1" applyFont="1" applyBorder="1" applyAlignment="1">
      <alignment vertical="center" wrapText="1"/>
    </xf>
    <xf numFmtId="0" fontId="88" fillId="0" borderId="13" xfId="79" applyNumberFormat="1" applyFont="1" applyFill="1" applyBorder="1" applyAlignment="1">
      <alignment vertical="center" wrapText="1"/>
    </xf>
    <xf numFmtId="9" fontId="4" fillId="0" borderId="13" xfId="0" applyNumberFormat="1" applyFont="1" applyFill="1" applyBorder="1" applyAlignment="1">
      <alignment vertical="center" wrapText="1"/>
    </xf>
    <xf numFmtId="9" fontId="10" fillId="0" borderId="22" xfId="72" applyNumberFormat="1" applyFont="1" applyFill="1" applyBorder="1" applyAlignment="1">
      <alignment horizontal="center" vertical="center" wrapText="1"/>
      <protection/>
    </xf>
    <xf numFmtId="0" fontId="10" fillId="0" borderId="13" xfId="79" applyNumberFormat="1" applyFont="1" applyFill="1" applyBorder="1" applyAlignment="1">
      <alignment vertical="center" wrapText="1"/>
    </xf>
    <xf numFmtId="9" fontId="10" fillId="0" borderId="13" xfId="0" applyNumberFormat="1" applyFont="1" applyBorder="1" applyAlignment="1">
      <alignment vertical="center"/>
    </xf>
    <xf numFmtId="9" fontId="10" fillId="0" borderId="13" xfId="0" applyNumberFormat="1" applyFont="1" applyBorder="1" applyAlignment="1">
      <alignment horizontal="center" vertical="center"/>
    </xf>
    <xf numFmtId="9" fontId="10" fillId="0" borderId="13" xfId="79" applyFont="1" applyBorder="1" applyAlignment="1">
      <alignment horizontal="center" vertical="center"/>
    </xf>
    <xf numFmtId="10" fontId="88" fillId="38" borderId="13" xfId="0" applyNumberFormat="1" applyFont="1" applyFill="1" applyBorder="1" applyAlignment="1">
      <alignment vertical="center"/>
    </xf>
    <xf numFmtId="0" fontId="89" fillId="38" borderId="13" xfId="0" applyFont="1" applyFill="1" applyBorder="1" applyAlignment="1">
      <alignment vertical="center"/>
    </xf>
    <xf numFmtId="9" fontId="10" fillId="38" borderId="13" xfId="79" applyFont="1" applyFill="1" applyBorder="1" applyAlignment="1">
      <alignment vertical="center"/>
    </xf>
    <xf numFmtId="9" fontId="10" fillId="38" borderId="13" xfId="0" applyNumberFormat="1" applyFont="1" applyFill="1" applyBorder="1" applyAlignment="1">
      <alignment vertical="center"/>
    </xf>
    <xf numFmtId="2" fontId="88" fillId="0" borderId="13" xfId="0" applyNumberFormat="1" applyFont="1" applyFill="1" applyBorder="1" applyAlignment="1">
      <alignment vertical="center"/>
    </xf>
    <xf numFmtId="9" fontId="4" fillId="0" borderId="13" xfId="0" applyNumberFormat="1" applyFont="1" applyFill="1" applyBorder="1" applyAlignment="1">
      <alignment horizontal="center" vertical="center" wrapText="1"/>
    </xf>
    <xf numFmtId="0" fontId="88" fillId="38" borderId="13" xfId="0" applyFont="1" applyFill="1" applyBorder="1" applyAlignment="1">
      <alignment horizontal="left" vertical="center" wrapText="1"/>
    </xf>
    <xf numFmtId="9" fontId="10" fillId="38" borderId="13" xfId="79" applyFont="1" applyFill="1" applyBorder="1" applyAlignment="1">
      <alignment vertical="center" wrapText="1"/>
    </xf>
    <xf numFmtId="9" fontId="19" fillId="0" borderId="13" xfId="79" applyFont="1" applyFill="1" applyBorder="1" applyAlignment="1">
      <alignment vertical="center" wrapText="1"/>
    </xf>
    <xf numFmtId="189" fontId="0" fillId="0" borderId="0" xfId="58" applyNumberFormat="1" applyFont="1" applyBorder="1" applyAlignment="1">
      <alignment/>
    </xf>
    <xf numFmtId="189" fontId="87" fillId="2" borderId="13" xfId="58" applyNumberFormat="1" applyFont="1" applyFill="1" applyBorder="1" applyAlignment="1">
      <alignment horizontal="center"/>
    </xf>
    <xf numFmtId="189" fontId="0" fillId="2" borderId="13" xfId="58" applyNumberFormat="1" applyFont="1" applyFill="1" applyBorder="1" applyAlignment="1">
      <alignment/>
    </xf>
    <xf numFmtId="189" fontId="0" fillId="44" borderId="0" xfId="58" applyNumberFormat="1" applyFont="1" applyFill="1" applyBorder="1" applyAlignment="1">
      <alignment/>
    </xf>
    <xf numFmtId="9" fontId="0" fillId="44" borderId="22" xfId="79" applyFont="1" applyFill="1" applyBorder="1" applyAlignment="1">
      <alignment horizontal="center" vertical="center" wrapText="1"/>
    </xf>
    <xf numFmtId="189" fontId="87" fillId="44" borderId="13" xfId="58" applyNumberFormat="1" applyFont="1" applyFill="1" applyBorder="1" applyAlignment="1">
      <alignment horizontal="center"/>
    </xf>
    <xf numFmtId="177" fontId="87" fillId="44" borderId="13" xfId="58" applyFont="1" applyFill="1" applyBorder="1" applyAlignment="1">
      <alignment horizontal="center"/>
    </xf>
    <xf numFmtId="189" fontId="87" fillId="0" borderId="0" xfId="58" applyNumberFormat="1" applyFont="1" applyBorder="1" applyAlignment="1">
      <alignment horizontal="center" vertical="center" wrapText="1"/>
    </xf>
    <xf numFmtId="9" fontId="0" fillId="2" borderId="13" xfId="79" applyFont="1" applyFill="1" applyBorder="1" applyAlignment="1">
      <alignment/>
    </xf>
    <xf numFmtId="9" fontId="0" fillId="0" borderId="13" xfId="79" applyFont="1" applyBorder="1" applyAlignment="1">
      <alignment/>
    </xf>
    <xf numFmtId="9" fontId="0" fillId="0" borderId="0" xfId="0" applyNumberFormat="1" applyAlignment="1">
      <alignment/>
    </xf>
    <xf numFmtId="189" fontId="0" fillId="0" borderId="0" xfId="58" applyNumberFormat="1" applyFont="1" applyAlignment="1">
      <alignment/>
    </xf>
    <xf numFmtId="221" fontId="0" fillId="0" borderId="0" xfId="79" applyNumberFormat="1" applyFont="1" applyAlignment="1">
      <alignment/>
    </xf>
    <xf numFmtId="177" fontId="0" fillId="2" borderId="13" xfId="58" applyNumberFormat="1" applyFont="1" applyFill="1" applyBorder="1" applyAlignment="1">
      <alignment/>
    </xf>
    <xf numFmtId="177" fontId="0" fillId="0" borderId="13" xfId="58" applyNumberFormat="1" applyFont="1" applyBorder="1" applyAlignment="1">
      <alignment horizontal="center"/>
    </xf>
    <xf numFmtId="177" fontId="87" fillId="0" borderId="13" xfId="58" applyNumberFormat="1" applyFont="1" applyBorder="1" applyAlignment="1">
      <alignment horizontal="center"/>
    </xf>
    <xf numFmtId="0" fontId="92" fillId="0" borderId="13" xfId="79" applyNumberFormat="1" applyFont="1" applyBorder="1" applyAlignment="1">
      <alignment horizontal="justify" vertical="center" wrapText="1"/>
    </xf>
    <xf numFmtId="0" fontId="88" fillId="0" borderId="13" xfId="79" applyNumberFormat="1" applyFont="1" applyBorder="1" applyAlignment="1">
      <alignment horizontal="justify" vertical="center" wrapText="1"/>
    </xf>
    <xf numFmtId="0" fontId="98" fillId="0" borderId="13" xfId="79" applyNumberFormat="1" applyFont="1" applyFill="1" applyBorder="1" applyAlignment="1">
      <alignment horizontal="left" vertical="center" wrapText="1"/>
    </xf>
    <xf numFmtId="0" fontId="92" fillId="0" borderId="13" xfId="0" applyFont="1" applyFill="1" applyBorder="1" applyAlignment="1">
      <alignment horizontal="center" vertical="center"/>
    </xf>
    <xf numFmtId="0" fontId="88" fillId="38" borderId="13" xfId="79" applyNumberFormat="1" applyFont="1" applyFill="1" applyBorder="1" applyAlignment="1">
      <alignment vertical="center" wrapText="1"/>
    </xf>
    <xf numFmtId="9" fontId="88" fillId="38" borderId="13" xfId="79" applyFont="1" applyFill="1" applyBorder="1" applyAlignment="1">
      <alignment vertical="center" wrapText="1"/>
    </xf>
    <xf numFmtId="0" fontId="92" fillId="38" borderId="13" xfId="79" applyNumberFormat="1" applyFont="1" applyFill="1" applyBorder="1" applyAlignment="1">
      <alignment horizontal="center" vertical="center" wrapText="1"/>
    </xf>
    <xf numFmtId="9" fontId="0" fillId="43" borderId="13" xfId="79" applyFont="1" applyFill="1" applyBorder="1" applyAlignment="1">
      <alignment/>
    </xf>
    <xf numFmtId="9" fontId="88" fillId="0" borderId="13" xfId="80" applyFont="1" applyFill="1" applyBorder="1" applyAlignment="1">
      <alignment horizontal="center" vertical="center"/>
    </xf>
    <xf numFmtId="199" fontId="4" fillId="0" borderId="13" xfId="60" applyNumberFormat="1" applyFont="1" applyFill="1" applyBorder="1" applyAlignment="1">
      <alignment vertical="center" wrapText="1"/>
    </xf>
    <xf numFmtId="41" fontId="4" fillId="0" borderId="13" xfId="60" applyFont="1" applyFill="1" applyBorder="1" applyAlignment="1">
      <alignment vertical="center" wrapText="1"/>
    </xf>
    <xf numFmtId="9" fontId="88" fillId="0" borderId="13" xfId="80" applyFont="1" applyFill="1" applyBorder="1" applyAlignment="1">
      <alignment vertical="center"/>
    </xf>
    <xf numFmtId="0" fontId="88" fillId="0" borderId="13" xfId="79" applyNumberFormat="1" applyFont="1" applyBorder="1" applyAlignment="1" quotePrefix="1">
      <alignment horizontal="left" vertical="center" wrapText="1"/>
    </xf>
    <xf numFmtId="0" fontId="10" fillId="0" borderId="13" xfId="79" applyNumberFormat="1" applyFont="1" applyFill="1" applyBorder="1" applyAlignment="1" quotePrefix="1">
      <alignment horizontal="left" vertical="center" wrapText="1"/>
    </xf>
    <xf numFmtId="0" fontId="88" fillId="0" borderId="13" xfId="79" applyNumberFormat="1" applyFont="1" applyFill="1" applyBorder="1" applyAlignment="1" quotePrefix="1">
      <alignment vertical="center" wrapText="1"/>
    </xf>
    <xf numFmtId="0" fontId="88" fillId="0" borderId="13" xfId="79" applyNumberFormat="1" applyFont="1" applyBorder="1" applyAlignment="1" quotePrefix="1">
      <alignment vertical="center" wrapText="1"/>
    </xf>
    <xf numFmtId="0" fontId="99" fillId="0" borderId="13" xfId="79" applyNumberFormat="1" applyFont="1" applyFill="1" applyBorder="1" applyAlignment="1">
      <alignment horizontal="left" vertical="top" wrapText="1"/>
    </xf>
    <xf numFmtId="0" fontId="98" fillId="0" borderId="13" xfId="0" applyFont="1" applyBorder="1" applyAlignment="1">
      <alignment vertical="center" wrapText="1"/>
    </xf>
    <xf numFmtId="0" fontId="10" fillId="0" borderId="13" xfId="79" applyNumberFormat="1" applyFont="1" applyBorder="1" applyAlignment="1">
      <alignment horizontal="center" vertical="center" wrapText="1"/>
    </xf>
    <xf numFmtId="190" fontId="88" fillId="0" borderId="13" xfId="79" applyNumberFormat="1" applyFont="1" applyBorder="1" applyAlignment="1">
      <alignment vertical="center"/>
    </xf>
    <xf numFmtId="0" fontId="88" fillId="0" borderId="22" xfId="79" applyNumberFormat="1" applyFont="1" applyFill="1" applyBorder="1" applyAlignment="1">
      <alignment horizontal="left" vertical="center" wrapText="1"/>
    </xf>
    <xf numFmtId="0" fontId="10" fillId="0" borderId="22" xfId="79" applyNumberFormat="1" applyFont="1" applyFill="1" applyBorder="1" applyAlignment="1">
      <alignment horizontal="center" vertical="center" wrapText="1"/>
    </xf>
    <xf numFmtId="0" fontId="100" fillId="0" borderId="22" xfId="79" applyNumberFormat="1" applyFont="1" applyFill="1" applyBorder="1" applyAlignment="1">
      <alignment horizontal="left" vertical="center" wrapText="1"/>
    </xf>
    <xf numFmtId="0" fontId="10" fillId="0" borderId="22" xfId="79" applyNumberFormat="1" applyFont="1" applyFill="1" applyBorder="1" applyAlignment="1">
      <alignment horizontal="center" vertical="center"/>
    </xf>
    <xf numFmtId="0" fontId="88" fillId="0" borderId="17" xfId="79" applyNumberFormat="1" applyFont="1" applyBorder="1" applyAlignment="1">
      <alignment vertical="center" wrapText="1"/>
    </xf>
    <xf numFmtId="9" fontId="88" fillId="0" borderId="13" xfId="79" applyFont="1" applyFill="1" applyBorder="1" applyAlignment="1">
      <alignment vertical="center" wrapText="1"/>
    </xf>
    <xf numFmtId="0" fontId="16" fillId="0" borderId="13" xfId="79" applyNumberFormat="1" applyFont="1" applyFill="1" applyBorder="1" applyAlignment="1">
      <alignment vertical="center" wrapText="1"/>
    </xf>
    <xf numFmtId="0" fontId="16" fillId="0" borderId="13" xfId="79" applyNumberFormat="1" applyFont="1" applyFill="1" applyBorder="1" applyAlignment="1">
      <alignment horizontal="left" vertical="center" wrapText="1"/>
    </xf>
    <xf numFmtId="0" fontId="10" fillId="0" borderId="13" xfId="79" applyNumberFormat="1" applyFont="1" applyBorder="1" applyAlignment="1" quotePrefix="1">
      <alignment horizontal="center" vertical="center"/>
    </xf>
    <xf numFmtId="9" fontId="88" fillId="38" borderId="13" xfId="79" applyFont="1" applyFill="1" applyBorder="1" applyAlignment="1" quotePrefix="1">
      <alignment horizontal="left" vertical="center" wrapText="1"/>
    </xf>
    <xf numFmtId="0" fontId="10" fillId="0" borderId="13" xfId="79" applyNumberFormat="1" applyFont="1" applyBorder="1" applyAlignment="1">
      <alignment horizontal="left" vertical="center"/>
    </xf>
    <xf numFmtId="189" fontId="0" fillId="0" borderId="0" xfId="0" applyNumberFormat="1" applyAlignment="1">
      <alignment vertical="center"/>
    </xf>
    <xf numFmtId="189" fontId="0" fillId="0" borderId="14" xfId="79" applyNumberFormat="1" applyFont="1" applyBorder="1" applyAlignment="1">
      <alignment vertical="center"/>
    </xf>
    <xf numFmtId="0" fontId="88" fillId="38" borderId="13" xfId="79" applyNumberFormat="1" applyFont="1" applyFill="1" applyBorder="1" applyAlignment="1">
      <alignment horizontal="left" vertical="center" wrapText="1"/>
    </xf>
    <xf numFmtId="0" fontId="88" fillId="38" borderId="13" xfId="79" applyNumberFormat="1" applyFont="1" applyFill="1" applyBorder="1" applyAlignment="1">
      <alignment vertical="top" wrapText="1"/>
    </xf>
    <xf numFmtId="0" fontId="92" fillId="0" borderId="13" xfId="0" applyFont="1" applyBorder="1" applyAlignment="1">
      <alignment horizontal="center" vertical="center"/>
    </xf>
    <xf numFmtId="9" fontId="92" fillId="0" borderId="13" xfId="0" applyNumberFormat="1" applyFont="1" applyBorder="1" applyAlignment="1">
      <alignment vertical="center"/>
    </xf>
    <xf numFmtId="0" fontId="40" fillId="38" borderId="13" xfId="0" applyFont="1" applyFill="1" applyBorder="1" applyAlignment="1">
      <alignment vertical="top" wrapText="1"/>
    </xf>
    <xf numFmtId="0" fontId="101" fillId="0" borderId="13" xfId="79" applyNumberFormat="1" applyFont="1" applyFill="1" applyBorder="1" applyAlignment="1">
      <alignment horizontal="left" vertical="center" wrapText="1"/>
    </xf>
    <xf numFmtId="0" fontId="92" fillId="0" borderId="17" xfId="0" applyFont="1" applyBorder="1" applyAlignment="1">
      <alignment vertical="center" wrapText="1"/>
    </xf>
    <xf numFmtId="9" fontId="92" fillId="0" borderId="13" xfId="79" applyFont="1" applyFill="1" applyBorder="1" applyAlignment="1">
      <alignment vertical="center" wrapText="1"/>
    </xf>
    <xf numFmtId="0" fontId="92" fillId="0" borderId="44" xfId="0" applyFont="1" applyBorder="1" applyAlignment="1">
      <alignment vertical="center" wrapText="1"/>
    </xf>
    <xf numFmtId="9" fontId="10" fillId="0" borderId="38" xfId="81" applyFont="1" applyFill="1" applyBorder="1" applyAlignment="1" applyProtection="1">
      <alignment horizontal="center" vertical="center" wrapText="1"/>
      <protection/>
    </xf>
    <xf numFmtId="192" fontId="64" fillId="0" borderId="0" xfId="63" applyNumberFormat="1" applyFont="1" applyBorder="1" applyAlignment="1">
      <alignment vertical="center"/>
    </xf>
    <xf numFmtId="2" fontId="10" fillId="0" borderId="37" xfId="72"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2" fontId="10" fillId="0" borderId="22" xfId="72" applyNumberFormat="1" applyFont="1" applyFill="1" applyBorder="1" applyAlignment="1" applyProtection="1">
      <alignment horizontal="center" vertical="center" wrapText="1"/>
      <protection/>
    </xf>
    <xf numFmtId="2" fontId="10" fillId="0" borderId="57" xfId="72" applyNumberFormat="1" applyFont="1" applyFill="1" applyBorder="1" applyAlignment="1" applyProtection="1">
      <alignment horizontal="center" vertical="center" wrapText="1"/>
      <protection/>
    </xf>
    <xf numFmtId="9" fontId="89" fillId="0" borderId="64" xfId="72" applyNumberFormat="1" applyFont="1" applyFill="1" applyBorder="1" applyAlignment="1" applyProtection="1">
      <alignment horizontal="center" vertical="center" wrapText="1"/>
      <protection/>
    </xf>
    <xf numFmtId="9" fontId="89" fillId="0" borderId="41" xfId="72" applyNumberFormat="1" applyFont="1" applyFill="1" applyBorder="1" applyAlignment="1" applyProtection="1">
      <alignment horizontal="center" vertical="center" wrapText="1"/>
      <protection/>
    </xf>
    <xf numFmtId="9" fontId="89" fillId="0" borderId="65" xfId="72" applyNumberFormat="1" applyFont="1" applyFill="1" applyBorder="1" applyAlignment="1" applyProtection="1">
      <alignment horizontal="center" vertical="center" wrapText="1"/>
      <protection/>
    </xf>
    <xf numFmtId="9" fontId="89" fillId="0" borderId="58" xfId="72" applyNumberFormat="1" applyFont="1" applyFill="1" applyBorder="1" applyAlignment="1" applyProtection="1">
      <alignment horizontal="center" vertical="center" wrapText="1"/>
      <protection/>
    </xf>
    <xf numFmtId="9" fontId="89" fillId="0" borderId="34" xfId="72" applyNumberFormat="1" applyFont="1" applyFill="1" applyBorder="1" applyAlignment="1" applyProtection="1">
      <alignment horizontal="center" vertical="center" wrapText="1"/>
      <protection/>
    </xf>
    <xf numFmtId="9" fontId="89" fillId="0" borderId="35" xfId="72" applyNumberFormat="1" applyFont="1" applyFill="1" applyBorder="1" applyAlignment="1" applyProtection="1">
      <alignment horizontal="center" vertical="center" wrapText="1"/>
      <protection/>
    </xf>
    <xf numFmtId="2" fontId="10" fillId="0" borderId="20" xfId="72" applyNumberFormat="1" applyFont="1" applyFill="1" applyBorder="1" applyAlignment="1" applyProtection="1">
      <alignment vertical="center" wrapText="1"/>
      <protection/>
    </xf>
    <xf numFmtId="2" fontId="10" fillId="0" borderId="16" xfId="72" applyNumberFormat="1" applyFont="1" applyFill="1" applyBorder="1" applyAlignment="1" applyProtection="1">
      <alignment horizontal="center" vertical="center" wrapText="1"/>
      <protection/>
    </xf>
    <xf numFmtId="9" fontId="89" fillId="0" borderId="66" xfId="72" applyNumberFormat="1" applyFont="1" applyFill="1" applyBorder="1" applyAlignment="1" applyProtection="1">
      <alignment horizontal="center" vertical="center" wrapText="1"/>
      <protection/>
    </xf>
    <xf numFmtId="9" fontId="89" fillId="0" borderId="0" xfId="72" applyNumberFormat="1" applyFont="1" applyFill="1" applyBorder="1" applyAlignment="1" applyProtection="1">
      <alignment horizontal="center" vertical="center" wrapText="1"/>
      <protection/>
    </xf>
    <xf numFmtId="9" fontId="89" fillId="0" borderId="29" xfId="72"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68"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69"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70"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vertical="center" wrapText="1"/>
      <protection/>
    </xf>
    <xf numFmtId="2" fontId="10" fillId="0" borderId="54" xfId="72" applyNumberFormat="1" applyFont="1" applyFill="1" applyBorder="1" applyAlignment="1" applyProtection="1">
      <alignment horizontal="center" vertical="center" wrapText="1"/>
      <protection/>
    </xf>
    <xf numFmtId="9" fontId="89" fillId="0" borderId="64" xfId="72" applyNumberFormat="1" applyFont="1" applyFill="1" applyBorder="1" applyAlignment="1" applyProtection="1">
      <alignment horizontal="left" vertical="center" wrapText="1"/>
      <protection/>
    </xf>
    <xf numFmtId="9" fontId="89" fillId="0" borderId="41" xfId="72" applyNumberFormat="1" applyFont="1" applyFill="1" applyBorder="1" applyAlignment="1" applyProtection="1">
      <alignment horizontal="left" vertical="center" wrapText="1"/>
      <protection/>
    </xf>
    <xf numFmtId="9" fontId="89" fillId="0" borderId="65" xfId="72" applyNumberFormat="1" applyFont="1" applyFill="1" applyBorder="1" applyAlignment="1" applyProtection="1">
      <alignment horizontal="left" vertical="center" wrapText="1"/>
      <protection/>
    </xf>
    <xf numFmtId="9" fontId="89" fillId="0" borderId="66" xfId="72" applyNumberFormat="1" applyFont="1" applyFill="1" applyBorder="1" applyAlignment="1" applyProtection="1">
      <alignment horizontal="left" vertical="center" wrapText="1"/>
      <protection/>
    </xf>
    <xf numFmtId="9" fontId="89" fillId="0" borderId="0" xfId="72" applyNumberFormat="1" applyFont="1" applyFill="1" applyBorder="1" applyAlignment="1" applyProtection="1">
      <alignment horizontal="left" vertical="center" wrapText="1"/>
      <protection/>
    </xf>
    <xf numFmtId="9" fontId="89"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6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57" xfId="72" applyFont="1" applyFill="1" applyBorder="1" applyAlignment="1" applyProtection="1">
      <alignment horizontal="center" vertical="center" wrapText="1"/>
      <protection/>
    </xf>
    <xf numFmtId="9" fontId="89" fillId="0" borderId="64" xfId="81" applyFont="1" applyFill="1" applyBorder="1" applyAlignment="1" applyProtection="1">
      <alignment horizontal="center" vertical="center" wrapText="1"/>
      <protection/>
    </xf>
    <xf numFmtId="9" fontId="89" fillId="0" borderId="41" xfId="81" applyFont="1" applyFill="1" applyBorder="1" applyAlignment="1" applyProtection="1">
      <alignment horizontal="center" vertical="center" wrapText="1"/>
      <protection/>
    </xf>
    <xf numFmtId="9" fontId="89" fillId="0" borderId="42" xfId="81" applyFont="1" applyFill="1" applyBorder="1" applyAlignment="1" applyProtection="1">
      <alignment horizontal="center" vertical="center" wrapText="1"/>
      <protection/>
    </xf>
    <xf numFmtId="9" fontId="89" fillId="0" borderId="58" xfId="81" applyFont="1" applyFill="1" applyBorder="1" applyAlignment="1" applyProtection="1">
      <alignment horizontal="center" vertical="center" wrapText="1"/>
      <protection/>
    </xf>
    <xf numFmtId="9" fontId="89" fillId="0" borderId="34" xfId="81" applyFont="1" applyFill="1" applyBorder="1" applyAlignment="1" applyProtection="1">
      <alignment horizontal="center" vertical="center" wrapText="1"/>
      <protection/>
    </xf>
    <xf numFmtId="9" fontId="89" fillId="0" borderId="71" xfId="81" applyFont="1" applyFill="1" applyBorder="1" applyAlignment="1" applyProtection="1">
      <alignment horizontal="center" vertical="center" wrapText="1"/>
      <protection/>
    </xf>
    <xf numFmtId="9" fontId="89" fillId="0" borderId="65" xfId="81" applyFont="1" applyFill="1" applyBorder="1" applyAlignment="1" applyProtection="1">
      <alignment horizontal="center" vertical="center" wrapText="1"/>
      <protection/>
    </xf>
    <xf numFmtId="9" fontId="89" fillId="0" borderId="35" xfId="81"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3" fontId="11" fillId="0" borderId="64" xfId="72" applyNumberFormat="1" applyFont="1" applyFill="1" applyBorder="1" applyAlignment="1" applyProtection="1">
      <alignment horizontal="center" vertical="center" wrapText="1"/>
      <protection/>
    </xf>
    <xf numFmtId="3" fontId="11" fillId="0" borderId="42" xfId="72" applyNumberFormat="1" applyFont="1" applyFill="1" applyBorder="1" applyAlignment="1" applyProtection="1">
      <alignment horizontal="center" vertical="center" wrapText="1"/>
      <protection/>
    </xf>
    <xf numFmtId="0" fontId="89" fillId="0" borderId="13" xfId="72" applyFont="1" applyFill="1" applyBorder="1" applyAlignment="1" applyProtection="1">
      <alignment horizontal="left" vertical="center" wrapText="1"/>
      <protection/>
    </xf>
    <xf numFmtId="0" fontId="89" fillId="0" borderId="21" xfId="72" applyFont="1" applyFill="1" applyBorder="1" applyAlignment="1" applyProtection="1">
      <alignment horizontal="left" vertical="center" wrapText="1"/>
      <protection/>
    </xf>
    <xf numFmtId="0" fontId="11" fillId="0" borderId="67" xfId="72" applyFont="1" applyFill="1" applyBorder="1" applyAlignment="1" applyProtection="1">
      <alignment horizontal="center" vertical="center" wrapText="1"/>
      <protection/>
    </xf>
    <xf numFmtId="0" fontId="11" fillId="0" borderId="69"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0" borderId="46" xfId="72" applyFont="1" applyFill="1" applyBorder="1" applyAlignment="1">
      <alignment horizontal="center" vertical="center" wrapText="1"/>
      <protection/>
    </xf>
    <xf numFmtId="0" fontId="11" fillId="0" borderId="47" xfId="72" applyFont="1" applyFill="1" applyBorder="1" applyAlignment="1">
      <alignment horizontal="center" vertical="center" wrapText="1"/>
      <protection/>
    </xf>
    <xf numFmtId="0" fontId="11" fillId="0" borderId="48" xfId="72" applyFont="1" applyFill="1" applyBorder="1" applyAlignment="1">
      <alignment horizontal="center" vertical="center" wrapText="1"/>
      <protection/>
    </xf>
    <xf numFmtId="0" fontId="11" fillId="5" borderId="73" xfId="72" applyFont="1" applyFill="1" applyBorder="1" applyAlignment="1">
      <alignment horizontal="center" vertical="center" wrapText="1"/>
      <protection/>
    </xf>
    <xf numFmtId="0" fontId="11" fillId="5" borderId="74" xfId="72" applyFont="1" applyFill="1" applyBorder="1" applyAlignment="1">
      <alignment horizontal="center" vertical="center" wrapText="1"/>
      <protection/>
    </xf>
    <xf numFmtId="9" fontId="11" fillId="0" borderId="73"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0" fontId="11" fillId="5" borderId="75" xfId="72" applyFont="1" applyFill="1" applyBorder="1" applyAlignment="1" applyProtection="1">
      <alignment horizontal="center" vertical="center" wrapText="1"/>
      <protection/>
    </xf>
    <xf numFmtId="0" fontId="11" fillId="5" borderId="74" xfId="72" applyFont="1" applyFill="1" applyBorder="1" applyAlignment="1" applyProtection="1">
      <alignment horizontal="center" vertical="center" wrapText="1"/>
      <protection/>
    </xf>
    <xf numFmtId="0" fontId="11" fillId="5" borderId="73" xfId="72" applyFont="1" applyFill="1" applyBorder="1" applyAlignment="1">
      <alignment horizontal="left" vertical="center" wrapText="1"/>
      <protection/>
    </xf>
    <xf numFmtId="0" fontId="11" fillId="5" borderId="74" xfId="72" applyFont="1" applyFill="1" applyBorder="1" applyAlignment="1">
      <alignment horizontal="left" vertical="center" wrapText="1"/>
      <protection/>
    </xf>
    <xf numFmtId="0" fontId="87" fillId="0" borderId="76" xfId="0" applyFont="1" applyFill="1" applyBorder="1" applyAlignment="1">
      <alignment horizontal="center" vertical="center" wrapText="1"/>
    </xf>
    <xf numFmtId="0" fontId="87"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87" fillId="0" borderId="78" xfId="0" applyFont="1" applyFill="1" applyBorder="1" applyAlignment="1">
      <alignment horizontal="center" vertical="center" wrapText="1"/>
    </xf>
    <xf numFmtId="0" fontId="87" fillId="0" borderId="62" xfId="0" applyFont="1" applyFill="1" applyBorder="1" applyAlignment="1">
      <alignment horizontal="center" vertical="center" wrapText="1"/>
    </xf>
    <xf numFmtId="0" fontId="11" fillId="38" borderId="67" xfId="72" applyFont="1" applyFill="1" applyBorder="1" applyAlignment="1" applyProtection="1">
      <alignment horizontal="center" vertical="center" wrapText="1"/>
      <protection/>
    </xf>
    <xf numFmtId="0" fontId="11" fillId="38" borderId="61" xfId="72" applyFont="1" applyFill="1" applyBorder="1" applyAlignment="1" applyProtection="1">
      <alignment horizontal="center" vertical="center" wrapText="1"/>
      <protection/>
    </xf>
    <xf numFmtId="0" fontId="11" fillId="38" borderId="69" xfId="72" applyFont="1" applyFill="1" applyBorder="1" applyAlignment="1" applyProtection="1">
      <alignment horizontal="center" vertical="center" wrapText="1"/>
      <protection/>
    </xf>
    <xf numFmtId="0" fontId="11" fillId="38" borderId="72" xfId="72" applyFont="1" applyFill="1" applyBorder="1" applyAlignment="1" applyProtection="1">
      <alignment horizontal="center" vertical="center" wrapText="1"/>
      <protection/>
    </xf>
    <xf numFmtId="0" fontId="11" fillId="5" borderId="50"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73" xfId="72" applyFont="1" applyFill="1" applyBorder="1" applyAlignment="1">
      <alignment horizontal="center" vertical="center" wrapText="1"/>
      <protection/>
    </xf>
    <xf numFmtId="0" fontId="11" fillId="0" borderId="75" xfId="72" applyFont="1" applyFill="1" applyBorder="1" applyAlignment="1">
      <alignment horizontal="center" vertical="center" wrapText="1"/>
      <protection/>
    </xf>
    <xf numFmtId="0" fontId="11" fillId="0" borderId="7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73" xfId="72" applyFont="1" applyFill="1" applyBorder="1" applyAlignment="1" applyProtection="1">
      <alignment horizontal="center" vertical="center" wrapText="1"/>
      <protection/>
    </xf>
    <xf numFmtId="0" fontId="10" fillId="0" borderId="75" xfId="72" applyFont="1" applyFill="1" applyBorder="1" applyAlignment="1" applyProtection="1">
      <alignment horizontal="center" vertical="center" wrapText="1"/>
      <protection/>
    </xf>
    <xf numFmtId="0" fontId="10" fillId="0" borderId="74"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2" xfId="72"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02" fillId="0" borderId="79" xfId="0" applyFont="1" applyBorder="1" applyAlignment="1">
      <alignment horizontal="left" vertical="center" wrapText="1"/>
    </xf>
    <xf numFmtId="0" fontId="102" fillId="0" borderId="38" xfId="0" applyFont="1" applyBorder="1" applyAlignment="1">
      <alignment horizontal="left" vertical="center" wrapText="1"/>
    </xf>
    <xf numFmtId="0" fontId="102" fillId="0" borderId="52" xfId="0" applyFont="1" applyBorder="1" applyAlignment="1">
      <alignment horizontal="left" vertical="center" wrapText="1"/>
    </xf>
    <xf numFmtId="0" fontId="11" fillId="5" borderId="80"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81"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0" fontId="93" fillId="0" borderId="80" xfId="0" applyFont="1" applyFill="1" applyBorder="1" applyAlignment="1">
      <alignment horizontal="center" vertical="center"/>
    </xf>
    <xf numFmtId="0" fontId="93" fillId="0" borderId="27" xfId="0" applyFont="1" applyFill="1" applyBorder="1" applyAlignment="1">
      <alignment horizontal="center" vertical="center"/>
    </xf>
    <xf numFmtId="0" fontId="93" fillId="0" borderId="28" xfId="0" applyFont="1" applyFill="1" applyBorder="1" applyAlignment="1">
      <alignment horizontal="center" vertical="center"/>
    </xf>
    <xf numFmtId="0" fontId="93" fillId="0" borderId="29" xfId="0" applyFont="1" applyFill="1" applyBorder="1" applyAlignment="1">
      <alignment horizontal="center" vertical="center"/>
    </xf>
    <xf numFmtId="0" fontId="93" fillId="0" borderId="81" xfId="0" applyFont="1" applyFill="1" applyBorder="1" applyAlignment="1">
      <alignment horizontal="center" vertical="center"/>
    </xf>
    <xf numFmtId="0" fontId="93"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87" fillId="0" borderId="82"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81"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03" fillId="0" borderId="83" xfId="0" applyFont="1" applyFill="1" applyBorder="1" applyAlignment="1">
      <alignment horizontal="center" vertical="center"/>
    </xf>
    <xf numFmtId="0" fontId="103" fillId="0" borderId="84" xfId="0" applyFont="1" applyFill="1" applyBorder="1" applyAlignment="1">
      <alignment horizontal="center" vertical="center"/>
    </xf>
    <xf numFmtId="0" fontId="103" fillId="0" borderId="85" xfId="0" applyFont="1" applyFill="1" applyBorder="1" applyAlignment="1">
      <alignment horizontal="center" vertical="center"/>
    </xf>
    <xf numFmtId="0" fontId="11" fillId="5" borderId="73" xfId="72" applyFont="1" applyFill="1" applyBorder="1" applyAlignment="1" applyProtection="1">
      <alignment horizontal="center" vertical="center" wrapText="1"/>
      <protection/>
    </xf>
    <xf numFmtId="0" fontId="11" fillId="0" borderId="80"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81"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75" xfId="72" applyFont="1" applyFill="1" applyBorder="1" applyAlignment="1">
      <alignment horizontal="center" vertical="center" wrapText="1"/>
      <protection/>
    </xf>
    <xf numFmtId="0" fontId="10" fillId="0" borderId="80"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0" fontId="11" fillId="0" borderId="46" xfId="72" applyFont="1" applyFill="1" applyBorder="1" applyAlignment="1" applyProtection="1">
      <alignment horizontal="center" vertical="center"/>
      <protection/>
    </xf>
    <xf numFmtId="0" fontId="11" fillId="0" borderId="47" xfId="72" applyFont="1" applyFill="1" applyBorder="1" applyAlignment="1" applyProtection="1">
      <alignment horizontal="center" vertical="center"/>
      <protection/>
    </xf>
    <xf numFmtId="0" fontId="11" fillId="0" borderId="48" xfId="72"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0" fillId="0" borderId="73" xfId="72" applyFont="1" applyFill="1" applyBorder="1" applyAlignment="1">
      <alignment horizontal="center" vertical="center" wrapText="1"/>
      <protection/>
    </xf>
    <xf numFmtId="0" fontId="10" fillId="0" borderId="75" xfId="72" applyFont="1" applyFill="1" applyBorder="1" applyAlignment="1">
      <alignment horizontal="center" vertical="center" wrapText="1"/>
      <protection/>
    </xf>
    <xf numFmtId="0" fontId="10" fillId="0" borderId="74" xfId="72" applyFont="1" applyFill="1" applyBorder="1" applyAlignment="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81"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9" fontId="11" fillId="0" borderId="73" xfId="72" applyNumberFormat="1" applyFont="1" applyFill="1" applyBorder="1" applyAlignment="1" applyProtection="1">
      <alignment horizontal="center" vertical="center" wrapText="1"/>
      <protection/>
    </xf>
    <xf numFmtId="9" fontId="11" fillId="0" borderId="74" xfId="72" applyNumberFormat="1"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11" fillId="5" borderId="80"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81"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14" fillId="0" borderId="73" xfId="72" applyFont="1" applyFill="1" applyBorder="1" applyAlignment="1">
      <alignment horizontal="center" vertical="center" wrapText="1"/>
      <protection/>
    </xf>
    <xf numFmtId="0" fontId="14" fillId="0" borderId="75" xfId="72" applyFont="1" applyFill="1" applyBorder="1" applyAlignment="1">
      <alignment horizontal="center" vertical="center" wrapText="1"/>
      <protection/>
    </xf>
    <xf numFmtId="0" fontId="14" fillId="0" borderId="74" xfId="72" applyFont="1" applyFill="1" applyBorder="1" applyAlignment="1">
      <alignment horizontal="center" vertical="center" wrapText="1"/>
      <protection/>
    </xf>
    <xf numFmtId="0" fontId="11" fillId="38" borderId="0"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0"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80"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188" fontId="11" fillId="38" borderId="40" xfId="66" applyNumberFormat="1" applyFont="1" applyFill="1" applyBorder="1" applyAlignment="1" applyProtection="1">
      <alignment horizontal="center" vertical="center" wrapText="1"/>
      <protection/>
    </xf>
    <xf numFmtId="188" fontId="11" fillId="38" borderId="86" xfId="66" applyNumberFormat="1" applyFont="1" applyFill="1" applyBorder="1" applyAlignment="1" applyProtection="1">
      <alignment horizontal="center" vertical="center" wrapText="1"/>
      <protection/>
    </xf>
    <xf numFmtId="188" fontId="11" fillId="38" borderId="79" xfId="66" applyNumberFormat="1" applyFont="1" applyFill="1" applyBorder="1" applyAlignment="1" applyProtection="1">
      <alignment horizontal="center" vertical="center" wrapText="1"/>
      <protection/>
    </xf>
    <xf numFmtId="0" fontId="11" fillId="39" borderId="28"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188" fontId="11" fillId="38" borderId="14" xfId="66" applyNumberFormat="1" applyFont="1" applyFill="1" applyBorder="1" applyAlignment="1" applyProtection="1">
      <alignment horizontal="center" vertical="center"/>
      <protection/>
    </xf>
    <xf numFmtId="188" fontId="11" fillId="38" borderId="17" xfId="66" applyNumberFormat="1" applyFont="1" applyFill="1" applyBorder="1" applyAlignment="1" applyProtection="1">
      <alignment horizontal="center" vertical="center"/>
      <protection/>
    </xf>
    <xf numFmtId="0" fontId="93" fillId="0" borderId="83" xfId="0" applyFont="1" applyFill="1" applyBorder="1" applyAlignment="1">
      <alignment horizontal="center" vertical="center"/>
    </xf>
    <xf numFmtId="0" fontId="93" fillId="0" borderId="85" xfId="0" applyFont="1" applyFill="1" applyBorder="1" applyAlignment="1">
      <alignment horizontal="center" vertical="center"/>
    </xf>
    <xf numFmtId="0" fontId="10" fillId="0" borderId="83" xfId="72" applyFont="1" applyFill="1" applyBorder="1" applyAlignment="1" applyProtection="1">
      <alignment horizontal="center" vertical="center" wrapText="1"/>
      <protection/>
    </xf>
    <xf numFmtId="0" fontId="10" fillId="0" borderId="84" xfId="72" applyFont="1" applyFill="1" applyBorder="1" applyAlignment="1" applyProtection="1">
      <alignment horizontal="center" vertical="center" wrapText="1"/>
      <protection/>
    </xf>
    <xf numFmtId="0" fontId="10" fillId="0" borderId="85"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90" fillId="0" borderId="79" xfId="0" applyFont="1" applyBorder="1" applyAlignment="1">
      <alignment horizontal="left" vertical="center" wrapText="1"/>
    </xf>
    <xf numFmtId="0" fontId="90" fillId="0" borderId="38" xfId="0" applyFont="1" applyBorder="1" applyAlignment="1">
      <alignment horizontal="left" vertical="center" wrapText="1"/>
    </xf>
    <xf numFmtId="0" fontId="90" fillId="0" borderId="52" xfId="0" applyFont="1" applyBorder="1" applyAlignment="1">
      <alignment horizontal="left" vertical="center" wrapText="1"/>
    </xf>
    <xf numFmtId="0" fontId="11" fillId="5" borderId="26"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188" fontId="11" fillId="38" borderId="14" xfId="66" applyNumberFormat="1" applyFont="1" applyFill="1" applyBorder="1" applyAlignment="1" applyProtection="1">
      <alignment horizontal="center" vertical="center" wrapText="1"/>
      <protection/>
    </xf>
    <xf numFmtId="188"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188" fontId="11" fillId="38" borderId="76" xfId="66" applyNumberFormat="1" applyFont="1" applyFill="1" applyBorder="1" applyAlignment="1" applyProtection="1">
      <alignment horizontal="center" vertical="center" wrapText="1"/>
      <protection/>
    </xf>
    <xf numFmtId="0" fontId="11" fillId="38" borderId="82" xfId="72" applyFont="1" applyFill="1" applyBorder="1" applyAlignment="1" applyProtection="1">
      <alignment horizontal="center" vertical="center" wrapText="1"/>
      <protection/>
    </xf>
    <xf numFmtId="0" fontId="11" fillId="38" borderId="70" xfId="72" applyFont="1" applyFill="1" applyBorder="1" applyAlignment="1" applyProtection="1">
      <alignment horizontal="center" vertical="center" wrapText="1"/>
      <protection/>
    </xf>
    <xf numFmtId="188" fontId="11" fillId="0" borderId="14" xfId="66" applyNumberFormat="1" applyFont="1" applyFill="1" applyBorder="1" applyAlignment="1" applyProtection="1">
      <alignment horizontal="center" vertical="center" wrapText="1"/>
      <protection/>
    </xf>
    <xf numFmtId="188" fontId="11" fillId="0" borderId="45" xfId="66" applyNumberFormat="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90" fillId="0" borderId="13" xfId="0" applyFont="1" applyBorder="1" applyAlignment="1">
      <alignment horizontal="left" vertical="center" wrapText="1"/>
    </xf>
    <xf numFmtId="0" fontId="90" fillId="0" borderId="39" xfId="0" applyFont="1" applyBorder="1" applyAlignment="1">
      <alignment horizontal="center" vertical="center"/>
    </xf>
    <xf numFmtId="0" fontId="90" fillId="0" borderId="15" xfId="0" applyFont="1" applyBorder="1" applyAlignment="1">
      <alignment horizontal="center" vertical="center"/>
    </xf>
    <xf numFmtId="0" fontId="90" fillId="0" borderId="44" xfId="0" applyFont="1" applyBorder="1" applyAlignment="1">
      <alignment horizontal="center" vertical="center"/>
    </xf>
    <xf numFmtId="0" fontId="90" fillId="11" borderId="14" xfId="0" applyFont="1" applyFill="1" applyBorder="1" applyAlignment="1">
      <alignment horizontal="center" vertical="center"/>
    </xf>
    <xf numFmtId="0" fontId="90" fillId="11" borderId="70" xfId="0" applyFont="1" applyFill="1" applyBorder="1" applyAlignment="1">
      <alignment horizontal="center" vertical="center"/>
    </xf>
    <xf numFmtId="0" fontId="90" fillId="11" borderId="17" xfId="0" applyFont="1" applyFill="1" applyBorder="1" applyAlignment="1">
      <alignment horizontal="center" vertical="center"/>
    </xf>
    <xf numFmtId="0" fontId="90" fillId="11" borderId="39" xfId="0" applyFont="1" applyFill="1" applyBorder="1" applyAlignment="1">
      <alignment horizontal="left" vertical="center"/>
    </xf>
    <xf numFmtId="0" fontId="90" fillId="11" borderId="15" xfId="0" applyFont="1" applyFill="1" applyBorder="1" applyAlignment="1">
      <alignment horizontal="left" vertical="center"/>
    </xf>
    <xf numFmtId="0" fontId="90" fillId="11" borderId="44" xfId="0" applyFont="1" applyFill="1" applyBorder="1" applyAlignment="1">
      <alignment horizontal="left" vertical="center"/>
    </xf>
    <xf numFmtId="0" fontId="90" fillId="0" borderId="14" xfId="0" applyFont="1" applyFill="1" applyBorder="1" applyAlignment="1">
      <alignment horizontal="center" vertical="center"/>
    </xf>
    <xf numFmtId="0" fontId="90" fillId="0" borderId="70"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64" xfId="0" applyFont="1" applyBorder="1" applyAlignment="1">
      <alignment horizontal="center" vertical="center"/>
    </xf>
    <xf numFmtId="0" fontId="90" fillId="0" borderId="41" xfId="0" applyFont="1" applyBorder="1" applyAlignment="1">
      <alignment horizontal="center" vertical="center"/>
    </xf>
    <xf numFmtId="0" fontId="90" fillId="0" borderId="42" xfId="0" applyFont="1" applyBorder="1" applyAlignment="1">
      <alignment horizontal="center" vertical="center"/>
    </xf>
    <xf numFmtId="0" fontId="90" fillId="11" borderId="14" xfId="0" applyFont="1" applyFill="1" applyBorder="1" applyAlignment="1">
      <alignment horizontal="center" vertical="center" wrapText="1"/>
    </xf>
    <xf numFmtId="0" fontId="90" fillId="11" borderId="17"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90" fillId="11" borderId="22" xfId="0" applyFont="1" applyFill="1" applyBorder="1" applyAlignment="1">
      <alignment horizontal="center" vertical="center" wrapText="1"/>
    </xf>
    <xf numFmtId="0" fontId="90" fillId="11" borderId="16" xfId="0" applyFont="1" applyFill="1" applyBorder="1" applyAlignment="1">
      <alignment horizontal="center" vertical="center" wrapText="1"/>
    </xf>
    <xf numFmtId="0" fontId="90" fillId="11" borderId="70" xfId="0" applyFont="1" applyFill="1" applyBorder="1" applyAlignment="1">
      <alignment horizontal="center" vertical="center" wrapText="1"/>
    </xf>
    <xf numFmtId="0" fontId="90" fillId="41" borderId="13" xfId="72" applyFont="1" applyFill="1" applyBorder="1" applyAlignment="1">
      <alignment horizontal="center" vertical="center" wrapText="1"/>
      <protection/>
    </xf>
    <xf numFmtId="0" fontId="11" fillId="41" borderId="13" xfId="72" applyFont="1" applyFill="1" applyBorder="1" applyAlignment="1">
      <alignment horizontal="center" vertical="center" wrapText="1"/>
      <protection/>
    </xf>
    <xf numFmtId="0" fontId="88" fillId="0" borderId="14" xfId="0" applyFont="1" applyBorder="1" applyAlignment="1">
      <alignment horizontal="left" vertical="center"/>
    </xf>
    <xf numFmtId="0" fontId="88" fillId="0" borderId="70" xfId="0" applyFont="1" applyBorder="1" applyAlignment="1">
      <alignment horizontal="left" vertical="center"/>
    </xf>
    <xf numFmtId="0" fontId="88" fillId="0" borderId="17" xfId="0" applyFont="1" applyBorder="1" applyAlignment="1">
      <alignment horizontal="left" vertical="center"/>
    </xf>
    <xf numFmtId="0" fontId="90" fillId="11" borderId="54" xfId="0" applyFont="1" applyFill="1" applyBorder="1" applyAlignment="1">
      <alignment horizontal="center" vertical="center" wrapText="1"/>
    </xf>
    <xf numFmtId="0" fontId="90" fillId="0" borderId="13" xfId="0" applyFont="1" applyFill="1" applyBorder="1" applyAlignment="1">
      <alignment horizontal="center" vertical="center" wrapText="1"/>
    </xf>
    <xf numFmtId="0" fontId="90" fillId="11" borderId="64" xfId="0" applyFont="1" applyFill="1" applyBorder="1" applyAlignment="1">
      <alignment horizontal="center" vertical="center"/>
    </xf>
    <xf numFmtId="0" fontId="90" fillId="11" borderId="41" xfId="0" applyFont="1" applyFill="1" applyBorder="1" applyAlignment="1">
      <alignment horizontal="center" vertical="center"/>
    </xf>
    <xf numFmtId="0" fontId="90" fillId="11" borderId="42" xfId="0" applyFont="1" applyFill="1" applyBorder="1" applyAlignment="1">
      <alignment horizontal="center" vertical="center"/>
    </xf>
    <xf numFmtId="0" fontId="90" fillId="11" borderId="66" xfId="0" applyFont="1" applyFill="1" applyBorder="1" applyAlignment="1">
      <alignment horizontal="center" vertical="center"/>
    </xf>
    <xf numFmtId="0" fontId="90" fillId="11" borderId="0" xfId="0" applyFont="1" applyFill="1" applyBorder="1" applyAlignment="1">
      <alignment horizontal="center" vertical="center"/>
    </xf>
    <xf numFmtId="0" fontId="90" fillId="11" borderId="43" xfId="0" applyFont="1" applyFill="1" applyBorder="1" applyAlignment="1">
      <alignment horizontal="center" vertical="center"/>
    </xf>
    <xf numFmtId="0" fontId="90" fillId="11" borderId="39" xfId="0" applyFont="1" applyFill="1" applyBorder="1" applyAlignment="1">
      <alignment horizontal="center" vertical="center"/>
    </xf>
    <xf numFmtId="0" fontId="90" fillId="11" borderId="15" xfId="0" applyFont="1" applyFill="1" applyBorder="1" applyAlignment="1">
      <alignment horizontal="center" vertical="center"/>
    </xf>
    <xf numFmtId="0" fontId="90" fillId="11" borderId="44" xfId="0" applyFont="1" applyFill="1" applyBorder="1" applyAlignment="1">
      <alignment horizontal="center" vertical="center"/>
    </xf>
    <xf numFmtId="0" fontId="90" fillId="11" borderId="13" xfId="0" applyFont="1" applyFill="1" applyBorder="1" applyAlignment="1">
      <alignment horizontal="center" vertical="center"/>
    </xf>
    <xf numFmtId="0" fontId="104" fillId="0" borderId="13" xfId="0" applyFont="1" applyFill="1" applyBorder="1" applyAlignment="1">
      <alignment horizontal="center" vertical="center"/>
    </xf>
    <xf numFmtId="0" fontId="90" fillId="11" borderId="14" xfId="0" applyFont="1" applyFill="1" applyBorder="1" applyAlignment="1">
      <alignment horizontal="left" vertical="center"/>
    </xf>
    <xf numFmtId="0" fontId="90" fillId="11" borderId="70" xfId="0" applyFont="1" applyFill="1" applyBorder="1" applyAlignment="1">
      <alignment horizontal="left" vertical="center"/>
    </xf>
    <xf numFmtId="0" fontId="90" fillId="11" borderId="17" xfId="0" applyFont="1" applyFill="1" applyBorder="1" applyAlignment="1">
      <alignment horizontal="left" vertical="center"/>
    </xf>
    <xf numFmtId="0" fontId="88" fillId="0" borderId="39" xfId="0" applyFont="1" applyBorder="1" applyAlignment="1">
      <alignment horizontal="center" vertical="center"/>
    </xf>
    <xf numFmtId="0" fontId="88" fillId="0" borderId="15" xfId="0" applyFont="1" applyBorder="1" applyAlignment="1">
      <alignment horizontal="center" vertical="center"/>
    </xf>
    <xf numFmtId="0" fontId="88" fillId="0" borderId="70" xfId="0" applyFont="1" applyBorder="1" applyAlignment="1">
      <alignment horizontal="center" vertical="center"/>
    </xf>
    <xf numFmtId="0" fontId="88" fillId="0" borderId="17" xfId="0" applyFont="1" applyBorder="1" applyAlignment="1">
      <alignment horizontal="center" vertical="center"/>
    </xf>
    <xf numFmtId="0" fontId="88" fillId="0" borderId="14" xfId="0" applyFont="1" applyBorder="1" applyAlignment="1">
      <alignment horizontal="center" vertical="center"/>
    </xf>
    <xf numFmtId="0" fontId="90" fillId="0" borderId="64" xfId="0" applyFont="1" applyBorder="1" applyAlignment="1">
      <alignment vertical="center" wrapText="1"/>
    </xf>
    <xf numFmtId="0" fontId="90" fillId="0" borderId="41" xfId="0" applyFont="1" applyBorder="1" applyAlignment="1">
      <alignment vertical="center" wrapText="1"/>
    </xf>
    <xf numFmtId="0" fontId="90" fillId="0" borderId="42" xfId="0" applyFont="1" applyBorder="1" applyAlignment="1">
      <alignment vertical="center" wrapText="1"/>
    </xf>
    <xf numFmtId="0" fontId="90"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90" fillId="17" borderId="14" xfId="0" applyFont="1" applyFill="1" applyBorder="1" applyAlignment="1">
      <alignment horizontal="center" vertical="center"/>
    </xf>
    <xf numFmtId="0" fontId="90" fillId="17" borderId="17" xfId="0" applyFont="1" applyFill="1" applyBorder="1" applyAlignment="1">
      <alignment horizontal="center" vertical="center"/>
    </xf>
    <xf numFmtId="0" fontId="90" fillId="0" borderId="14" xfId="0" applyFont="1" applyFill="1" applyBorder="1" applyAlignment="1">
      <alignment horizontal="left" vertical="center" wrapText="1"/>
    </xf>
    <xf numFmtId="0" fontId="90" fillId="0" borderId="17" xfId="0" applyFont="1" applyFill="1" applyBorder="1" applyAlignment="1">
      <alignment horizontal="left" vertical="center" wrapText="1"/>
    </xf>
    <xf numFmtId="0" fontId="88" fillId="0" borderId="22" xfId="0" applyFont="1" applyFill="1" applyBorder="1" applyAlignment="1">
      <alignment horizontal="left" vertical="center" wrapText="1"/>
    </xf>
    <xf numFmtId="0" fontId="88" fillId="0" borderId="54" xfId="0" applyFont="1" applyFill="1" applyBorder="1" applyAlignment="1">
      <alignment horizontal="left" vertical="center" wrapText="1"/>
    </xf>
    <xf numFmtId="0" fontId="88" fillId="0" borderId="16" xfId="0" applyFont="1" applyFill="1" applyBorder="1" applyAlignment="1">
      <alignment horizontal="left" vertical="center" wrapText="1"/>
    </xf>
    <xf numFmtId="41" fontId="88" fillId="0" borderId="64" xfId="60" applyFont="1" applyFill="1" applyBorder="1" applyAlignment="1">
      <alignment horizontal="left" vertical="center"/>
    </xf>
    <xf numFmtId="41" fontId="88" fillId="0" borderId="66" xfId="60" applyFont="1" applyFill="1" applyBorder="1" applyAlignment="1">
      <alignment horizontal="left" vertical="center"/>
    </xf>
    <xf numFmtId="41" fontId="88" fillId="0" borderId="39" xfId="60" applyFont="1" applyFill="1" applyBorder="1" applyAlignment="1">
      <alignment horizontal="left" vertical="center"/>
    </xf>
    <xf numFmtId="189" fontId="87" fillId="0" borderId="13" xfId="58" applyNumberFormat="1" applyFont="1" applyBorder="1" applyAlignment="1">
      <alignment horizontal="center" vertical="center" wrapText="1"/>
    </xf>
    <xf numFmtId="189" fontId="87" fillId="0" borderId="13" xfId="58" applyNumberFormat="1" applyFont="1" applyBorder="1" applyAlignment="1">
      <alignment horizontal="center" vertical="center"/>
    </xf>
    <xf numFmtId="189" fontId="87" fillId="0" borderId="14" xfId="58" applyNumberFormat="1" applyFont="1" applyBorder="1" applyAlignment="1">
      <alignment horizontal="center" vertical="center"/>
    </xf>
    <xf numFmtId="189" fontId="87" fillId="0" borderId="70" xfId="58" applyNumberFormat="1" applyFont="1" applyBorder="1" applyAlignment="1">
      <alignment horizontal="center" vertical="center"/>
    </xf>
    <xf numFmtId="189" fontId="87" fillId="0" borderId="17" xfId="58" applyNumberFormat="1" applyFont="1" applyBorder="1" applyAlignment="1">
      <alignment horizontal="center" vertical="center"/>
    </xf>
    <xf numFmtId="9" fontId="10" fillId="38" borderId="39" xfId="72" applyNumberFormat="1" applyFont="1" applyFill="1" applyBorder="1" applyAlignment="1">
      <alignment horizontal="left" vertical="center" wrapText="1"/>
      <protection/>
    </xf>
    <xf numFmtId="9" fontId="10" fillId="38" borderId="70" xfId="72" applyNumberFormat="1" applyFont="1" applyFill="1" applyBorder="1" applyAlignment="1">
      <alignment horizontal="left" vertical="center" wrapText="1"/>
      <protection/>
    </xf>
    <xf numFmtId="9" fontId="10" fillId="38" borderId="17" xfId="72" applyNumberFormat="1" applyFont="1" applyFill="1" applyBorder="1" applyAlignment="1">
      <alignment horizontal="left" vertical="center" wrapText="1"/>
      <protection/>
    </xf>
    <xf numFmtId="9" fontId="10" fillId="0" borderId="64" xfId="72" applyNumberFormat="1" applyFont="1" applyBorder="1" applyAlignment="1">
      <alignment horizontal="left" vertical="center" wrapText="1"/>
      <protection/>
    </xf>
    <xf numFmtId="9" fontId="10" fillId="0" borderId="41" xfId="72" applyNumberFormat="1" applyFont="1" applyBorder="1" applyAlignment="1">
      <alignment horizontal="left" vertical="center" wrapText="1"/>
      <protection/>
    </xf>
    <xf numFmtId="9" fontId="10" fillId="0" borderId="42" xfId="72" applyNumberFormat="1" applyFont="1" applyBorder="1" applyAlignment="1">
      <alignment horizontal="left" vertical="center" wrapText="1"/>
      <protection/>
    </xf>
    <xf numFmtId="9" fontId="10" fillId="0" borderId="39" xfId="72" applyNumberFormat="1" applyFont="1" applyBorder="1" applyAlignment="1">
      <alignment horizontal="left" vertical="center" wrapText="1"/>
      <protection/>
    </xf>
    <xf numFmtId="9" fontId="10" fillId="0" borderId="15" xfId="72" applyNumberFormat="1" applyFont="1" applyBorder="1" applyAlignment="1">
      <alignment horizontal="left" vertical="center" wrapText="1"/>
      <protection/>
    </xf>
    <xf numFmtId="9" fontId="10" fillId="0" borderId="44" xfId="72" applyNumberFormat="1" applyFont="1" applyBorder="1" applyAlignment="1">
      <alignment horizontal="left" vertical="center" wrapText="1"/>
      <protection/>
    </xf>
    <xf numFmtId="14" fontId="93" fillId="0" borderId="64" xfId="0" applyNumberFormat="1" applyFont="1" applyBorder="1" applyAlignment="1">
      <alignment horizontal="center" vertical="center"/>
    </xf>
    <xf numFmtId="0" fontId="93" fillId="0" borderId="42" xfId="0" applyFont="1" applyBorder="1" applyAlignment="1">
      <alignment horizontal="center" vertical="center"/>
    </xf>
    <xf numFmtId="0" fontId="93" fillId="0" borderId="66" xfId="0" applyFont="1" applyBorder="1" applyAlignment="1">
      <alignment horizontal="center" vertical="center"/>
    </xf>
    <xf numFmtId="0" fontId="93" fillId="0" borderId="43" xfId="0" applyFont="1" applyBorder="1" applyAlignment="1">
      <alignment horizontal="center" vertical="center"/>
    </xf>
    <xf numFmtId="0" fontId="93" fillId="0" borderId="39" xfId="0" applyFont="1" applyBorder="1" applyAlignment="1">
      <alignment horizontal="center" vertical="center"/>
    </xf>
    <xf numFmtId="0" fontId="93" fillId="0" borderId="44" xfId="0" applyFont="1" applyBorder="1" applyAlignment="1">
      <alignment horizontal="center" vertical="center"/>
    </xf>
    <xf numFmtId="0" fontId="87" fillId="0" borderId="78" xfId="0" applyFont="1" applyBorder="1" applyAlignment="1">
      <alignment horizontal="center" vertical="center" wrapText="1"/>
    </xf>
    <xf numFmtId="0" fontId="87" fillId="0" borderId="62" xfId="0" applyFont="1" applyBorder="1" applyAlignment="1">
      <alignment horizontal="center" vertical="center" wrapText="1"/>
    </xf>
    <xf numFmtId="0" fontId="10" fillId="0" borderId="80" xfId="72" applyFont="1" applyBorder="1" applyAlignment="1">
      <alignment horizontal="center" vertical="center" wrapText="1"/>
      <protection/>
    </xf>
    <xf numFmtId="0" fontId="10" fillId="0" borderId="28" xfId="72" applyFont="1" applyBorder="1" applyAlignment="1">
      <alignment horizontal="center" vertical="center" wrapText="1"/>
      <protection/>
    </xf>
    <xf numFmtId="0" fontId="10" fillId="0" borderId="81" xfId="72" applyFont="1" applyBorder="1" applyAlignment="1">
      <alignment horizontal="center" vertical="center" wrapText="1"/>
      <protection/>
    </xf>
    <xf numFmtId="0" fontId="11" fillId="0" borderId="46" xfId="72" applyFont="1" applyBorder="1" applyAlignment="1">
      <alignment horizontal="center" vertical="center"/>
      <protection/>
    </xf>
    <xf numFmtId="0" fontId="11" fillId="0" borderId="47" xfId="72" applyFont="1" applyBorder="1" applyAlignment="1">
      <alignment horizontal="center" vertical="center"/>
      <protection/>
    </xf>
    <xf numFmtId="0" fontId="11" fillId="0" borderId="48" xfId="72" applyFont="1" applyBorder="1" applyAlignment="1">
      <alignment horizontal="center" vertical="center"/>
      <protection/>
    </xf>
    <xf numFmtId="0" fontId="18" fillId="0" borderId="61" xfId="0" applyFont="1" applyBorder="1" applyAlignment="1">
      <alignment horizontal="left" vertical="center" wrapText="1"/>
    </xf>
    <xf numFmtId="0" fontId="18" fillId="0" borderId="69" xfId="0" applyFont="1" applyBorder="1" applyAlignment="1">
      <alignment horizontal="left" vertical="center" wrapText="1"/>
    </xf>
    <xf numFmtId="0" fontId="18" fillId="0" borderId="7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7" xfId="72" applyFont="1" applyBorder="1" applyAlignment="1">
      <alignment horizontal="center" vertical="center" wrapText="1"/>
      <protection/>
    </xf>
    <xf numFmtId="0" fontId="11" fillId="0" borderId="69" xfId="72" applyFont="1" applyBorder="1" applyAlignment="1">
      <alignment horizontal="center" vertical="center" wrapText="1"/>
      <protection/>
    </xf>
    <xf numFmtId="0" fontId="11" fillId="0" borderId="72" xfId="72" applyFont="1" applyBorder="1" applyAlignment="1">
      <alignment horizontal="center" vertical="center" wrapText="1"/>
      <protection/>
    </xf>
    <xf numFmtId="0" fontId="11" fillId="0" borderId="50" xfId="72" applyFont="1" applyBorder="1" applyAlignment="1">
      <alignment horizontal="center" vertical="center" wrapText="1"/>
      <protection/>
    </xf>
    <xf numFmtId="0" fontId="11" fillId="0" borderId="38" xfId="72" applyFont="1" applyBorder="1" applyAlignment="1">
      <alignment horizontal="center" vertical="center" wrapText="1"/>
      <protection/>
    </xf>
    <xf numFmtId="0" fontId="11" fillId="0" borderId="52" xfId="72" applyFont="1" applyBorder="1" applyAlignment="1">
      <alignment horizontal="center" vertical="center" wrapText="1"/>
      <protection/>
    </xf>
    <xf numFmtId="0" fontId="0" fillId="0" borderId="78" xfId="0" applyBorder="1" applyAlignment="1">
      <alignment horizontal="center" vertical="center"/>
    </xf>
    <xf numFmtId="0" fontId="0" fillId="0" borderId="62" xfId="0" applyBorder="1" applyAlignment="1">
      <alignment horizontal="center" vertical="center"/>
    </xf>
    <xf numFmtId="0" fontId="87" fillId="0" borderId="82" xfId="0" applyFont="1" applyBorder="1" applyAlignment="1">
      <alignment horizontal="center" vertical="center" wrapText="1"/>
    </xf>
    <xf numFmtId="0" fontId="87" fillId="0" borderId="45" xfId="0" applyFont="1" applyBorder="1" applyAlignment="1">
      <alignment horizontal="center" vertical="center" wrapText="1"/>
    </xf>
    <xf numFmtId="0" fontId="0" fillId="0" borderId="82" xfId="0" applyBorder="1" applyAlignment="1">
      <alignment horizontal="center" vertical="center"/>
    </xf>
    <xf numFmtId="0" fontId="0" fillId="0" borderId="45" xfId="0" applyBorder="1" applyAlignment="1">
      <alignment horizontal="center" vertical="center"/>
    </xf>
    <xf numFmtId="0" fontId="87" fillId="0" borderId="76" xfId="0" applyFont="1" applyBorder="1" applyAlignment="1">
      <alignment horizontal="center" vertical="center" wrapText="1"/>
    </xf>
    <xf numFmtId="0" fontId="87" fillId="0" borderId="77"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0" xfId="72" applyFont="1" applyBorder="1" applyAlignment="1">
      <alignment horizontal="center" vertical="center" wrapText="1"/>
      <protection/>
    </xf>
    <xf numFmtId="0" fontId="11" fillId="0" borderId="26" xfId="72" applyFont="1" applyBorder="1" applyAlignment="1">
      <alignment horizontal="center" vertical="center" wrapText="1"/>
      <protection/>
    </xf>
    <xf numFmtId="0" fontId="11" fillId="0" borderId="27" xfId="72" applyFont="1" applyBorder="1" applyAlignment="1">
      <alignment horizontal="center" vertical="center" wrapText="1"/>
      <protection/>
    </xf>
    <xf numFmtId="0" fontId="11" fillId="0" borderId="28" xfId="72" applyFont="1" applyBorder="1" applyAlignment="1">
      <alignment horizontal="center" vertical="center" wrapText="1"/>
      <protection/>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0" borderId="81" xfId="72" applyFont="1" applyBorder="1" applyAlignment="1">
      <alignment horizontal="center" vertical="center" wrapText="1"/>
      <protection/>
    </xf>
    <xf numFmtId="0" fontId="11" fillId="0" borderId="34" xfId="72" applyFont="1" applyBorder="1" applyAlignment="1">
      <alignment horizontal="center" vertical="center" wrapText="1"/>
      <protection/>
    </xf>
    <xf numFmtId="0" fontId="11" fillId="0" borderId="35" xfId="72" applyFont="1" applyBorder="1" applyAlignment="1">
      <alignment horizontal="center" vertical="center" wrapText="1"/>
      <protection/>
    </xf>
    <xf numFmtId="0" fontId="103" fillId="0" borderId="83" xfId="0" applyFont="1" applyBorder="1" applyAlignment="1">
      <alignment horizontal="center" vertical="center"/>
    </xf>
    <xf numFmtId="0" fontId="103" fillId="0" borderId="84" xfId="0" applyFont="1" applyBorder="1" applyAlignment="1">
      <alignment horizontal="center" vertical="center"/>
    </xf>
    <xf numFmtId="0" fontId="103" fillId="0" borderId="85" xfId="0" applyFont="1" applyBorder="1" applyAlignment="1">
      <alignment horizontal="center" vertical="center"/>
    </xf>
    <xf numFmtId="0" fontId="11" fillId="5" borderId="0" xfId="72" applyFont="1" applyFill="1" applyAlignment="1">
      <alignment horizontal="left" vertical="center" wrapText="1"/>
      <protection/>
    </xf>
    <xf numFmtId="0" fontId="11" fillId="0" borderId="73" xfId="72" applyFont="1" applyBorder="1" applyAlignment="1">
      <alignment horizontal="center" vertical="center" wrapText="1"/>
      <protection/>
    </xf>
    <xf numFmtId="0" fontId="11" fillId="0" borderId="75" xfId="72" applyFont="1" applyBorder="1" applyAlignment="1">
      <alignment horizontal="center" vertical="center" wrapText="1"/>
      <protection/>
    </xf>
    <xf numFmtId="0" fontId="11" fillId="0" borderId="74" xfId="72" applyFont="1" applyBorder="1" applyAlignment="1">
      <alignment horizontal="center" vertical="center" wrapText="1"/>
      <protection/>
    </xf>
    <xf numFmtId="0" fontId="11" fillId="0" borderId="46" xfId="72" applyFont="1" applyBorder="1" applyAlignment="1">
      <alignment horizontal="center" vertical="center" wrapText="1"/>
      <protection/>
    </xf>
    <xf numFmtId="0" fontId="11" fillId="0" borderId="47" xfId="72" applyFont="1" applyBorder="1" applyAlignment="1">
      <alignment horizontal="center" vertical="center" wrapText="1"/>
      <protection/>
    </xf>
    <xf numFmtId="0" fontId="11" fillId="0" borderId="48" xfId="72" applyFont="1" applyBorder="1" applyAlignment="1">
      <alignment horizontal="center" vertical="center" wrapText="1"/>
      <protection/>
    </xf>
    <xf numFmtId="0" fontId="11" fillId="38" borderId="34" xfId="72" applyFont="1" applyFill="1" applyBorder="1" applyAlignment="1">
      <alignment horizontal="left" vertical="center" wrapText="1"/>
      <protection/>
    </xf>
    <xf numFmtId="0" fontId="10" fillId="0" borderId="73" xfId="72" applyFont="1" applyBorder="1" applyAlignment="1">
      <alignment horizontal="center" vertical="center" wrapText="1"/>
      <protection/>
    </xf>
    <xf numFmtId="0" fontId="10" fillId="0" borderId="75" xfId="72" applyFont="1" applyBorder="1" applyAlignment="1">
      <alignment horizontal="center" vertical="center" wrapText="1"/>
      <protection/>
    </xf>
    <xf numFmtId="0" fontId="10" fillId="0" borderId="74" xfId="72" applyFont="1" applyBorder="1" applyAlignment="1">
      <alignment horizontal="center" vertical="center" wrapText="1"/>
      <protection/>
    </xf>
    <xf numFmtId="9" fontId="11" fillId="0" borderId="73" xfId="72" applyNumberFormat="1" applyFont="1" applyBorder="1" applyAlignment="1">
      <alignment horizontal="center" vertical="center" wrapText="1"/>
      <protection/>
    </xf>
    <xf numFmtId="9" fontId="11" fillId="0" borderId="74" xfId="72" applyNumberFormat="1" applyFont="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67"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13" xfId="72" applyFont="1" applyFill="1" applyBorder="1" applyAlignment="1">
      <alignment horizontal="center" vertical="center" wrapText="1"/>
      <protection/>
    </xf>
    <xf numFmtId="0" fontId="11" fillId="5" borderId="50"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0" fontId="11" fillId="38" borderId="67" xfId="72" applyFont="1" applyFill="1" applyBorder="1" applyAlignment="1">
      <alignment horizontal="center" vertical="center" wrapText="1"/>
      <protection/>
    </xf>
    <xf numFmtId="0" fontId="11" fillId="38" borderId="61" xfId="72" applyFont="1" applyFill="1" applyBorder="1" applyAlignment="1">
      <alignment horizontal="center" vertical="center" wrapText="1"/>
      <protection/>
    </xf>
    <xf numFmtId="0" fontId="11" fillId="38" borderId="69" xfId="72" applyFont="1" applyFill="1" applyBorder="1" applyAlignment="1">
      <alignment horizontal="center" vertical="center" wrapText="1"/>
      <protection/>
    </xf>
    <xf numFmtId="0" fontId="11" fillId="38" borderId="72" xfId="72" applyFont="1" applyFill="1" applyBorder="1" applyAlignment="1">
      <alignment horizontal="center" vertical="center" wrapText="1"/>
      <protection/>
    </xf>
    <xf numFmtId="0" fontId="11" fillId="5" borderId="49" xfId="72" applyFont="1" applyFill="1" applyBorder="1" applyAlignment="1">
      <alignment horizontal="center" vertical="center" wrapText="1"/>
      <protection/>
    </xf>
    <xf numFmtId="0" fontId="11" fillId="5" borderId="18"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1" fillId="5" borderId="42" xfId="72" applyFont="1" applyFill="1" applyBorder="1" applyAlignment="1">
      <alignment horizontal="center" vertical="center" wrapText="1"/>
      <protection/>
    </xf>
    <xf numFmtId="0" fontId="11" fillId="5" borderId="39" xfId="72" applyFont="1" applyFill="1" applyBorder="1" applyAlignment="1">
      <alignment horizontal="center" vertical="center" wrapText="1"/>
      <protection/>
    </xf>
    <xf numFmtId="0" fontId="11" fillId="5" borderId="44" xfId="72" applyFont="1" applyFill="1" applyBorder="1" applyAlignment="1">
      <alignment horizontal="center" vertical="center" wrapText="1"/>
      <protection/>
    </xf>
    <xf numFmtId="0" fontId="11" fillId="5" borderId="70" xfId="72" applyFont="1" applyFill="1" applyBorder="1" applyAlignment="1">
      <alignment horizontal="center" vertical="center" wrapText="1"/>
      <protection/>
    </xf>
    <xf numFmtId="0" fontId="11" fillId="5" borderId="17" xfId="72" applyFont="1" applyFill="1" applyBorder="1" applyAlignment="1">
      <alignment horizontal="center" vertical="center" wrapText="1"/>
      <protection/>
    </xf>
    <xf numFmtId="0" fontId="11" fillId="5" borderId="21" xfId="72" applyFont="1" applyFill="1" applyBorder="1" applyAlignment="1">
      <alignment horizontal="center" vertical="center" wrapText="1"/>
      <protection/>
    </xf>
    <xf numFmtId="9" fontId="10" fillId="38" borderId="64" xfId="81" applyFont="1" applyFill="1" applyBorder="1" applyAlignment="1" applyProtection="1" quotePrefix="1">
      <alignment horizontal="left" vertical="center" wrapText="1"/>
      <protection/>
    </xf>
    <xf numFmtId="9" fontId="10" fillId="38" borderId="41" xfId="81" applyFont="1" applyFill="1" applyBorder="1" applyAlignment="1" applyProtection="1">
      <alignment horizontal="left" vertical="center" wrapText="1"/>
      <protection/>
    </xf>
    <xf numFmtId="9" fontId="10" fillId="38" borderId="65" xfId="81" applyFont="1" applyFill="1" applyBorder="1" applyAlignment="1" applyProtection="1">
      <alignment horizontal="left" vertical="center" wrapText="1"/>
      <protection/>
    </xf>
    <xf numFmtId="9" fontId="10" fillId="38" borderId="58" xfId="81" applyFont="1" applyFill="1" applyBorder="1" applyAlignment="1" applyProtection="1">
      <alignment horizontal="left" vertical="center" wrapText="1"/>
      <protection/>
    </xf>
    <xf numFmtId="9" fontId="10" fillId="38" borderId="34" xfId="81" applyFont="1" applyFill="1" applyBorder="1" applyAlignment="1" applyProtection="1">
      <alignment horizontal="left" vertical="center" wrapText="1"/>
      <protection/>
    </xf>
    <xf numFmtId="9" fontId="10" fillId="38" borderId="35" xfId="81" applyFont="1" applyFill="1" applyBorder="1" applyAlignment="1" applyProtection="1">
      <alignment horizontal="left" vertical="center" wrapText="1"/>
      <protection/>
    </xf>
    <xf numFmtId="3" fontId="11" fillId="0" borderId="64" xfId="72" applyNumberFormat="1" applyFont="1" applyBorder="1" applyAlignment="1">
      <alignment horizontal="center" vertical="center" wrapText="1"/>
      <protection/>
    </xf>
    <xf numFmtId="3" fontId="11" fillId="0" borderId="42" xfId="72" applyNumberFormat="1" applyFont="1" applyBorder="1" applyAlignment="1">
      <alignment horizontal="center" vertical="center" wrapText="1"/>
      <protection/>
    </xf>
    <xf numFmtId="0" fontId="89" fillId="0" borderId="13" xfId="72" applyFont="1" applyBorder="1" applyAlignment="1">
      <alignment horizontal="left" vertical="center" wrapText="1"/>
      <protection/>
    </xf>
    <xf numFmtId="0" fontId="89" fillId="0" borderId="21" xfId="72" applyFont="1" applyBorder="1" applyAlignment="1">
      <alignment horizontal="left" vertical="center" wrapText="1"/>
      <protection/>
    </xf>
    <xf numFmtId="0" fontId="10" fillId="5" borderId="13" xfId="72" applyFont="1" applyFill="1" applyBorder="1" applyAlignment="1">
      <alignment horizontal="center" vertical="center" wrapText="1"/>
      <protection/>
    </xf>
    <xf numFmtId="2" fontId="10" fillId="0" borderId="37" xfId="72" applyNumberFormat="1" applyFont="1" applyBorder="1" applyAlignment="1">
      <alignment vertical="center" wrapText="1"/>
      <protection/>
    </xf>
    <xf numFmtId="2" fontId="10" fillId="0" borderId="51" xfId="72" applyNumberFormat="1" applyFont="1" applyBorder="1" applyAlignment="1">
      <alignment vertical="center" wrapText="1"/>
      <protection/>
    </xf>
    <xf numFmtId="9" fontId="10" fillId="0" borderId="22"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38" borderId="14" xfId="72" applyNumberFormat="1" applyFont="1" applyFill="1" applyBorder="1" applyAlignment="1">
      <alignment horizontal="left" vertical="center" wrapText="1"/>
      <protection/>
    </xf>
    <xf numFmtId="0" fontId="11" fillId="5" borderId="15" xfId="72" applyFont="1" applyFill="1" applyBorder="1" applyAlignment="1">
      <alignment horizontal="center" vertical="center" wrapText="1"/>
      <protection/>
    </xf>
    <xf numFmtId="0" fontId="11" fillId="5" borderId="19" xfId="72" applyFont="1" applyFill="1" applyBorder="1" applyAlignment="1">
      <alignment horizontal="center" vertical="center" wrapText="1"/>
      <protection/>
    </xf>
    <xf numFmtId="0" fontId="10" fillId="0" borderId="37" xfId="72" applyFont="1" applyBorder="1" applyAlignment="1">
      <alignment horizontal="center" vertical="center" wrapText="1"/>
      <protection/>
    </xf>
    <xf numFmtId="0" fontId="10" fillId="0" borderId="63" xfId="72" applyFont="1" applyBorder="1" applyAlignment="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7" xfId="79" applyFont="1" applyFill="1" applyBorder="1" applyAlignment="1" applyProtection="1">
      <alignment horizontal="center" vertical="center" wrapText="1"/>
      <protection/>
    </xf>
    <xf numFmtId="9" fontId="10" fillId="38" borderId="64" xfId="81" applyFont="1" applyFill="1" applyBorder="1" applyAlignment="1" applyProtection="1">
      <alignment horizontal="left" vertical="center" wrapText="1"/>
      <protection/>
    </xf>
    <xf numFmtId="9" fontId="10" fillId="38" borderId="42" xfId="81" applyFont="1" applyFill="1" applyBorder="1" applyAlignment="1" applyProtection="1">
      <alignment horizontal="left" vertical="center" wrapText="1"/>
      <protection/>
    </xf>
    <xf numFmtId="9" fontId="10" fillId="38" borderId="71" xfId="81" applyFont="1" applyFill="1" applyBorder="1" applyAlignment="1" applyProtection="1">
      <alignment horizontal="left" vertical="center" wrapText="1"/>
      <protection/>
    </xf>
    <xf numFmtId="9" fontId="10" fillId="0" borderId="64"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2" xfId="81" applyFont="1" applyFill="1" applyBorder="1" applyAlignment="1" applyProtection="1">
      <alignment horizontal="left" vertical="center" wrapText="1"/>
      <protection/>
    </xf>
    <xf numFmtId="9" fontId="10" fillId="0" borderId="58"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71" xfId="81" applyFont="1" applyFill="1" applyBorder="1" applyAlignment="1" applyProtection="1">
      <alignment horizontal="left" vertical="center" wrapText="1"/>
      <protection/>
    </xf>
    <xf numFmtId="2" fontId="10" fillId="0" borderId="63" xfId="72" applyNumberFormat="1" applyFont="1" applyBorder="1" applyAlignment="1">
      <alignment vertical="center" wrapText="1"/>
      <protection/>
    </xf>
    <xf numFmtId="9" fontId="10" fillId="0" borderId="57" xfId="79" applyFont="1" applyFill="1" applyBorder="1" applyAlignment="1" applyProtection="1">
      <alignment horizontal="center" vertical="center" wrapText="1"/>
      <protection/>
    </xf>
    <xf numFmtId="9" fontId="10" fillId="0" borderId="64" xfId="72" applyNumberFormat="1" applyFont="1" applyBorder="1" applyAlignment="1" quotePrefix="1">
      <alignment horizontal="left" vertical="center" wrapText="1"/>
      <protection/>
    </xf>
    <xf numFmtId="9" fontId="10" fillId="0" borderId="65" xfId="72" applyNumberFormat="1" applyFont="1" applyBorder="1" applyAlignment="1">
      <alignment horizontal="left" vertical="center" wrapText="1"/>
      <protection/>
    </xf>
    <xf numFmtId="9" fontId="10" fillId="0" borderId="66" xfId="72" applyNumberFormat="1" applyFont="1" applyBorder="1" applyAlignment="1">
      <alignment horizontal="left" vertical="center" wrapText="1"/>
      <protection/>
    </xf>
    <xf numFmtId="9" fontId="10" fillId="0" borderId="0" xfId="72" applyNumberFormat="1" applyFont="1" applyAlignment="1">
      <alignment horizontal="left" vertical="center" wrapText="1"/>
      <protection/>
    </xf>
    <xf numFmtId="9" fontId="10" fillId="0" borderId="29" xfId="72" applyNumberFormat="1" applyFont="1" applyBorder="1" applyAlignment="1">
      <alignment horizontal="left" vertical="center" wrapText="1"/>
      <protection/>
    </xf>
    <xf numFmtId="0" fontId="11" fillId="5" borderId="87" xfId="72" applyFont="1" applyFill="1" applyBorder="1" applyAlignment="1">
      <alignment horizontal="center" vertical="center" wrapText="1"/>
      <protection/>
    </xf>
    <xf numFmtId="0" fontId="11" fillId="5" borderId="51" xfId="72" applyFont="1" applyFill="1" applyBorder="1" applyAlignment="1">
      <alignment horizontal="center" vertical="center" wrapText="1"/>
      <protection/>
    </xf>
    <xf numFmtId="0" fontId="11" fillId="5" borderId="68" xfId="72" applyFont="1" applyFill="1" applyBorder="1" applyAlignment="1">
      <alignment horizontal="center" vertical="center" wrapText="1"/>
      <protection/>
    </xf>
    <xf numFmtId="0" fontId="11" fillId="5" borderId="16"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2" fontId="10" fillId="38" borderId="20" xfId="72" applyNumberFormat="1" applyFont="1" applyFill="1" applyBorder="1" applyAlignment="1">
      <alignment vertical="center" wrapText="1"/>
      <protection/>
    </xf>
    <xf numFmtId="2" fontId="10" fillId="38" borderId="50" xfId="72" applyNumberFormat="1" applyFont="1" applyFill="1" applyBorder="1" applyAlignment="1">
      <alignment vertical="center" wrapText="1"/>
      <protection/>
    </xf>
    <xf numFmtId="190" fontId="10" fillId="0" borderId="22" xfId="79" applyNumberFormat="1" applyFont="1" applyBorder="1" applyAlignment="1">
      <alignment horizontal="center" vertical="center" wrapText="1"/>
    </xf>
    <xf numFmtId="190" fontId="10" fillId="0" borderId="57" xfId="79" applyNumberFormat="1" applyFont="1" applyBorder="1" applyAlignment="1">
      <alignment horizontal="center" vertical="center" wrapText="1"/>
    </xf>
    <xf numFmtId="9" fontId="88" fillId="0" borderId="64" xfId="72" applyNumberFormat="1" applyFont="1" applyBorder="1" applyAlignment="1">
      <alignment horizontal="left" vertical="center" wrapText="1"/>
      <protection/>
    </xf>
    <xf numFmtId="9" fontId="88" fillId="0" borderId="41" xfId="72" applyNumberFormat="1" applyFont="1" applyBorder="1" applyAlignment="1">
      <alignment horizontal="left" vertical="center" wrapText="1"/>
      <protection/>
    </xf>
    <xf numFmtId="9" fontId="88" fillId="0" borderId="65" xfId="72" applyNumberFormat="1" applyFont="1" applyBorder="1" applyAlignment="1">
      <alignment horizontal="left" vertical="center" wrapText="1"/>
      <protection/>
    </xf>
    <xf numFmtId="9" fontId="88" fillId="0" borderId="58" xfId="72" applyNumberFormat="1" applyFont="1" applyBorder="1" applyAlignment="1">
      <alignment horizontal="left" vertical="center" wrapText="1"/>
      <protection/>
    </xf>
    <xf numFmtId="9" fontId="88" fillId="0" borderId="34" xfId="72" applyNumberFormat="1" applyFont="1" applyBorder="1" applyAlignment="1">
      <alignment horizontal="left" vertical="center" wrapText="1"/>
      <protection/>
    </xf>
    <xf numFmtId="9" fontId="88" fillId="0" borderId="35" xfId="72" applyNumberFormat="1" applyFont="1" applyBorder="1" applyAlignment="1">
      <alignment horizontal="left" vertical="center" wrapText="1"/>
      <protection/>
    </xf>
    <xf numFmtId="2" fontId="11" fillId="0" borderId="20" xfId="72" applyNumberFormat="1" applyFont="1" applyFill="1" applyBorder="1" applyAlignment="1">
      <alignment vertical="center" wrapText="1"/>
      <protection/>
    </xf>
    <xf numFmtId="2" fontId="10" fillId="0" borderId="20" xfId="72" applyNumberFormat="1" applyFont="1" applyFill="1" applyBorder="1" applyAlignment="1">
      <alignment vertical="center" wrapText="1"/>
      <protection/>
    </xf>
    <xf numFmtId="190" fontId="10" fillId="0" borderId="16" xfId="79" applyNumberFormat="1" applyFont="1" applyBorder="1" applyAlignment="1">
      <alignment horizontal="center" vertical="center" wrapText="1"/>
    </xf>
    <xf numFmtId="2" fontId="10" fillId="0" borderId="51" xfId="72" applyNumberFormat="1" applyFont="1" applyFill="1" applyBorder="1" applyAlignment="1">
      <alignment vertical="center" wrapText="1"/>
      <protection/>
    </xf>
    <xf numFmtId="0" fontId="11" fillId="5" borderId="69" xfId="72" applyFont="1" applyFill="1" applyBorder="1" applyAlignment="1">
      <alignment horizontal="center" vertical="center" wrapText="1"/>
      <protection/>
    </xf>
    <xf numFmtId="190" fontId="10" fillId="0" borderId="54" xfId="79" applyNumberFormat="1" applyFont="1" applyBorder="1" applyAlignment="1">
      <alignment horizontal="center" vertical="center" wrapText="1"/>
    </xf>
    <xf numFmtId="0" fontId="10" fillId="0" borderId="37" xfId="72" applyFont="1" applyFill="1" applyBorder="1" applyAlignment="1">
      <alignment horizontal="center" vertical="center" wrapText="1"/>
      <protection/>
    </xf>
    <xf numFmtId="0" fontId="10" fillId="0" borderId="63" xfId="72" applyFont="1" applyFill="1" applyBorder="1" applyAlignment="1">
      <alignment horizontal="center" vertical="center" wrapText="1"/>
      <protection/>
    </xf>
    <xf numFmtId="9" fontId="11" fillId="0" borderId="22" xfId="72" applyNumberFormat="1" applyFont="1" applyBorder="1" applyAlignment="1">
      <alignment horizontal="center" vertical="center" wrapText="1"/>
      <protection/>
    </xf>
    <xf numFmtId="0" fontId="11" fillId="0" borderId="57" xfId="72" applyFont="1" applyBorder="1" applyAlignment="1">
      <alignment horizontal="center" vertical="center" wrapText="1"/>
      <protection/>
    </xf>
    <xf numFmtId="9" fontId="10" fillId="0" borderId="64"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58"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71" xfId="81" applyFont="1" applyFill="1" applyBorder="1" applyAlignment="1" applyProtection="1">
      <alignment horizontal="center" vertical="center" wrapText="1"/>
      <protection/>
    </xf>
    <xf numFmtId="3" fontId="10" fillId="0" borderId="64" xfId="72" applyNumberFormat="1" applyFont="1" applyBorder="1" applyAlignment="1">
      <alignment horizontal="center" vertical="center" wrapText="1"/>
      <protection/>
    </xf>
    <xf numFmtId="3" fontId="10" fillId="0" borderId="42" xfId="72" applyNumberFormat="1" applyFont="1" applyBorder="1" applyAlignment="1">
      <alignment horizontal="center" vertical="center" wrapText="1"/>
      <protection/>
    </xf>
    <xf numFmtId="0" fontId="11" fillId="0" borderId="0" xfId="72" applyFont="1" applyFill="1" applyAlignment="1">
      <alignment horizontal="center" vertical="center" wrapText="1"/>
      <protection/>
    </xf>
    <xf numFmtId="2" fontId="10" fillId="0" borderId="50" xfId="72" applyNumberFormat="1" applyFont="1" applyBorder="1" applyAlignment="1">
      <alignment horizontal="left" vertical="center" wrapText="1"/>
      <protection/>
    </xf>
    <xf numFmtId="2" fontId="10" fillId="0" borderId="63" xfId="72" applyNumberFormat="1" applyFont="1" applyBorder="1" applyAlignment="1">
      <alignment horizontal="left" vertical="center" wrapText="1"/>
      <protection/>
    </xf>
    <xf numFmtId="9" fontId="10" fillId="0" borderId="38" xfId="79" applyFont="1" applyFill="1" applyBorder="1" applyAlignment="1" applyProtection="1">
      <alignment horizontal="center" vertical="center" wrapText="1"/>
      <protection/>
    </xf>
    <xf numFmtId="9" fontId="88" fillId="0" borderId="52" xfId="72" applyNumberFormat="1" applyFont="1" applyBorder="1" applyAlignment="1">
      <alignment vertical="center" wrapText="1"/>
      <protection/>
    </xf>
    <xf numFmtId="9" fontId="88" fillId="0" borderId="41" xfId="72" applyNumberFormat="1" applyFont="1" applyBorder="1" applyAlignment="1">
      <alignment vertical="center" wrapText="1"/>
      <protection/>
    </xf>
    <xf numFmtId="9" fontId="88" fillId="0" borderId="65" xfId="72" applyNumberFormat="1" applyFont="1" applyBorder="1" applyAlignment="1">
      <alignment vertical="center" wrapText="1"/>
      <protection/>
    </xf>
    <xf numFmtId="9" fontId="88" fillId="0" borderId="58" xfId="72" applyNumberFormat="1" applyFont="1" applyBorder="1" applyAlignment="1">
      <alignment vertical="center" wrapText="1"/>
      <protection/>
    </xf>
    <xf numFmtId="9" fontId="88" fillId="0" borderId="34" xfId="72" applyNumberFormat="1" applyFont="1" applyBorder="1" applyAlignment="1">
      <alignment vertical="center" wrapText="1"/>
      <protection/>
    </xf>
    <xf numFmtId="9" fontId="88" fillId="0" borderId="35" xfId="72" applyNumberFormat="1" applyFont="1" applyBorder="1" applyAlignment="1">
      <alignment vertical="center" wrapText="1"/>
      <protection/>
    </xf>
    <xf numFmtId="2" fontId="10" fillId="0" borderId="51" xfId="72" applyNumberFormat="1" applyFont="1" applyBorder="1" applyAlignment="1">
      <alignment horizontal="left" vertical="center" wrapText="1"/>
      <protection/>
    </xf>
    <xf numFmtId="2" fontId="10" fillId="0" borderId="20" xfId="72" applyNumberFormat="1" applyFont="1" applyBorder="1" applyAlignment="1">
      <alignment horizontal="left" vertical="center" wrapText="1"/>
      <protection/>
    </xf>
    <xf numFmtId="9" fontId="10" fillId="0" borderId="54" xfId="79" applyFont="1" applyBorder="1" applyAlignment="1">
      <alignment horizontal="center" vertical="center" wrapText="1"/>
    </xf>
    <xf numFmtId="9" fontId="10" fillId="0" borderId="16" xfId="79" applyFont="1" applyBorder="1" applyAlignment="1">
      <alignment horizontal="center" vertical="center" wrapText="1"/>
    </xf>
    <xf numFmtId="9" fontId="11" fillId="0" borderId="64" xfId="72" applyNumberFormat="1" applyFont="1" applyBorder="1" applyAlignment="1">
      <alignment horizontal="left" vertical="center" wrapText="1"/>
      <protection/>
    </xf>
    <xf numFmtId="9" fontId="10" fillId="0" borderId="19" xfId="72" applyNumberFormat="1" applyFont="1" applyBorder="1" applyAlignment="1">
      <alignment horizontal="left" vertical="center" wrapText="1"/>
      <protection/>
    </xf>
    <xf numFmtId="9" fontId="10" fillId="0" borderId="22" xfId="72" applyNumberFormat="1" applyFont="1" applyBorder="1" applyAlignment="1">
      <alignment horizontal="center" vertical="center" wrapText="1"/>
      <protection/>
    </xf>
    <xf numFmtId="0" fontId="10" fillId="0" borderId="57" xfId="72" applyFont="1" applyBorder="1" applyAlignment="1">
      <alignment horizontal="center" vertical="center" wrapText="1"/>
      <protection/>
    </xf>
    <xf numFmtId="9" fontId="10" fillId="0" borderId="65"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0" fontId="10" fillId="0" borderId="83" xfId="72" applyFont="1" applyBorder="1" applyAlignment="1">
      <alignment horizontal="center" vertical="center" wrapText="1"/>
      <protection/>
    </xf>
    <xf numFmtId="0" fontId="10" fillId="0" borderId="84" xfId="72" applyFont="1" applyBorder="1" applyAlignment="1">
      <alignment horizontal="center" vertical="center" wrapText="1"/>
      <protection/>
    </xf>
    <xf numFmtId="0" fontId="10" fillId="0" borderId="85" xfId="72" applyFont="1" applyBorder="1" applyAlignment="1">
      <alignment horizontal="center" vertical="center" wrapText="1"/>
      <protection/>
    </xf>
    <xf numFmtId="0" fontId="11" fillId="0" borderId="80" xfId="72" applyFont="1" applyBorder="1" applyAlignment="1">
      <alignment horizontal="center" vertical="center"/>
      <protection/>
    </xf>
    <xf numFmtId="0" fontId="11" fillId="0" borderId="26" xfId="72" applyFont="1" applyBorder="1" applyAlignment="1">
      <alignment horizontal="center" vertical="center"/>
      <protection/>
    </xf>
    <xf numFmtId="0" fontId="11" fillId="0" borderId="27" xfId="72" applyFont="1" applyBorder="1" applyAlignment="1">
      <alignment horizontal="center" vertical="center"/>
      <protection/>
    </xf>
    <xf numFmtId="2" fontId="10" fillId="0" borderId="37" xfId="72" applyNumberFormat="1" applyFont="1" applyBorder="1" applyAlignment="1">
      <alignment horizontal="left" vertical="center" wrapText="1"/>
      <protection/>
    </xf>
    <xf numFmtId="9" fontId="10" fillId="0" borderId="22" xfId="79" applyFont="1" applyBorder="1" applyAlignment="1">
      <alignment horizontal="center" vertical="center" wrapText="1"/>
    </xf>
    <xf numFmtId="0" fontId="11" fillId="0" borderId="28" xfId="72" applyFont="1" applyBorder="1" applyAlignment="1">
      <alignment horizontal="center" vertical="center"/>
      <protection/>
    </xf>
    <xf numFmtId="0" fontId="11" fillId="0" borderId="0" xfId="72" applyFont="1" applyAlignment="1">
      <alignment horizontal="center" vertical="center"/>
      <protection/>
    </xf>
    <xf numFmtId="0" fontId="11" fillId="0" borderId="29" xfId="72" applyFont="1" applyBorder="1" applyAlignment="1">
      <alignment horizontal="center" vertical="center"/>
      <protection/>
    </xf>
    <xf numFmtId="0" fontId="10" fillId="0" borderId="88" xfId="0" applyFont="1" applyBorder="1" applyAlignment="1">
      <alignment horizontal="left" vertical="center" wrapText="1"/>
    </xf>
    <xf numFmtId="0" fontId="10" fillId="0" borderId="41" xfId="0" applyFont="1" applyBorder="1" applyAlignment="1">
      <alignment horizontal="left" vertical="center" wrapText="1"/>
    </xf>
    <xf numFmtId="0" fontId="10" fillId="0" borderId="65" xfId="0" applyFont="1" applyBorder="1" applyAlignment="1">
      <alignment horizontal="left" vertical="center" wrapText="1"/>
    </xf>
    <xf numFmtId="0" fontId="10" fillId="0" borderId="89"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92" fillId="0" borderId="64" xfId="0" applyFont="1" applyBorder="1" applyAlignment="1">
      <alignment horizontal="left" vertical="top" wrapText="1"/>
    </xf>
    <xf numFmtId="0" fontId="92" fillId="0" borderId="41" xfId="0" applyFont="1" applyBorder="1" applyAlignment="1">
      <alignment horizontal="left" vertical="top" wrapText="1"/>
    </xf>
    <xf numFmtId="0" fontId="92" fillId="0" borderId="42" xfId="0" applyFont="1" applyBorder="1" applyAlignment="1">
      <alignment horizontal="left" vertical="top" wrapText="1"/>
    </xf>
    <xf numFmtId="0" fontId="92" fillId="0" borderId="58" xfId="0" applyFont="1" applyBorder="1" applyAlignment="1">
      <alignment horizontal="left" vertical="top" wrapText="1"/>
    </xf>
    <xf numFmtId="0" fontId="92" fillId="0" borderId="34" xfId="0" applyFont="1" applyBorder="1" applyAlignment="1">
      <alignment horizontal="left" vertical="top" wrapText="1"/>
    </xf>
    <xf numFmtId="0" fontId="92" fillId="0" borderId="71" xfId="0" applyFont="1" applyBorder="1" applyAlignment="1">
      <alignment horizontal="left" vertical="top" wrapText="1"/>
    </xf>
    <xf numFmtId="190" fontId="10" fillId="0" borderId="54" xfId="79" applyNumberFormat="1" applyFont="1" applyFill="1" applyBorder="1" applyAlignment="1" applyProtection="1">
      <alignment horizontal="center" vertical="center" wrapText="1"/>
      <protection/>
    </xf>
    <xf numFmtId="190" fontId="10" fillId="0" borderId="16" xfId="79" applyNumberFormat="1" applyFont="1" applyFill="1" applyBorder="1" applyAlignment="1" applyProtection="1">
      <alignment horizontal="center" vertical="center" wrapText="1"/>
      <protection/>
    </xf>
    <xf numFmtId="9" fontId="105" fillId="0" borderId="64" xfId="72" applyNumberFormat="1" applyFont="1" applyBorder="1" applyAlignment="1">
      <alignment vertical="center" wrapText="1"/>
      <protection/>
    </xf>
    <xf numFmtId="9" fontId="105" fillId="0" borderId="41" xfId="72" applyNumberFormat="1" applyFont="1" applyBorder="1" applyAlignment="1">
      <alignment vertical="center" wrapText="1"/>
      <protection/>
    </xf>
    <xf numFmtId="9" fontId="105" fillId="0" borderId="65" xfId="72" applyNumberFormat="1" applyFont="1" applyBorder="1" applyAlignment="1">
      <alignment vertical="center" wrapText="1"/>
      <protection/>
    </xf>
    <xf numFmtId="9" fontId="105" fillId="0" borderId="39" xfId="72" applyNumberFormat="1" applyFont="1" applyBorder="1" applyAlignment="1">
      <alignment vertical="center" wrapText="1"/>
      <protection/>
    </xf>
    <xf numFmtId="9" fontId="105" fillId="0" borderId="15" xfId="72" applyNumberFormat="1" applyFont="1" applyBorder="1" applyAlignment="1">
      <alignment vertical="center" wrapText="1"/>
      <protection/>
    </xf>
    <xf numFmtId="9" fontId="105" fillId="0" borderId="19" xfId="72" applyNumberFormat="1" applyFont="1" applyBorder="1" applyAlignment="1">
      <alignment vertical="center" wrapText="1"/>
      <protection/>
    </xf>
    <xf numFmtId="0" fontId="105" fillId="0" borderId="64" xfId="0" applyFont="1" applyBorder="1" applyAlignment="1">
      <alignment vertical="center" wrapText="1"/>
    </xf>
    <xf numFmtId="0" fontId="19" fillId="0" borderId="41" xfId="0" applyFont="1" applyBorder="1" applyAlignment="1">
      <alignment vertical="center" wrapText="1"/>
    </xf>
    <xf numFmtId="0" fontId="19" fillId="0" borderId="90" xfId="0" applyFont="1" applyBorder="1" applyAlignment="1">
      <alignment vertical="center" wrapText="1"/>
    </xf>
    <xf numFmtId="0" fontId="19" fillId="0" borderId="91" xfId="0" applyFont="1" applyBorder="1" applyAlignment="1">
      <alignment vertical="center" wrapText="1"/>
    </xf>
    <xf numFmtId="0" fontId="19" fillId="0" borderId="92" xfId="0" applyFont="1" applyBorder="1" applyAlignment="1">
      <alignment vertical="center" wrapText="1"/>
    </xf>
    <xf numFmtId="0" fontId="19" fillId="0" borderId="93" xfId="0" applyFont="1" applyBorder="1" applyAlignment="1">
      <alignment vertical="center" wrapText="1"/>
    </xf>
    <xf numFmtId="9" fontId="19" fillId="0" borderId="64" xfId="72" applyNumberFormat="1" applyFont="1" applyBorder="1" applyAlignment="1">
      <alignment vertical="center" wrapText="1"/>
      <protection/>
    </xf>
    <xf numFmtId="9" fontId="19" fillId="0" borderId="41" xfId="72" applyNumberFormat="1" applyFont="1" applyBorder="1" applyAlignment="1">
      <alignment vertical="center" wrapText="1"/>
      <protection/>
    </xf>
    <xf numFmtId="9" fontId="19" fillId="0" borderId="65" xfId="72" applyNumberFormat="1" applyFont="1" applyBorder="1" applyAlignment="1">
      <alignment vertical="center" wrapText="1"/>
      <protection/>
    </xf>
    <xf numFmtId="9" fontId="19" fillId="0" borderId="39" xfId="72" applyNumberFormat="1" applyFont="1" applyBorder="1" applyAlignment="1">
      <alignment vertical="center" wrapText="1"/>
      <protection/>
    </xf>
    <xf numFmtId="9" fontId="19" fillId="0" borderId="15" xfId="72" applyNumberFormat="1" applyFont="1" applyBorder="1" applyAlignment="1">
      <alignment vertical="center" wrapText="1"/>
      <protection/>
    </xf>
    <xf numFmtId="9" fontId="19" fillId="0" borderId="19" xfId="72" applyNumberFormat="1" applyFont="1" applyBorder="1" applyAlignment="1">
      <alignment vertical="center" wrapText="1"/>
      <protection/>
    </xf>
    <xf numFmtId="0" fontId="0" fillId="0" borderId="51" xfId="0" applyBorder="1" applyAlignment="1">
      <alignment horizontal="left" vertical="center" wrapText="1"/>
    </xf>
    <xf numFmtId="9" fontId="19" fillId="0" borderId="66" xfId="72" applyNumberFormat="1" applyFont="1" applyBorder="1" applyAlignment="1">
      <alignment vertical="center" wrapText="1"/>
      <protection/>
    </xf>
    <xf numFmtId="9" fontId="19" fillId="0" borderId="0" xfId="72" applyNumberFormat="1" applyFont="1" applyAlignment="1">
      <alignment vertical="center" wrapText="1"/>
      <protection/>
    </xf>
    <xf numFmtId="9" fontId="19" fillId="0" borderId="29" xfId="72" applyNumberFormat="1" applyFont="1" applyBorder="1" applyAlignment="1">
      <alignment vertical="center" wrapText="1"/>
      <protection/>
    </xf>
    <xf numFmtId="2" fontId="10" fillId="0" borderId="94" xfId="72" applyNumberFormat="1" applyFont="1" applyBorder="1" applyAlignment="1">
      <alignment horizontal="left" vertical="center" wrapText="1"/>
      <protection/>
    </xf>
    <xf numFmtId="0" fontId="0" fillId="0" borderId="63" xfId="0" applyBorder="1" applyAlignment="1">
      <alignment horizontal="left" vertical="center" wrapText="1"/>
    </xf>
    <xf numFmtId="190" fontId="10" fillId="0" borderId="22" xfId="79" applyNumberFormat="1" applyFont="1" applyFill="1" applyBorder="1" applyAlignment="1" applyProtection="1">
      <alignment horizontal="center" vertical="center" wrapText="1"/>
      <protection/>
    </xf>
    <xf numFmtId="190" fontId="10" fillId="0" borderId="57" xfId="79" applyNumberFormat="1" applyFont="1" applyFill="1" applyBorder="1" applyAlignment="1" applyProtection="1">
      <alignment horizontal="center" vertical="center" wrapText="1"/>
      <protection/>
    </xf>
    <xf numFmtId="9" fontId="19" fillId="0" borderId="58" xfId="72" applyNumberFormat="1" applyFont="1" applyBorder="1" applyAlignment="1">
      <alignment vertical="center" wrapText="1"/>
      <protection/>
    </xf>
    <xf numFmtId="9" fontId="19" fillId="0" borderId="34" xfId="72" applyNumberFormat="1" applyFont="1" applyBorder="1" applyAlignment="1">
      <alignment vertical="center" wrapText="1"/>
      <protection/>
    </xf>
    <xf numFmtId="9" fontId="19" fillId="0" borderId="35" xfId="72" applyNumberFormat="1" applyFont="1" applyBorder="1" applyAlignment="1">
      <alignment vertical="center" wrapText="1"/>
      <protection/>
    </xf>
    <xf numFmtId="199" fontId="11" fillId="0" borderId="95" xfId="72" applyNumberFormat="1" applyFont="1" applyBorder="1" applyAlignment="1">
      <alignment horizontal="center" vertical="center" wrapText="1"/>
      <protection/>
    </xf>
    <xf numFmtId="199" fontId="11" fillId="0" borderId="26" xfId="72" applyNumberFormat="1" applyFont="1" applyBorder="1" applyAlignment="1">
      <alignment horizontal="center" vertical="center" wrapText="1"/>
      <protection/>
    </xf>
    <xf numFmtId="199" fontId="11" fillId="0" borderId="96" xfId="72" applyNumberFormat="1" applyFont="1" applyBorder="1" applyAlignment="1">
      <alignment horizontal="center" vertical="center" wrapText="1"/>
      <protection/>
    </xf>
    <xf numFmtId="199" fontId="11" fillId="0" borderId="66" xfId="72" applyNumberFormat="1" applyFont="1" applyBorder="1" applyAlignment="1">
      <alignment horizontal="center" vertical="center" wrapText="1"/>
      <protection/>
    </xf>
    <xf numFmtId="199" fontId="11" fillId="0" borderId="0" xfId="72" applyNumberFormat="1" applyFont="1" applyAlignment="1">
      <alignment horizontal="center" vertical="center" wrapText="1"/>
      <protection/>
    </xf>
    <xf numFmtId="199" fontId="11" fillId="0" borderId="43" xfId="72" applyNumberFormat="1" applyFont="1" applyBorder="1" applyAlignment="1">
      <alignment horizontal="center" vertical="center" wrapText="1"/>
      <protection/>
    </xf>
    <xf numFmtId="199" fontId="11" fillId="0" borderId="58" xfId="72" applyNumberFormat="1" applyFont="1" applyBorder="1" applyAlignment="1">
      <alignment horizontal="center" vertical="center" wrapText="1"/>
      <protection/>
    </xf>
    <xf numFmtId="199" fontId="11" fillId="0" borderId="34" xfId="72" applyNumberFormat="1" applyFont="1" applyBorder="1" applyAlignment="1">
      <alignment horizontal="center" vertical="center" wrapText="1"/>
      <protection/>
    </xf>
    <xf numFmtId="199" fontId="11" fillId="0" borderId="71" xfId="72" applyNumberFormat="1" applyFont="1" applyBorder="1" applyAlignment="1">
      <alignment horizontal="center" vertical="center" wrapText="1"/>
      <protection/>
    </xf>
    <xf numFmtId="0" fontId="11" fillId="38" borderId="26" xfId="72" applyFont="1" applyFill="1" applyBorder="1" applyAlignment="1">
      <alignment horizontal="center" vertical="center" wrapText="1"/>
      <protection/>
    </xf>
    <xf numFmtId="0" fontId="11" fillId="38" borderId="0" xfId="72" applyFont="1" applyFill="1" applyAlignment="1">
      <alignment horizontal="center" vertical="center" wrapText="1"/>
      <protection/>
    </xf>
    <xf numFmtId="0" fontId="11" fillId="38" borderId="34" xfId="72" applyFont="1" applyFill="1" applyBorder="1" applyAlignment="1">
      <alignment horizontal="center" vertical="center" wrapText="1"/>
      <protection/>
    </xf>
    <xf numFmtId="0" fontId="11" fillId="38" borderId="14" xfId="72" applyFont="1" applyFill="1" applyBorder="1" applyAlignment="1">
      <alignment horizontal="left" vertical="center" wrapText="1"/>
      <protection/>
    </xf>
    <xf numFmtId="0" fontId="11" fillId="38" borderId="70" xfId="72" applyFont="1" applyFill="1" applyBorder="1" applyAlignment="1">
      <alignment horizontal="left" vertical="center" wrapText="1"/>
      <protection/>
    </xf>
    <xf numFmtId="0" fontId="11" fillId="38" borderId="17" xfId="72" applyFont="1" applyFill="1" applyBorder="1" applyAlignment="1">
      <alignment horizontal="left" vertical="center" wrapText="1"/>
      <protection/>
    </xf>
    <xf numFmtId="0" fontId="11" fillId="38" borderId="45" xfId="72" applyFont="1" applyFill="1" applyBorder="1" applyAlignment="1">
      <alignment horizontal="left" vertical="center" wrapText="1"/>
      <protection/>
    </xf>
    <xf numFmtId="0" fontId="11" fillId="38" borderId="40" xfId="72" applyFont="1" applyFill="1" applyBorder="1" applyAlignment="1">
      <alignment horizontal="left" vertical="center" wrapText="1"/>
      <protection/>
    </xf>
    <xf numFmtId="0" fontId="11" fillId="38" borderId="86" xfId="72" applyFont="1" applyFill="1" applyBorder="1" applyAlignment="1">
      <alignment horizontal="left" vertical="center" wrapText="1"/>
      <protection/>
    </xf>
    <xf numFmtId="0" fontId="11" fillId="38" borderId="79" xfId="72" applyFont="1" applyFill="1" applyBorder="1" applyAlignment="1">
      <alignment horizontal="left" vertical="center" wrapText="1"/>
      <protection/>
    </xf>
    <xf numFmtId="0" fontId="11" fillId="38" borderId="77" xfId="72" applyFont="1" applyFill="1" applyBorder="1" applyAlignment="1">
      <alignment horizontal="left" vertical="center" wrapText="1"/>
      <protection/>
    </xf>
    <xf numFmtId="9" fontId="0" fillId="0" borderId="13" xfId="79" applyFont="1" applyBorder="1" applyAlignment="1">
      <alignment horizontal="center" vertical="center" wrapText="1"/>
    </xf>
    <xf numFmtId="189" fontId="87" fillId="0" borderId="0" xfId="58" applyNumberFormat="1" applyFont="1" applyBorder="1" applyAlignment="1">
      <alignment horizontal="center" vertical="center" wrapText="1"/>
    </xf>
    <xf numFmtId="189" fontId="0" fillId="0" borderId="13" xfId="58" applyNumberFormat="1" applyFont="1" applyBorder="1" applyAlignment="1">
      <alignment horizontal="center" vertical="center"/>
    </xf>
    <xf numFmtId="9" fontId="0" fillId="0" borderId="22" xfId="79" applyFont="1" applyBorder="1" applyAlignment="1">
      <alignment horizontal="center" vertical="center"/>
    </xf>
    <xf numFmtId="9" fontId="0" fillId="0" borderId="16" xfId="79" applyFont="1" applyBorder="1" applyAlignment="1">
      <alignment horizontal="center" vertical="center"/>
    </xf>
    <xf numFmtId="189" fontId="0" fillId="0" borderId="22" xfId="58" applyNumberFormat="1" applyFont="1" applyBorder="1" applyAlignment="1">
      <alignment horizontal="center" vertical="center"/>
    </xf>
    <xf numFmtId="189" fontId="0" fillId="0" borderId="16" xfId="58" applyNumberFormat="1" applyFont="1" applyBorder="1" applyAlignment="1">
      <alignment horizontal="center" vertical="center"/>
    </xf>
    <xf numFmtId="0" fontId="11" fillId="0" borderId="61" xfId="0" applyFont="1" applyBorder="1" applyAlignment="1">
      <alignment horizontal="left" vertical="center" wrapText="1"/>
    </xf>
    <xf numFmtId="0" fontId="11" fillId="0" borderId="69" xfId="0" applyFont="1" applyBorder="1" applyAlignment="1">
      <alignment horizontal="left" vertical="center" wrapText="1"/>
    </xf>
    <xf numFmtId="0" fontId="90" fillId="0" borderId="14" xfId="0" applyFont="1" applyBorder="1" applyAlignment="1">
      <alignment horizontal="center" vertical="center" wrapText="1"/>
    </xf>
    <xf numFmtId="0" fontId="90" fillId="0" borderId="17" xfId="0" applyFont="1" applyBorder="1" applyAlignment="1">
      <alignment horizontal="center" vertical="center" wrapText="1"/>
    </xf>
    <xf numFmtId="0" fontId="90" fillId="41" borderId="64" xfId="72" applyFont="1" applyFill="1" applyBorder="1" applyAlignment="1">
      <alignment horizontal="center" vertical="center" wrapText="1"/>
      <protection/>
    </xf>
    <xf numFmtId="0" fontId="90" fillId="41" borderId="41" xfId="72" applyFont="1" applyFill="1" applyBorder="1" applyAlignment="1">
      <alignment horizontal="center" vertical="center" wrapText="1"/>
      <protection/>
    </xf>
    <xf numFmtId="0" fontId="90" fillId="41" borderId="42" xfId="72" applyFont="1" applyFill="1" applyBorder="1" applyAlignment="1">
      <alignment horizontal="center" vertical="center" wrapText="1"/>
      <protection/>
    </xf>
    <xf numFmtId="0" fontId="90" fillId="41" borderId="66" xfId="72" applyFont="1" applyFill="1" applyBorder="1" applyAlignment="1">
      <alignment horizontal="center" vertical="center" wrapText="1"/>
      <protection/>
    </xf>
    <xf numFmtId="0" fontId="90" fillId="41" borderId="0" xfId="72" applyFont="1" applyFill="1" applyBorder="1" applyAlignment="1">
      <alignment horizontal="center" vertical="center" wrapText="1"/>
      <protection/>
    </xf>
    <xf numFmtId="0" fontId="90" fillId="41" borderId="43" xfId="72" applyFont="1" applyFill="1" applyBorder="1" applyAlignment="1">
      <alignment horizontal="center" vertical="center" wrapText="1"/>
      <protection/>
    </xf>
    <xf numFmtId="0" fontId="90" fillId="41" borderId="39" xfId="72" applyFont="1" applyFill="1" applyBorder="1" applyAlignment="1">
      <alignment horizontal="center" vertical="center" wrapText="1"/>
      <protection/>
    </xf>
    <xf numFmtId="0" fontId="90" fillId="41" borderId="15" xfId="72" applyFont="1" applyFill="1" applyBorder="1" applyAlignment="1">
      <alignment horizontal="center" vertical="center" wrapText="1"/>
      <protection/>
    </xf>
    <xf numFmtId="0" fontId="90" fillId="41" borderId="44" xfId="72" applyFont="1" applyFill="1" applyBorder="1" applyAlignment="1">
      <alignment horizontal="center" vertical="center" wrapText="1"/>
      <protection/>
    </xf>
    <xf numFmtId="0" fontId="11" fillId="41" borderId="64" xfId="72" applyFont="1" applyFill="1" applyBorder="1" applyAlignment="1">
      <alignment horizontal="center" vertical="center" wrapText="1"/>
      <protection/>
    </xf>
    <xf numFmtId="0" fontId="11" fillId="41" borderId="41" xfId="72" applyFont="1" applyFill="1" applyBorder="1" applyAlignment="1">
      <alignment horizontal="center" vertical="center" wrapText="1"/>
      <protection/>
    </xf>
    <xf numFmtId="0" fontId="11" fillId="41" borderId="42" xfId="72" applyFont="1" applyFill="1" applyBorder="1" applyAlignment="1">
      <alignment horizontal="center" vertical="center" wrapText="1"/>
      <protection/>
    </xf>
    <xf numFmtId="0" fontId="11" fillId="41" borderId="66" xfId="72" applyFont="1" applyFill="1" applyBorder="1" applyAlignment="1">
      <alignment horizontal="center" vertical="center" wrapText="1"/>
      <protection/>
    </xf>
    <xf numFmtId="0" fontId="11" fillId="41" borderId="0" xfId="72" applyFont="1" applyFill="1" applyBorder="1" applyAlignment="1">
      <alignment horizontal="center" vertical="center" wrapText="1"/>
      <protection/>
    </xf>
    <xf numFmtId="0" fontId="11" fillId="41" borderId="43" xfId="72" applyFont="1" applyFill="1" applyBorder="1" applyAlignment="1">
      <alignment horizontal="center" vertical="center" wrapText="1"/>
      <protection/>
    </xf>
    <xf numFmtId="0" fontId="11" fillId="41" borderId="39" xfId="72" applyFont="1" applyFill="1" applyBorder="1" applyAlignment="1">
      <alignment horizontal="center" vertical="center" wrapText="1"/>
      <protection/>
    </xf>
    <xf numFmtId="0" fontId="11" fillId="41" borderId="15" xfId="72" applyFont="1" applyFill="1" applyBorder="1" applyAlignment="1">
      <alignment horizontal="center" vertical="center" wrapText="1"/>
      <protection/>
    </xf>
    <xf numFmtId="0" fontId="11" fillId="41" borderId="44" xfId="72" applyFont="1" applyFill="1" applyBorder="1" applyAlignment="1">
      <alignment horizontal="center" vertical="center" wrapText="1"/>
      <protection/>
    </xf>
    <xf numFmtId="0" fontId="90" fillId="0" borderId="14" xfId="0" applyFont="1" applyBorder="1" applyAlignment="1">
      <alignment horizontal="left" vertical="center" wrapText="1"/>
    </xf>
    <xf numFmtId="0" fontId="90" fillId="0" borderId="17" xfId="0" applyFont="1" applyBorder="1" applyAlignment="1">
      <alignment horizontal="left" vertical="center" wrapText="1"/>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90" fillId="0" borderId="14" xfId="0" applyFont="1" applyBorder="1" applyAlignment="1">
      <alignment horizontal="center" vertical="center"/>
    </xf>
    <xf numFmtId="0" fontId="90" fillId="0" borderId="70" xfId="0" applyFont="1" applyBorder="1" applyAlignment="1">
      <alignment horizontal="center" vertical="center"/>
    </xf>
    <xf numFmtId="0" fontId="90" fillId="0" borderId="17" xfId="0" applyFont="1" applyBorder="1" applyAlignment="1">
      <alignment horizontal="center" vertical="center"/>
    </xf>
    <xf numFmtId="0" fontId="88" fillId="0" borderId="22" xfId="59" applyNumberFormat="1" applyFont="1" applyBorder="1" applyAlignment="1">
      <alignment horizontal="center" vertical="center" wrapText="1"/>
    </xf>
    <xf numFmtId="0" fontId="88" fillId="0" borderId="16" xfId="59" applyNumberFormat="1" applyFont="1" applyBorder="1" applyAlignment="1">
      <alignment horizontal="center" vertical="center" wrapText="1"/>
    </xf>
    <xf numFmtId="0" fontId="88" fillId="0" borderId="22" xfId="0" applyFont="1" applyBorder="1" applyAlignment="1">
      <alignment horizontal="center" vertical="center"/>
    </xf>
    <xf numFmtId="0" fontId="88" fillId="0" borderId="16" xfId="0" applyFont="1" applyBorder="1" applyAlignment="1">
      <alignment horizontal="center" vertical="center"/>
    </xf>
    <xf numFmtId="9" fontId="88" fillId="0" borderId="22" xfId="79" applyFont="1" applyBorder="1" applyAlignment="1">
      <alignment horizontal="center" vertical="center" wrapText="1"/>
    </xf>
    <xf numFmtId="9" fontId="88" fillId="0" borderId="16" xfId="79" applyFont="1" applyBorder="1" applyAlignment="1">
      <alignment horizontal="center" vertical="center" wrapText="1"/>
    </xf>
    <xf numFmtId="9" fontId="88" fillId="0" borderId="22" xfId="79" applyFont="1" applyBorder="1" applyAlignment="1">
      <alignment horizontal="center" vertical="center"/>
    </xf>
    <xf numFmtId="9" fontId="88" fillId="0" borderId="16" xfId="79" applyFont="1" applyBorder="1" applyAlignment="1">
      <alignment horizontal="center" vertical="center"/>
    </xf>
    <xf numFmtId="9" fontId="88" fillId="0" borderId="22" xfId="79" applyFont="1" applyFill="1" applyBorder="1" applyAlignment="1">
      <alignment horizontal="center" vertical="center"/>
    </xf>
    <xf numFmtId="9" fontId="88" fillId="0" borderId="16" xfId="79" applyFont="1" applyFill="1" applyBorder="1" applyAlignment="1">
      <alignment horizontal="center" vertical="center"/>
    </xf>
    <xf numFmtId="0" fontId="88" fillId="0" borderId="22" xfId="79" applyNumberFormat="1" applyFont="1" applyFill="1" applyBorder="1" applyAlignment="1">
      <alignment horizontal="left" vertical="center" wrapText="1"/>
    </xf>
    <xf numFmtId="0" fontId="88" fillId="0" borderId="16" xfId="79" applyNumberFormat="1" applyFont="1" applyFill="1" applyBorder="1" applyAlignment="1">
      <alignment horizontal="left" vertical="center" wrapText="1"/>
    </xf>
    <xf numFmtId="0" fontId="10" fillId="0" borderId="22" xfId="79" applyNumberFormat="1" applyFont="1" applyFill="1" applyBorder="1" applyAlignment="1">
      <alignment horizontal="center" vertical="center" wrapText="1"/>
    </xf>
    <xf numFmtId="0" fontId="10" fillId="0" borderId="16" xfId="79" applyNumberFormat="1" applyFont="1" applyFill="1" applyBorder="1" applyAlignment="1">
      <alignment horizontal="center" vertical="center"/>
    </xf>
    <xf numFmtId="0" fontId="88" fillId="0" borderId="54" xfId="79" applyNumberFormat="1" applyFont="1" applyFill="1" applyBorder="1" applyAlignment="1">
      <alignment horizontal="left" vertical="center" wrapText="1"/>
    </xf>
    <xf numFmtId="0" fontId="10" fillId="0" borderId="54" xfId="79" applyNumberFormat="1" applyFont="1" applyFill="1" applyBorder="1" applyAlignment="1">
      <alignment horizontal="center" vertical="center" wrapText="1"/>
    </xf>
    <xf numFmtId="0" fontId="90" fillId="11" borderId="0" xfId="0" applyFont="1" applyFill="1" applyAlignment="1">
      <alignment horizontal="center" vertical="center"/>
    </xf>
    <xf numFmtId="0" fontId="90" fillId="0" borderId="13" xfId="0" applyFont="1" applyBorder="1" applyAlignment="1">
      <alignment horizontal="center" vertical="center" wrapText="1"/>
    </xf>
    <xf numFmtId="0" fontId="11" fillId="0" borderId="13" xfId="0" applyFont="1" applyBorder="1" applyAlignment="1">
      <alignment horizontal="left" vertical="center" wrapText="1"/>
    </xf>
    <xf numFmtId="9" fontId="10" fillId="0" borderId="22" xfId="79" applyFont="1" applyBorder="1" applyAlignment="1">
      <alignment horizontal="left" vertical="center" wrapText="1"/>
    </xf>
    <xf numFmtId="9" fontId="10" fillId="0" borderId="16" xfId="79" applyFont="1" applyBorder="1" applyAlignment="1">
      <alignment horizontal="left" vertical="center" wrapText="1"/>
    </xf>
    <xf numFmtId="0" fontId="88" fillId="0" borderId="22" xfId="0" applyFont="1" applyBorder="1" applyAlignment="1">
      <alignment horizontal="center" vertical="center" wrapText="1"/>
    </xf>
    <xf numFmtId="0" fontId="88" fillId="0" borderId="16" xfId="0" applyFont="1" applyBorder="1" applyAlignment="1">
      <alignment horizontal="center" vertical="center" wrapText="1"/>
    </xf>
    <xf numFmtId="9" fontId="88" fillId="0" borderId="22" xfId="0" applyNumberFormat="1" applyFont="1" applyBorder="1" applyAlignment="1">
      <alignment horizontal="center" vertical="center"/>
    </xf>
    <xf numFmtId="9" fontId="88" fillId="0" borderId="16" xfId="0" applyNumberFormat="1" applyFont="1" applyBorder="1" applyAlignment="1">
      <alignment horizontal="center" vertical="center"/>
    </xf>
    <xf numFmtId="9" fontId="10" fillId="0" borderId="16" xfId="72" applyNumberFormat="1" applyFont="1" applyBorder="1" applyAlignment="1">
      <alignment horizontal="center" vertical="center" wrapText="1"/>
      <protection/>
    </xf>
    <xf numFmtId="9" fontId="10" fillId="0" borderId="22" xfId="72" applyNumberFormat="1" applyFont="1" applyFill="1" applyBorder="1" applyAlignment="1">
      <alignment horizontal="center" vertical="center" wrapText="1"/>
      <protection/>
    </xf>
    <xf numFmtId="9" fontId="10" fillId="0" borderId="16" xfId="72" applyNumberFormat="1" applyFont="1" applyFill="1" applyBorder="1" applyAlignment="1">
      <alignment horizontal="center" vertical="center" wrapText="1"/>
      <protection/>
    </xf>
    <xf numFmtId="0" fontId="90" fillId="11" borderId="13" xfId="0" applyFont="1" applyFill="1" applyBorder="1" applyAlignment="1">
      <alignment horizontal="center" vertical="center" wrapText="1"/>
    </xf>
    <xf numFmtId="0" fontId="11" fillId="38" borderId="16" xfId="72" applyFont="1" applyFill="1" applyBorder="1" applyAlignment="1">
      <alignment horizontal="left" vertical="center" wrapText="1"/>
      <protection/>
    </xf>
    <xf numFmtId="0" fontId="11" fillId="0" borderId="13" xfId="0" applyFont="1" applyBorder="1" applyAlignment="1">
      <alignment horizontal="center" vertical="center" wrapText="1"/>
    </xf>
    <xf numFmtId="0" fontId="90" fillId="11" borderId="13" xfId="0" applyFont="1" applyFill="1" applyBorder="1" applyAlignment="1">
      <alignment horizontal="left" vertical="center"/>
    </xf>
    <xf numFmtId="0" fontId="88" fillId="0" borderId="13" xfId="0" applyFont="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15</xdr:row>
      <xdr:rowOff>2428875</xdr:rowOff>
    </xdr:from>
    <xdr:to>
      <xdr:col>7</xdr:col>
      <xdr:colOff>238125</xdr:colOff>
      <xdr:row>15</xdr:row>
      <xdr:rowOff>2428875</xdr:rowOff>
    </xdr:to>
    <xdr:pic>
      <xdr:nvPicPr>
        <xdr:cNvPr id="1" name="Entrada de lápiz 1"/>
        <xdr:cNvPicPr preferRelativeResize="1">
          <a:picLocks noChangeAspect="1"/>
        </xdr:cNvPicPr>
      </xdr:nvPicPr>
      <xdr:blipFill>
        <a:blip r:embed="rId1"/>
        <a:stretch>
          <a:fillRect/>
        </a:stretch>
      </xdr:blipFill>
      <xdr:spPr>
        <a:xfrm>
          <a:off x="5257800" y="1046797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9525</xdr:rowOff>
    </xdr:to>
    <xdr:pic>
      <xdr:nvPicPr>
        <xdr:cNvPr id="7" name="Entrada de lápiz 4"/>
        <xdr:cNvPicPr preferRelativeResize="1">
          <a:picLocks noChangeAspect="1"/>
        </xdr:cNvPicPr>
      </xdr:nvPicPr>
      <xdr:blipFill>
        <a:blip r:embed="rId1"/>
        <a:stretch>
          <a:fillRect/>
        </a:stretch>
      </xdr:blipFill>
      <xdr:spPr>
        <a:xfrm>
          <a:off x="5381625" y="13134975"/>
          <a:ext cx="0" cy="9525"/>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0</xdr:rowOff>
    </xdr:to>
    <xdr:pic>
      <xdr:nvPicPr>
        <xdr:cNvPr id="8" name="Entrada de lápiz 4"/>
        <xdr:cNvPicPr preferRelativeResize="1">
          <a:picLocks noChangeAspect="1"/>
        </xdr:cNvPicPr>
      </xdr:nvPicPr>
      <xdr:blipFill>
        <a:blip r:embed="rId1"/>
        <a:stretch>
          <a:fillRect/>
        </a:stretch>
      </xdr:blipFill>
      <xdr:spPr>
        <a:xfrm>
          <a:off x="5381625" y="20412075"/>
          <a:ext cx="0" cy="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9525</xdr:rowOff>
    </xdr:to>
    <xdr:pic>
      <xdr:nvPicPr>
        <xdr:cNvPr id="9" name="Entrada de lápiz 4"/>
        <xdr:cNvPicPr preferRelativeResize="1">
          <a:picLocks noChangeAspect="1"/>
        </xdr:cNvPicPr>
      </xdr:nvPicPr>
      <xdr:blipFill>
        <a:blip r:embed="rId1"/>
        <a:stretch>
          <a:fillRect/>
        </a:stretch>
      </xdr:blipFill>
      <xdr:spPr>
        <a:xfrm>
          <a:off x="5381625" y="25612725"/>
          <a:ext cx="0" cy="9525"/>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902267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31765875"/>
          <a:ext cx="0" cy="0"/>
        </a:xfrm>
        <a:prstGeom prst="rect">
          <a:avLst/>
        </a:prstGeom>
        <a:noFill/>
        <a:ln w="9525" cmpd="sng">
          <a:noFill/>
        </a:ln>
      </xdr:spPr>
    </xdr:pic>
    <xdr:clientData/>
  </xdr:twoCellAnchor>
  <xdr:twoCellAnchor editAs="oneCell">
    <xdr:from>
      <xdr:col>4</xdr:col>
      <xdr:colOff>142875</xdr:colOff>
      <xdr:row>22</xdr:row>
      <xdr:rowOff>66675</xdr:rowOff>
    </xdr:from>
    <xdr:to>
      <xdr:col>6</xdr:col>
      <xdr:colOff>38100</xdr:colOff>
      <xdr:row>22</xdr:row>
      <xdr:rowOff>666750</xdr:rowOff>
    </xdr:to>
    <xdr:pic>
      <xdr:nvPicPr>
        <xdr:cNvPr id="12" name="Imagen 5"/>
        <xdr:cNvPicPr preferRelativeResize="1">
          <a:picLocks noChangeAspect="1"/>
        </xdr:cNvPicPr>
      </xdr:nvPicPr>
      <xdr:blipFill>
        <a:blip r:embed="rId2"/>
        <a:stretch>
          <a:fillRect/>
        </a:stretch>
      </xdr:blipFill>
      <xdr:spPr>
        <a:xfrm>
          <a:off x="3190875" y="34556700"/>
          <a:ext cx="10001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18</xdr:row>
      <xdr:rowOff>0</xdr:rowOff>
    </xdr:from>
    <xdr:to>
      <xdr:col>7</xdr:col>
      <xdr:colOff>247650</xdr:colOff>
      <xdr:row>18</xdr:row>
      <xdr:rowOff>0</xdr:rowOff>
    </xdr:to>
    <xdr:pic>
      <xdr:nvPicPr>
        <xdr:cNvPr id="1" name="Entrada de lápiz 4"/>
        <xdr:cNvPicPr preferRelativeResize="1">
          <a:picLocks noChangeAspect="1"/>
        </xdr:cNvPicPr>
      </xdr:nvPicPr>
      <xdr:blipFill>
        <a:blip r:embed="rId1"/>
        <a:stretch>
          <a:fillRect/>
        </a:stretch>
      </xdr:blipFill>
      <xdr:spPr>
        <a:xfrm>
          <a:off x="5381625" y="2040255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2626042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262604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19</xdr:row>
      <xdr:rowOff>0</xdr:rowOff>
    </xdr:from>
    <xdr:to>
      <xdr:col>7</xdr:col>
      <xdr:colOff>257175</xdr:colOff>
      <xdr:row>19</xdr:row>
      <xdr:rowOff>0</xdr:rowOff>
    </xdr:to>
    <xdr:pic>
      <xdr:nvPicPr>
        <xdr:cNvPr id="1" name="Entrada de lápiz 4"/>
        <xdr:cNvPicPr preferRelativeResize="1">
          <a:picLocks noChangeAspect="1"/>
        </xdr:cNvPicPr>
      </xdr:nvPicPr>
      <xdr:blipFill>
        <a:blip r:embed="rId1"/>
        <a:stretch>
          <a:fillRect/>
        </a:stretch>
      </xdr:blipFill>
      <xdr:spPr>
        <a:xfrm>
          <a:off x="6457950" y="20955000"/>
          <a:ext cx="0" cy="0"/>
        </a:xfrm>
        <a:prstGeom prst="rect">
          <a:avLst/>
        </a:prstGeom>
        <a:noFill/>
        <a:ln w="9525" cmpd="sng">
          <a:noFill/>
        </a:ln>
      </xdr:spPr>
    </xdr:pic>
    <xdr:clientData/>
  </xdr:twoCellAnchor>
  <xdr:twoCellAnchor editAs="oneCell">
    <xdr:from>
      <xdr:col>7</xdr:col>
      <xdr:colOff>257175</xdr:colOff>
      <xdr:row>19</xdr:row>
      <xdr:rowOff>0</xdr:rowOff>
    </xdr:from>
    <xdr:to>
      <xdr:col>7</xdr:col>
      <xdr:colOff>257175</xdr:colOff>
      <xdr:row>19</xdr:row>
      <xdr:rowOff>0</xdr:rowOff>
    </xdr:to>
    <xdr:pic>
      <xdr:nvPicPr>
        <xdr:cNvPr id="2" name="Entrada de lápiz 4"/>
        <xdr:cNvPicPr preferRelativeResize="1">
          <a:picLocks noChangeAspect="1"/>
        </xdr:cNvPicPr>
      </xdr:nvPicPr>
      <xdr:blipFill>
        <a:blip r:embed="rId1"/>
        <a:stretch>
          <a:fillRect/>
        </a:stretch>
      </xdr:blipFill>
      <xdr:spPr>
        <a:xfrm>
          <a:off x="6457950" y="209550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6.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713"/>
      <c r="B1" s="716" t="s">
        <v>16</v>
      </c>
      <c r="C1" s="717"/>
      <c r="D1" s="717"/>
      <c r="E1" s="717"/>
      <c r="F1" s="717"/>
      <c r="G1" s="717"/>
      <c r="H1" s="717"/>
      <c r="I1" s="717"/>
      <c r="J1" s="717"/>
      <c r="K1" s="717"/>
      <c r="L1" s="717"/>
      <c r="M1" s="717"/>
      <c r="N1" s="717"/>
      <c r="O1" s="717"/>
      <c r="P1" s="717"/>
      <c r="Q1" s="717"/>
      <c r="R1" s="717"/>
      <c r="S1" s="717"/>
      <c r="T1" s="717"/>
      <c r="U1" s="717"/>
      <c r="V1" s="717"/>
      <c r="W1" s="717"/>
      <c r="X1" s="717"/>
      <c r="Y1" s="717"/>
      <c r="Z1" s="717"/>
      <c r="AA1" s="718"/>
      <c r="AB1" s="719" t="s">
        <v>423</v>
      </c>
      <c r="AC1" s="720"/>
      <c r="AD1" s="721"/>
    </row>
    <row r="2" spans="1:30" ht="30.75" customHeight="1" thickBot="1">
      <c r="A2" s="714"/>
      <c r="B2" s="716" t="s">
        <v>17</v>
      </c>
      <c r="C2" s="717"/>
      <c r="D2" s="717"/>
      <c r="E2" s="717"/>
      <c r="F2" s="717"/>
      <c r="G2" s="717"/>
      <c r="H2" s="717"/>
      <c r="I2" s="717"/>
      <c r="J2" s="717"/>
      <c r="K2" s="717"/>
      <c r="L2" s="717"/>
      <c r="M2" s="717"/>
      <c r="N2" s="717"/>
      <c r="O2" s="717"/>
      <c r="P2" s="717"/>
      <c r="Q2" s="717"/>
      <c r="R2" s="717"/>
      <c r="S2" s="717"/>
      <c r="T2" s="717"/>
      <c r="U2" s="717"/>
      <c r="V2" s="717"/>
      <c r="W2" s="717"/>
      <c r="X2" s="717"/>
      <c r="Y2" s="717"/>
      <c r="Z2" s="717"/>
      <c r="AA2" s="718"/>
      <c r="AB2" s="666" t="s">
        <v>418</v>
      </c>
      <c r="AC2" s="667"/>
      <c r="AD2" s="668"/>
    </row>
    <row r="3" spans="1:30" ht="24" customHeight="1">
      <c r="A3" s="714"/>
      <c r="B3" s="619" t="s">
        <v>295</v>
      </c>
      <c r="C3" s="620"/>
      <c r="D3" s="620"/>
      <c r="E3" s="620"/>
      <c r="F3" s="620"/>
      <c r="G3" s="620"/>
      <c r="H3" s="620"/>
      <c r="I3" s="620"/>
      <c r="J3" s="620"/>
      <c r="K3" s="620"/>
      <c r="L3" s="620"/>
      <c r="M3" s="620"/>
      <c r="N3" s="620"/>
      <c r="O3" s="620"/>
      <c r="P3" s="620"/>
      <c r="Q3" s="620"/>
      <c r="R3" s="620"/>
      <c r="S3" s="620"/>
      <c r="T3" s="620"/>
      <c r="U3" s="620"/>
      <c r="V3" s="620"/>
      <c r="W3" s="620"/>
      <c r="X3" s="620"/>
      <c r="Y3" s="620"/>
      <c r="Z3" s="620"/>
      <c r="AA3" s="621"/>
      <c r="AB3" s="666" t="s">
        <v>424</v>
      </c>
      <c r="AC3" s="667"/>
      <c r="AD3" s="668"/>
    </row>
    <row r="4" spans="1:30" ht="21.75" customHeight="1" thickBot="1">
      <c r="A4" s="715"/>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5"/>
      <c r="AB4" s="669" t="s">
        <v>175</v>
      </c>
      <c r="AC4" s="670"/>
      <c r="AD4" s="671"/>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693" t="s">
        <v>293</v>
      </c>
      <c r="B7" s="694"/>
      <c r="C7" s="699"/>
      <c r="D7" s="672" t="s">
        <v>71</v>
      </c>
      <c r="E7" s="678"/>
      <c r="F7" s="678"/>
      <c r="G7" s="678"/>
      <c r="H7" s="673"/>
      <c r="I7" s="681" t="s">
        <v>74</v>
      </c>
      <c r="J7" s="682"/>
      <c r="K7" s="672" t="s">
        <v>67</v>
      </c>
      <c r="L7" s="673"/>
      <c r="M7" s="648" t="s">
        <v>70</v>
      </c>
      <c r="N7" s="649"/>
      <c r="O7" s="687" t="s">
        <v>425</v>
      </c>
      <c r="P7" s="688"/>
      <c r="Q7" s="56"/>
      <c r="R7" s="56"/>
      <c r="S7" s="56"/>
      <c r="T7" s="56"/>
      <c r="U7" s="56"/>
      <c r="V7" s="56"/>
      <c r="W7" s="56"/>
      <c r="X7" s="56"/>
      <c r="Y7" s="56"/>
      <c r="Z7" s="57"/>
      <c r="AA7" s="56"/>
      <c r="AB7" s="56"/>
      <c r="AC7" s="62"/>
      <c r="AD7" s="63"/>
    </row>
    <row r="8" spans="1:30" ht="15">
      <c r="A8" s="695"/>
      <c r="B8" s="696"/>
      <c r="C8" s="700"/>
      <c r="D8" s="674"/>
      <c r="E8" s="679"/>
      <c r="F8" s="679"/>
      <c r="G8" s="679"/>
      <c r="H8" s="675"/>
      <c r="I8" s="683"/>
      <c r="J8" s="684"/>
      <c r="K8" s="674"/>
      <c r="L8" s="675"/>
      <c r="M8" s="689" t="s">
        <v>68</v>
      </c>
      <c r="N8" s="690"/>
      <c r="O8" s="691"/>
      <c r="P8" s="692"/>
      <c r="Q8" s="56"/>
      <c r="R8" s="56"/>
      <c r="S8" s="56"/>
      <c r="T8" s="56"/>
      <c r="U8" s="56"/>
      <c r="V8" s="56"/>
      <c r="W8" s="56"/>
      <c r="X8" s="56"/>
      <c r="Y8" s="56"/>
      <c r="Z8" s="57"/>
      <c r="AA8" s="56"/>
      <c r="AB8" s="56"/>
      <c r="AC8" s="62"/>
      <c r="AD8" s="63"/>
    </row>
    <row r="9" spans="1:30" ht="15.75" thickBot="1">
      <c r="A9" s="697"/>
      <c r="B9" s="698"/>
      <c r="C9" s="701"/>
      <c r="D9" s="676"/>
      <c r="E9" s="680"/>
      <c r="F9" s="680"/>
      <c r="G9" s="680"/>
      <c r="H9" s="677"/>
      <c r="I9" s="685"/>
      <c r="J9" s="686"/>
      <c r="K9" s="676"/>
      <c r="L9" s="677"/>
      <c r="M9" s="644" t="s">
        <v>69</v>
      </c>
      <c r="N9" s="645"/>
      <c r="O9" s="646"/>
      <c r="P9" s="647"/>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672" t="s">
        <v>0</v>
      </c>
      <c r="B11" s="673"/>
      <c r="C11" s="703"/>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5"/>
    </row>
    <row r="12" spans="1:30" ht="15" customHeight="1">
      <c r="A12" s="674"/>
      <c r="B12" s="675"/>
      <c r="C12" s="706"/>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8"/>
    </row>
    <row r="13" spans="1:30" ht="15" customHeight="1" thickBot="1">
      <c r="A13" s="676"/>
      <c r="B13" s="677"/>
      <c r="C13" s="709"/>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1"/>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642" t="s">
        <v>77</v>
      </c>
      <c r="B15" s="643"/>
      <c r="C15" s="722" t="s">
        <v>426</v>
      </c>
      <c r="D15" s="723"/>
      <c r="E15" s="723"/>
      <c r="F15" s="723"/>
      <c r="G15" s="723"/>
      <c r="H15" s="723"/>
      <c r="I15" s="723"/>
      <c r="J15" s="723"/>
      <c r="K15" s="724"/>
      <c r="L15" s="636" t="s">
        <v>73</v>
      </c>
      <c r="M15" s="712"/>
      <c r="N15" s="712"/>
      <c r="O15" s="712"/>
      <c r="P15" s="712"/>
      <c r="Q15" s="637"/>
      <c r="R15" s="633"/>
      <c r="S15" s="634"/>
      <c r="T15" s="634"/>
      <c r="U15" s="634"/>
      <c r="V15" s="634"/>
      <c r="W15" s="634"/>
      <c r="X15" s="635"/>
      <c r="Y15" s="636" t="s">
        <v>72</v>
      </c>
      <c r="Z15" s="637"/>
      <c r="AA15" s="656"/>
      <c r="AB15" s="657"/>
      <c r="AC15" s="657"/>
      <c r="AD15" s="658"/>
    </row>
    <row r="16" spans="1:30" ht="9" customHeight="1" thickBot="1">
      <c r="A16" s="61"/>
      <c r="B16" s="56"/>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75"/>
      <c r="AD16" s="76"/>
    </row>
    <row r="17" spans="1:30" s="78" customFormat="1" ht="37.5" customHeight="1" thickBot="1">
      <c r="A17" s="642" t="s">
        <v>79</v>
      </c>
      <c r="B17" s="643"/>
      <c r="C17" s="660"/>
      <c r="D17" s="661"/>
      <c r="E17" s="661"/>
      <c r="F17" s="661"/>
      <c r="G17" s="661"/>
      <c r="H17" s="661"/>
      <c r="I17" s="661"/>
      <c r="J17" s="661"/>
      <c r="K17" s="661"/>
      <c r="L17" s="661"/>
      <c r="M17" s="661"/>
      <c r="N17" s="661"/>
      <c r="O17" s="661"/>
      <c r="P17" s="661"/>
      <c r="Q17" s="662"/>
      <c r="R17" s="702" t="s">
        <v>374</v>
      </c>
      <c r="S17" s="640"/>
      <c r="T17" s="640"/>
      <c r="U17" s="640"/>
      <c r="V17" s="641"/>
      <c r="W17" s="638"/>
      <c r="X17" s="639"/>
      <c r="Y17" s="640" t="s">
        <v>15</v>
      </c>
      <c r="Z17" s="640"/>
      <c r="AA17" s="640"/>
      <c r="AB17" s="641"/>
      <c r="AC17" s="731"/>
      <c r="AD17" s="7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702" t="s">
        <v>1</v>
      </c>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1"/>
      <c r="AE19" s="86"/>
      <c r="AF19" s="86"/>
    </row>
    <row r="20" spans="1:32" ht="31.5" customHeight="1" thickBot="1">
      <c r="A20" s="85"/>
      <c r="B20" s="62"/>
      <c r="C20" s="728" t="s">
        <v>376</v>
      </c>
      <c r="D20" s="729"/>
      <c r="E20" s="729"/>
      <c r="F20" s="729"/>
      <c r="G20" s="729"/>
      <c r="H20" s="729"/>
      <c r="I20" s="729"/>
      <c r="J20" s="729"/>
      <c r="K20" s="729"/>
      <c r="L20" s="729"/>
      <c r="M20" s="729"/>
      <c r="N20" s="729"/>
      <c r="O20" s="729"/>
      <c r="P20" s="730"/>
      <c r="Q20" s="725" t="s">
        <v>377</v>
      </c>
      <c r="R20" s="726"/>
      <c r="S20" s="726"/>
      <c r="T20" s="726"/>
      <c r="U20" s="726"/>
      <c r="V20" s="726"/>
      <c r="W20" s="726"/>
      <c r="X20" s="726"/>
      <c r="Y20" s="726"/>
      <c r="Z20" s="726"/>
      <c r="AA20" s="726"/>
      <c r="AB20" s="726"/>
      <c r="AC20" s="726"/>
      <c r="AD20" s="727"/>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583" t="s">
        <v>378</v>
      </c>
      <c r="B22" s="588"/>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84" t="s">
        <v>379</v>
      </c>
      <c r="B23" s="591"/>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84" t="s">
        <v>380</v>
      </c>
      <c r="B24" s="591"/>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654" t="s">
        <v>381</v>
      </c>
      <c r="B25" s="655"/>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650" t="s">
        <v>76</v>
      </c>
      <c r="B27" s="651"/>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3"/>
    </row>
    <row r="28" spans="1:30" ht="15" customHeight="1">
      <c r="A28" s="628" t="s">
        <v>189</v>
      </c>
      <c r="B28" s="630" t="s">
        <v>6</v>
      </c>
      <c r="C28" s="631"/>
      <c r="D28" s="591" t="s">
        <v>398</v>
      </c>
      <c r="E28" s="592"/>
      <c r="F28" s="592"/>
      <c r="G28" s="592"/>
      <c r="H28" s="592"/>
      <c r="I28" s="592"/>
      <c r="J28" s="592"/>
      <c r="K28" s="592"/>
      <c r="L28" s="592"/>
      <c r="M28" s="592"/>
      <c r="N28" s="592"/>
      <c r="O28" s="632"/>
      <c r="P28" s="614" t="s">
        <v>8</v>
      </c>
      <c r="Q28" s="614" t="s">
        <v>84</v>
      </c>
      <c r="R28" s="614"/>
      <c r="S28" s="614"/>
      <c r="T28" s="614"/>
      <c r="U28" s="614"/>
      <c r="V28" s="614"/>
      <c r="W28" s="614"/>
      <c r="X28" s="614"/>
      <c r="Y28" s="614"/>
      <c r="Z28" s="614"/>
      <c r="AA28" s="614"/>
      <c r="AB28" s="614"/>
      <c r="AC28" s="614"/>
      <c r="AD28" s="623"/>
    </row>
    <row r="29" spans="1:30" ht="27" customHeight="1">
      <c r="A29" s="629"/>
      <c r="B29" s="624"/>
      <c r="C29" s="626"/>
      <c r="D29" s="173" t="s">
        <v>39</v>
      </c>
      <c r="E29" s="173" t="s">
        <v>40</v>
      </c>
      <c r="F29" s="173" t="s">
        <v>41</v>
      </c>
      <c r="G29" s="173" t="s">
        <v>42</v>
      </c>
      <c r="H29" s="173" t="s">
        <v>43</v>
      </c>
      <c r="I29" s="173" t="s">
        <v>44</v>
      </c>
      <c r="J29" s="173" t="s">
        <v>45</v>
      </c>
      <c r="K29" s="173" t="s">
        <v>46</v>
      </c>
      <c r="L29" s="173" t="s">
        <v>47</v>
      </c>
      <c r="M29" s="173" t="s">
        <v>48</v>
      </c>
      <c r="N29" s="173" t="s">
        <v>49</v>
      </c>
      <c r="O29" s="173" t="s">
        <v>50</v>
      </c>
      <c r="P29" s="632"/>
      <c r="Q29" s="614"/>
      <c r="R29" s="614"/>
      <c r="S29" s="614"/>
      <c r="T29" s="614"/>
      <c r="U29" s="614"/>
      <c r="V29" s="614"/>
      <c r="W29" s="614"/>
      <c r="X29" s="614"/>
      <c r="Y29" s="614"/>
      <c r="Z29" s="614"/>
      <c r="AA29" s="614"/>
      <c r="AB29" s="614"/>
      <c r="AC29" s="614"/>
      <c r="AD29" s="623"/>
    </row>
    <row r="30" spans="1:30" ht="42" customHeight="1" thickBot="1">
      <c r="A30" s="88"/>
      <c r="B30" s="615"/>
      <c r="C30" s="616"/>
      <c r="D30" s="92"/>
      <c r="E30" s="92"/>
      <c r="F30" s="92"/>
      <c r="G30" s="92"/>
      <c r="H30" s="92"/>
      <c r="I30" s="92"/>
      <c r="J30" s="92"/>
      <c r="K30" s="92"/>
      <c r="L30" s="92"/>
      <c r="M30" s="92"/>
      <c r="N30" s="92"/>
      <c r="O30" s="92"/>
      <c r="P30" s="89">
        <f>SUM(D30:O30)</f>
        <v>0</v>
      </c>
      <c r="Q30" s="617" t="s">
        <v>296</v>
      </c>
      <c r="R30" s="617"/>
      <c r="S30" s="617"/>
      <c r="T30" s="617"/>
      <c r="U30" s="617"/>
      <c r="V30" s="617"/>
      <c r="W30" s="617"/>
      <c r="X30" s="617"/>
      <c r="Y30" s="617"/>
      <c r="Z30" s="617"/>
      <c r="AA30" s="617"/>
      <c r="AB30" s="617"/>
      <c r="AC30" s="617"/>
      <c r="AD30" s="618"/>
    </row>
    <row r="31" spans="1:30" ht="45" customHeight="1">
      <c r="A31" s="619" t="s">
        <v>292</v>
      </c>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1"/>
    </row>
    <row r="32" spans="1:41" ht="22.5" customHeight="1">
      <c r="A32" s="584" t="s">
        <v>190</v>
      </c>
      <c r="B32" s="614" t="s">
        <v>62</v>
      </c>
      <c r="C32" s="614" t="s">
        <v>6</v>
      </c>
      <c r="D32" s="614" t="s">
        <v>60</v>
      </c>
      <c r="E32" s="614"/>
      <c r="F32" s="614"/>
      <c r="G32" s="614"/>
      <c r="H32" s="614"/>
      <c r="I32" s="614"/>
      <c r="J32" s="614"/>
      <c r="K32" s="614"/>
      <c r="L32" s="614"/>
      <c r="M32" s="614"/>
      <c r="N32" s="614"/>
      <c r="O32" s="614"/>
      <c r="P32" s="614"/>
      <c r="Q32" s="614" t="s">
        <v>85</v>
      </c>
      <c r="R32" s="614"/>
      <c r="S32" s="614"/>
      <c r="T32" s="614"/>
      <c r="U32" s="614"/>
      <c r="V32" s="614"/>
      <c r="W32" s="614"/>
      <c r="X32" s="614"/>
      <c r="Y32" s="614"/>
      <c r="Z32" s="614"/>
      <c r="AA32" s="614"/>
      <c r="AB32" s="614"/>
      <c r="AC32" s="614"/>
      <c r="AD32" s="623"/>
      <c r="AG32" s="90"/>
      <c r="AH32" s="90"/>
      <c r="AI32" s="90"/>
      <c r="AJ32" s="90"/>
      <c r="AK32" s="90"/>
      <c r="AL32" s="90"/>
      <c r="AM32" s="90"/>
      <c r="AN32" s="90"/>
      <c r="AO32" s="90"/>
    </row>
    <row r="33" spans="1:41" ht="27" customHeight="1">
      <c r="A33" s="584"/>
      <c r="B33" s="614"/>
      <c r="C33" s="622"/>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614" t="s">
        <v>403</v>
      </c>
      <c r="R33" s="614"/>
      <c r="S33" s="614"/>
      <c r="T33" s="614" t="s">
        <v>406</v>
      </c>
      <c r="U33" s="614"/>
      <c r="V33" s="614"/>
      <c r="W33" s="624" t="s">
        <v>81</v>
      </c>
      <c r="X33" s="625"/>
      <c r="Y33" s="625"/>
      <c r="Z33" s="626"/>
      <c r="AA33" s="624" t="s">
        <v>82</v>
      </c>
      <c r="AB33" s="625"/>
      <c r="AC33" s="625"/>
      <c r="AD33" s="627"/>
      <c r="AG33" s="90"/>
      <c r="AH33" s="90"/>
      <c r="AI33" s="90"/>
      <c r="AJ33" s="90"/>
      <c r="AK33" s="90"/>
      <c r="AL33" s="90"/>
      <c r="AM33" s="90"/>
      <c r="AN33" s="90"/>
      <c r="AO33" s="90"/>
    </row>
    <row r="34" spans="1:41" ht="45" customHeight="1">
      <c r="A34" s="602"/>
      <c r="B34" s="604"/>
      <c r="C34" s="93" t="s">
        <v>9</v>
      </c>
      <c r="D34" s="92"/>
      <c r="E34" s="92"/>
      <c r="F34" s="92"/>
      <c r="G34" s="92"/>
      <c r="H34" s="92"/>
      <c r="I34" s="92"/>
      <c r="J34" s="92"/>
      <c r="K34" s="92"/>
      <c r="L34" s="92"/>
      <c r="M34" s="92"/>
      <c r="N34" s="92"/>
      <c r="O34" s="92"/>
      <c r="P34" s="212">
        <f>SUM(D34:O34)</f>
        <v>0</v>
      </c>
      <c r="Q34" s="606" t="s">
        <v>404</v>
      </c>
      <c r="R34" s="607"/>
      <c r="S34" s="608"/>
      <c r="T34" s="607" t="s">
        <v>405</v>
      </c>
      <c r="U34" s="607"/>
      <c r="V34" s="608"/>
      <c r="W34" s="606" t="s">
        <v>402</v>
      </c>
      <c r="X34" s="607"/>
      <c r="Y34" s="607"/>
      <c r="Z34" s="608"/>
      <c r="AA34" s="606" t="s">
        <v>407</v>
      </c>
      <c r="AB34" s="607"/>
      <c r="AC34" s="607"/>
      <c r="AD34" s="612"/>
      <c r="AG34" s="90"/>
      <c r="AH34" s="90"/>
      <c r="AI34" s="90"/>
      <c r="AJ34" s="90"/>
      <c r="AK34" s="90"/>
      <c r="AL34" s="90"/>
      <c r="AM34" s="90"/>
      <c r="AN34" s="90"/>
      <c r="AO34" s="90"/>
    </row>
    <row r="35" spans="1:41" ht="45" customHeight="1" thickBot="1">
      <c r="A35" s="603"/>
      <c r="B35" s="605"/>
      <c r="C35" s="94" t="s">
        <v>10</v>
      </c>
      <c r="D35" s="95"/>
      <c r="E35" s="95"/>
      <c r="F35" s="95"/>
      <c r="G35" s="96"/>
      <c r="H35" s="96"/>
      <c r="I35" s="96"/>
      <c r="J35" s="96"/>
      <c r="K35" s="96"/>
      <c r="L35" s="96"/>
      <c r="M35" s="96"/>
      <c r="N35" s="96"/>
      <c r="O35" s="96"/>
      <c r="P35" s="178">
        <f>SUM(D35:O35)</f>
        <v>0</v>
      </c>
      <c r="Q35" s="609"/>
      <c r="R35" s="610"/>
      <c r="S35" s="611"/>
      <c r="T35" s="610"/>
      <c r="U35" s="610"/>
      <c r="V35" s="611"/>
      <c r="W35" s="609"/>
      <c r="X35" s="610"/>
      <c r="Y35" s="610"/>
      <c r="Z35" s="611"/>
      <c r="AA35" s="609"/>
      <c r="AB35" s="610"/>
      <c r="AC35" s="610"/>
      <c r="AD35" s="613"/>
      <c r="AE35" s="50"/>
      <c r="AF35" s="97"/>
      <c r="AG35" s="90"/>
      <c r="AH35" s="90"/>
      <c r="AI35" s="90"/>
      <c r="AJ35" s="90"/>
      <c r="AK35" s="90"/>
      <c r="AL35" s="90"/>
      <c r="AM35" s="90"/>
      <c r="AN35" s="90"/>
      <c r="AO35" s="90"/>
    </row>
    <row r="36" spans="1:41" ht="25.5" customHeight="1">
      <c r="A36" s="583" t="s">
        <v>191</v>
      </c>
      <c r="B36" s="585" t="s">
        <v>61</v>
      </c>
      <c r="C36" s="587" t="s">
        <v>11</v>
      </c>
      <c r="D36" s="587"/>
      <c r="E36" s="587"/>
      <c r="F36" s="587"/>
      <c r="G36" s="587"/>
      <c r="H36" s="587"/>
      <c r="I36" s="587"/>
      <c r="J36" s="587"/>
      <c r="K36" s="587"/>
      <c r="L36" s="587"/>
      <c r="M36" s="587"/>
      <c r="N36" s="587"/>
      <c r="O36" s="587"/>
      <c r="P36" s="587"/>
      <c r="Q36" s="588" t="s">
        <v>78</v>
      </c>
      <c r="R36" s="589"/>
      <c r="S36" s="589"/>
      <c r="T36" s="589"/>
      <c r="U36" s="589"/>
      <c r="V36" s="589"/>
      <c r="W36" s="589"/>
      <c r="X36" s="589"/>
      <c r="Y36" s="589"/>
      <c r="Z36" s="589"/>
      <c r="AA36" s="589"/>
      <c r="AB36" s="589"/>
      <c r="AC36" s="589"/>
      <c r="AD36" s="590"/>
      <c r="AG36" s="90"/>
      <c r="AH36" s="90"/>
      <c r="AI36" s="90"/>
      <c r="AJ36" s="90"/>
      <c r="AK36" s="90"/>
      <c r="AL36" s="90"/>
      <c r="AM36" s="90"/>
      <c r="AN36" s="90"/>
      <c r="AO36" s="90"/>
    </row>
    <row r="37" spans="1:41" ht="25.5" customHeight="1">
      <c r="A37" s="584"/>
      <c r="B37" s="586"/>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91" t="s">
        <v>83</v>
      </c>
      <c r="R37" s="592"/>
      <c r="S37" s="592"/>
      <c r="T37" s="592"/>
      <c r="U37" s="592"/>
      <c r="V37" s="592"/>
      <c r="W37" s="592"/>
      <c r="X37" s="592"/>
      <c r="Y37" s="592"/>
      <c r="Z37" s="592"/>
      <c r="AA37" s="592"/>
      <c r="AB37" s="592"/>
      <c r="AC37" s="592"/>
      <c r="AD37" s="593"/>
      <c r="AG37" s="98"/>
      <c r="AH37" s="98"/>
      <c r="AI37" s="98"/>
      <c r="AJ37" s="98"/>
      <c r="AK37" s="98"/>
      <c r="AL37" s="98"/>
      <c r="AM37" s="98"/>
      <c r="AN37" s="98"/>
      <c r="AO37" s="98"/>
    </row>
    <row r="38" spans="1:41" ht="28.5" customHeight="1">
      <c r="A38" s="594"/>
      <c r="B38" s="595"/>
      <c r="C38" s="93" t="s">
        <v>9</v>
      </c>
      <c r="D38" s="99"/>
      <c r="E38" s="99"/>
      <c r="F38" s="99"/>
      <c r="G38" s="99"/>
      <c r="H38" s="99"/>
      <c r="I38" s="99"/>
      <c r="J38" s="99"/>
      <c r="K38" s="99"/>
      <c r="L38" s="99"/>
      <c r="M38" s="99"/>
      <c r="N38" s="99"/>
      <c r="O38" s="99"/>
      <c r="P38" s="100">
        <f aca="true" t="shared" si="0" ref="P38:P45">SUM(D38:O38)</f>
        <v>0</v>
      </c>
      <c r="Q38" s="596" t="s">
        <v>408</v>
      </c>
      <c r="R38" s="597"/>
      <c r="S38" s="597"/>
      <c r="T38" s="597"/>
      <c r="U38" s="597"/>
      <c r="V38" s="597"/>
      <c r="W38" s="597"/>
      <c r="X38" s="597"/>
      <c r="Y38" s="597"/>
      <c r="Z38" s="597"/>
      <c r="AA38" s="597"/>
      <c r="AB38" s="597"/>
      <c r="AC38" s="597"/>
      <c r="AD38" s="598"/>
      <c r="AE38" s="101"/>
      <c r="AG38" s="102"/>
      <c r="AH38" s="102"/>
      <c r="AI38" s="102"/>
      <c r="AJ38" s="102"/>
      <c r="AK38" s="102"/>
      <c r="AL38" s="102"/>
      <c r="AM38" s="102"/>
      <c r="AN38" s="102"/>
      <c r="AO38" s="102"/>
    </row>
    <row r="39" spans="1:31" ht="28.5" customHeight="1">
      <c r="A39" s="576"/>
      <c r="B39" s="577"/>
      <c r="C39" s="103" t="s">
        <v>10</v>
      </c>
      <c r="D39" s="104"/>
      <c r="E39" s="104"/>
      <c r="F39" s="104"/>
      <c r="G39" s="104"/>
      <c r="H39" s="104"/>
      <c r="I39" s="104"/>
      <c r="J39" s="104"/>
      <c r="K39" s="104"/>
      <c r="L39" s="104"/>
      <c r="M39" s="104"/>
      <c r="N39" s="104"/>
      <c r="O39" s="104"/>
      <c r="P39" s="105">
        <f t="shared" si="0"/>
        <v>0</v>
      </c>
      <c r="Q39" s="599"/>
      <c r="R39" s="600"/>
      <c r="S39" s="600"/>
      <c r="T39" s="600"/>
      <c r="U39" s="600"/>
      <c r="V39" s="600"/>
      <c r="W39" s="600"/>
      <c r="X39" s="600"/>
      <c r="Y39" s="600"/>
      <c r="Z39" s="600"/>
      <c r="AA39" s="600"/>
      <c r="AB39" s="600"/>
      <c r="AC39" s="600"/>
      <c r="AD39" s="601"/>
      <c r="AE39" s="101"/>
    </row>
    <row r="40" spans="1:31" ht="28.5" customHeight="1">
      <c r="A40" s="576"/>
      <c r="B40" s="568"/>
      <c r="C40" s="106" t="s">
        <v>9</v>
      </c>
      <c r="D40" s="107"/>
      <c r="E40" s="107"/>
      <c r="F40" s="107"/>
      <c r="G40" s="107"/>
      <c r="H40" s="107"/>
      <c r="I40" s="107"/>
      <c r="J40" s="107"/>
      <c r="K40" s="107"/>
      <c r="L40" s="107"/>
      <c r="M40" s="107"/>
      <c r="N40" s="107"/>
      <c r="O40" s="107"/>
      <c r="P40" s="105">
        <f t="shared" si="0"/>
        <v>0</v>
      </c>
      <c r="Q40" s="570"/>
      <c r="R40" s="571"/>
      <c r="S40" s="571"/>
      <c r="T40" s="571"/>
      <c r="U40" s="571"/>
      <c r="V40" s="571"/>
      <c r="W40" s="571"/>
      <c r="X40" s="571"/>
      <c r="Y40" s="571"/>
      <c r="Z40" s="571"/>
      <c r="AA40" s="571"/>
      <c r="AB40" s="571"/>
      <c r="AC40" s="571"/>
      <c r="AD40" s="572"/>
      <c r="AE40" s="101"/>
    </row>
    <row r="41" spans="1:31" ht="28.5" customHeight="1">
      <c r="A41" s="576"/>
      <c r="B41" s="577"/>
      <c r="C41" s="103" t="s">
        <v>10</v>
      </c>
      <c r="D41" s="104"/>
      <c r="E41" s="104"/>
      <c r="F41" s="104"/>
      <c r="G41" s="104"/>
      <c r="H41" s="104"/>
      <c r="I41" s="104"/>
      <c r="J41" s="104"/>
      <c r="K41" s="104"/>
      <c r="L41" s="108"/>
      <c r="M41" s="108"/>
      <c r="N41" s="108"/>
      <c r="O41" s="108"/>
      <c r="P41" s="105">
        <f t="shared" si="0"/>
        <v>0</v>
      </c>
      <c r="Q41" s="578"/>
      <c r="R41" s="579"/>
      <c r="S41" s="579"/>
      <c r="T41" s="579"/>
      <c r="U41" s="579"/>
      <c r="V41" s="579"/>
      <c r="W41" s="579"/>
      <c r="X41" s="579"/>
      <c r="Y41" s="579"/>
      <c r="Z41" s="579"/>
      <c r="AA41" s="579"/>
      <c r="AB41" s="579"/>
      <c r="AC41" s="579"/>
      <c r="AD41" s="580"/>
      <c r="AE41" s="101"/>
    </row>
    <row r="42" spans="1:31" ht="28.5" customHeight="1">
      <c r="A42" s="581"/>
      <c r="B42" s="568"/>
      <c r="C42" s="106" t="s">
        <v>9</v>
      </c>
      <c r="D42" s="107"/>
      <c r="E42" s="107"/>
      <c r="F42" s="107"/>
      <c r="G42" s="107"/>
      <c r="H42" s="107"/>
      <c r="I42" s="107"/>
      <c r="J42" s="107"/>
      <c r="K42" s="107"/>
      <c r="L42" s="107"/>
      <c r="M42" s="107"/>
      <c r="N42" s="107"/>
      <c r="O42" s="107"/>
      <c r="P42" s="105">
        <f t="shared" si="0"/>
        <v>0</v>
      </c>
      <c r="Q42" s="570"/>
      <c r="R42" s="571"/>
      <c r="S42" s="571"/>
      <c r="T42" s="571"/>
      <c r="U42" s="571"/>
      <c r="V42" s="571"/>
      <c r="W42" s="571"/>
      <c r="X42" s="571"/>
      <c r="Y42" s="571"/>
      <c r="Z42" s="571"/>
      <c r="AA42" s="571"/>
      <c r="AB42" s="571"/>
      <c r="AC42" s="571"/>
      <c r="AD42" s="572"/>
      <c r="AE42" s="101"/>
    </row>
    <row r="43" spans="1:31" ht="28.5" customHeight="1">
      <c r="A43" s="582"/>
      <c r="B43" s="577"/>
      <c r="C43" s="103" t="s">
        <v>10</v>
      </c>
      <c r="D43" s="104"/>
      <c r="E43" s="104"/>
      <c r="F43" s="104"/>
      <c r="G43" s="109"/>
      <c r="H43" s="104"/>
      <c r="I43" s="104"/>
      <c r="J43" s="104"/>
      <c r="K43" s="104"/>
      <c r="L43" s="108"/>
      <c r="M43" s="108"/>
      <c r="N43" s="108"/>
      <c r="O43" s="108"/>
      <c r="P43" s="105">
        <f t="shared" si="0"/>
        <v>0</v>
      </c>
      <c r="Q43" s="578"/>
      <c r="R43" s="579"/>
      <c r="S43" s="579"/>
      <c r="T43" s="579"/>
      <c r="U43" s="579"/>
      <c r="V43" s="579"/>
      <c r="W43" s="579"/>
      <c r="X43" s="579"/>
      <c r="Y43" s="579"/>
      <c r="Z43" s="579"/>
      <c r="AA43" s="579"/>
      <c r="AB43" s="579"/>
      <c r="AC43" s="579"/>
      <c r="AD43" s="580"/>
      <c r="AE43" s="101"/>
    </row>
    <row r="44" spans="1:31" ht="28.5" customHeight="1">
      <c r="A44" s="566"/>
      <c r="B44" s="568"/>
      <c r="C44" s="106" t="s">
        <v>9</v>
      </c>
      <c r="D44" s="107"/>
      <c r="E44" s="107"/>
      <c r="F44" s="107"/>
      <c r="G44" s="107"/>
      <c r="H44" s="107"/>
      <c r="I44" s="107"/>
      <c r="J44" s="107"/>
      <c r="K44" s="107"/>
      <c r="L44" s="107"/>
      <c r="M44" s="107"/>
      <c r="N44" s="107"/>
      <c r="O44" s="107"/>
      <c r="P44" s="105">
        <f t="shared" si="0"/>
        <v>0</v>
      </c>
      <c r="Q44" s="570"/>
      <c r="R44" s="571"/>
      <c r="S44" s="571"/>
      <c r="T44" s="571"/>
      <c r="U44" s="571"/>
      <c r="V44" s="571"/>
      <c r="W44" s="571"/>
      <c r="X44" s="571"/>
      <c r="Y44" s="571"/>
      <c r="Z44" s="571"/>
      <c r="AA44" s="571"/>
      <c r="AB44" s="571"/>
      <c r="AC44" s="571"/>
      <c r="AD44" s="572"/>
      <c r="AE44" s="101"/>
    </row>
    <row r="45" spans="1:31" ht="28.5" customHeight="1" thickBot="1">
      <c r="A45" s="567"/>
      <c r="B45" s="569"/>
      <c r="C45" s="94" t="s">
        <v>10</v>
      </c>
      <c r="D45" s="110"/>
      <c r="E45" s="110"/>
      <c r="F45" s="110"/>
      <c r="G45" s="110"/>
      <c r="H45" s="110"/>
      <c r="I45" s="110"/>
      <c r="J45" s="110"/>
      <c r="K45" s="110"/>
      <c r="L45" s="111"/>
      <c r="M45" s="111"/>
      <c r="N45" s="111"/>
      <c r="O45" s="111"/>
      <c r="P45" s="112">
        <f t="shared" si="0"/>
        <v>0</v>
      </c>
      <c r="Q45" s="573"/>
      <c r="R45" s="574"/>
      <c r="S45" s="574"/>
      <c r="T45" s="574"/>
      <c r="U45" s="574"/>
      <c r="V45" s="574"/>
      <c r="W45" s="574"/>
      <c r="X45" s="574"/>
      <c r="Y45" s="574"/>
      <c r="Z45" s="574"/>
      <c r="AA45" s="574"/>
      <c r="AB45" s="574"/>
      <c r="AC45" s="574"/>
      <c r="AD45" s="575"/>
      <c r="AE45" s="101"/>
    </row>
    <row r="46" ht="15">
      <c r="A46" s="52" t="s">
        <v>294</v>
      </c>
    </row>
  </sheetData>
  <sheetProtection/>
  <mergeCells count="82">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9"/>
  <sheetViews>
    <sheetView showGridLines="0" view="pageBreakPreview" zoomScale="55" zoomScaleNormal="70" zoomScaleSheetLayoutView="55" workbookViewId="0" topLeftCell="A1">
      <selection activeCell="A40" sqref="A40:A41"/>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97"/>
      <c r="B1" s="900" t="s">
        <v>16</v>
      </c>
      <c r="C1" s="901"/>
      <c r="D1" s="901"/>
      <c r="E1" s="901"/>
      <c r="F1" s="901"/>
      <c r="G1" s="901"/>
      <c r="H1" s="901"/>
      <c r="I1" s="901"/>
      <c r="J1" s="901"/>
      <c r="K1" s="901"/>
      <c r="L1" s="901"/>
      <c r="M1" s="901"/>
      <c r="N1" s="901"/>
      <c r="O1" s="901"/>
      <c r="P1" s="901"/>
      <c r="Q1" s="901"/>
      <c r="R1" s="901"/>
      <c r="S1" s="901"/>
      <c r="T1" s="901"/>
      <c r="U1" s="901"/>
      <c r="V1" s="901"/>
      <c r="W1" s="901"/>
      <c r="X1" s="901"/>
      <c r="Y1" s="901"/>
      <c r="Z1" s="901"/>
      <c r="AA1" s="902"/>
      <c r="AB1" s="903" t="s">
        <v>423</v>
      </c>
      <c r="AC1" s="904"/>
      <c r="AD1" s="905"/>
    </row>
    <row r="2" spans="1:30" ht="30.75" customHeight="1" thickBot="1">
      <c r="A2" s="898"/>
      <c r="B2" s="900" t="s">
        <v>17</v>
      </c>
      <c r="C2" s="901"/>
      <c r="D2" s="901"/>
      <c r="E2" s="901"/>
      <c r="F2" s="901"/>
      <c r="G2" s="901"/>
      <c r="H2" s="901"/>
      <c r="I2" s="901"/>
      <c r="J2" s="901"/>
      <c r="K2" s="901"/>
      <c r="L2" s="901"/>
      <c r="M2" s="901"/>
      <c r="N2" s="901"/>
      <c r="O2" s="901"/>
      <c r="P2" s="901"/>
      <c r="Q2" s="901"/>
      <c r="R2" s="901"/>
      <c r="S2" s="901"/>
      <c r="T2" s="901"/>
      <c r="U2" s="901"/>
      <c r="V2" s="901"/>
      <c r="W2" s="901"/>
      <c r="X2" s="901"/>
      <c r="Y2" s="901"/>
      <c r="Z2" s="901"/>
      <c r="AA2" s="902"/>
      <c r="AB2" s="906" t="s">
        <v>418</v>
      </c>
      <c r="AC2" s="907"/>
      <c r="AD2" s="908"/>
    </row>
    <row r="3" spans="1:30" ht="24" customHeight="1">
      <c r="A3" s="898"/>
      <c r="B3" s="909" t="s">
        <v>295</v>
      </c>
      <c r="C3" s="910"/>
      <c r="D3" s="910"/>
      <c r="E3" s="910"/>
      <c r="F3" s="910"/>
      <c r="G3" s="910"/>
      <c r="H3" s="910"/>
      <c r="I3" s="910"/>
      <c r="J3" s="910"/>
      <c r="K3" s="910"/>
      <c r="L3" s="910"/>
      <c r="M3" s="910"/>
      <c r="N3" s="910"/>
      <c r="O3" s="910"/>
      <c r="P3" s="910"/>
      <c r="Q3" s="910"/>
      <c r="R3" s="910"/>
      <c r="S3" s="910"/>
      <c r="T3" s="910"/>
      <c r="U3" s="910"/>
      <c r="V3" s="910"/>
      <c r="W3" s="910"/>
      <c r="X3" s="910"/>
      <c r="Y3" s="910"/>
      <c r="Z3" s="910"/>
      <c r="AA3" s="911"/>
      <c r="AB3" s="906" t="s">
        <v>424</v>
      </c>
      <c r="AC3" s="907"/>
      <c r="AD3" s="908"/>
    </row>
    <row r="4" spans="1:30" ht="21.75" customHeight="1" thickBot="1">
      <c r="A4" s="899"/>
      <c r="B4" s="912"/>
      <c r="C4" s="913"/>
      <c r="D4" s="913"/>
      <c r="E4" s="913"/>
      <c r="F4" s="913"/>
      <c r="G4" s="913"/>
      <c r="H4" s="913"/>
      <c r="I4" s="913"/>
      <c r="J4" s="913"/>
      <c r="K4" s="913"/>
      <c r="L4" s="913"/>
      <c r="M4" s="913"/>
      <c r="N4" s="913"/>
      <c r="O4" s="913"/>
      <c r="P4" s="913"/>
      <c r="Q4" s="913"/>
      <c r="R4" s="913"/>
      <c r="S4" s="913"/>
      <c r="T4" s="913"/>
      <c r="U4" s="913"/>
      <c r="V4" s="913"/>
      <c r="W4" s="913"/>
      <c r="X4" s="913"/>
      <c r="Y4" s="913"/>
      <c r="Z4" s="913"/>
      <c r="AA4" s="914"/>
      <c r="AB4" s="669" t="s">
        <v>775</v>
      </c>
      <c r="AC4" s="670"/>
      <c r="AD4" s="671"/>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72" t="s">
        <v>293</v>
      </c>
      <c r="B7" s="673"/>
      <c r="C7" s="934" t="s">
        <v>50</v>
      </c>
      <c r="D7" s="672" t="s">
        <v>71</v>
      </c>
      <c r="E7" s="678"/>
      <c r="F7" s="678"/>
      <c r="G7" s="678"/>
      <c r="H7" s="673"/>
      <c r="I7" s="889">
        <v>45300</v>
      </c>
      <c r="J7" s="890"/>
      <c r="K7" s="672" t="s">
        <v>67</v>
      </c>
      <c r="L7" s="673"/>
      <c r="M7" s="895" t="s">
        <v>70</v>
      </c>
      <c r="N7" s="896"/>
      <c r="O7" s="915"/>
      <c r="P7" s="916"/>
      <c r="Q7" s="252"/>
      <c r="R7" s="252"/>
      <c r="S7" s="252"/>
      <c r="T7" s="252"/>
      <c r="U7" s="252"/>
      <c r="V7" s="252"/>
      <c r="W7" s="252"/>
      <c r="X7" s="252"/>
      <c r="Y7" s="252"/>
      <c r="Z7" s="253"/>
      <c r="AA7" s="252"/>
      <c r="AB7" s="252"/>
      <c r="AC7" s="258"/>
      <c r="AD7" s="259"/>
    </row>
    <row r="8" spans="1:30" ht="15" customHeight="1">
      <c r="A8" s="674"/>
      <c r="B8" s="675"/>
      <c r="C8" s="935"/>
      <c r="D8" s="674"/>
      <c r="E8" s="937"/>
      <c r="F8" s="937"/>
      <c r="G8" s="937"/>
      <c r="H8" s="675"/>
      <c r="I8" s="891"/>
      <c r="J8" s="892"/>
      <c r="K8" s="674"/>
      <c r="L8" s="675"/>
      <c r="M8" s="917" t="s">
        <v>68</v>
      </c>
      <c r="N8" s="918"/>
      <c r="O8" s="919"/>
      <c r="P8" s="920"/>
      <c r="Q8" s="252"/>
      <c r="R8" s="252"/>
      <c r="S8" s="252"/>
      <c r="T8" s="252"/>
      <c r="U8" s="252"/>
      <c r="V8" s="252"/>
      <c r="W8" s="252"/>
      <c r="X8" s="252"/>
      <c r="Y8" s="252"/>
      <c r="Z8" s="253"/>
      <c r="AA8" s="252"/>
      <c r="AB8" s="252"/>
      <c r="AC8" s="258"/>
      <c r="AD8" s="259"/>
    </row>
    <row r="9" spans="1:30" ht="15.75" customHeight="1" thickBot="1">
      <c r="A9" s="676"/>
      <c r="B9" s="677"/>
      <c r="C9" s="936"/>
      <c r="D9" s="676"/>
      <c r="E9" s="680"/>
      <c r="F9" s="680"/>
      <c r="G9" s="680"/>
      <c r="H9" s="677"/>
      <c r="I9" s="893"/>
      <c r="J9" s="894"/>
      <c r="K9" s="676"/>
      <c r="L9" s="677"/>
      <c r="M9" s="921" t="s">
        <v>69</v>
      </c>
      <c r="N9" s="922"/>
      <c r="O9" s="923" t="s">
        <v>425</v>
      </c>
      <c r="P9" s="924"/>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72" t="s">
        <v>0</v>
      </c>
      <c r="B11" s="673"/>
      <c r="C11" s="703" t="s">
        <v>497</v>
      </c>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5"/>
    </row>
    <row r="12" spans="1:30" ht="15" customHeight="1">
      <c r="A12" s="674"/>
      <c r="B12" s="675"/>
      <c r="C12" s="706"/>
      <c r="D12" s="1045"/>
      <c r="E12" s="1045"/>
      <c r="F12" s="1045"/>
      <c r="G12" s="1045"/>
      <c r="H12" s="1045"/>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708"/>
    </row>
    <row r="13" spans="1:30" ht="15" customHeight="1" thickBot="1">
      <c r="A13" s="676"/>
      <c r="B13" s="677"/>
      <c r="C13" s="709"/>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1"/>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2" t="s">
        <v>77</v>
      </c>
      <c r="B15" s="643"/>
      <c r="C15" s="938" t="s">
        <v>426</v>
      </c>
      <c r="D15" s="939"/>
      <c r="E15" s="939"/>
      <c r="F15" s="939"/>
      <c r="G15" s="939"/>
      <c r="H15" s="939"/>
      <c r="I15" s="939"/>
      <c r="J15" s="939"/>
      <c r="K15" s="940"/>
      <c r="L15" s="636" t="s">
        <v>73</v>
      </c>
      <c r="M15" s="712"/>
      <c r="N15" s="712"/>
      <c r="O15" s="712"/>
      <c r="P15" s="712"/>
      <c r="Q15" s="637"/>
      <c r="R15" s="941" t="s">
        <v>622</v>
      </c>
      <c r="S15" s="942"/>
      <c r="T15" s="942"/>
      <c r="U15" s="942"/>
      <c r="V15" s="942"/>
      <c r="W15" s="942"/>
      <c r="X15" s="943"/>
      <c r="Y15" s="636" t="s">
        <v>72</v>
      </c>
      <c r="Z15" s="637"/>
      <c r="AA15" s="938" t="s">
        <v>623</v>
      </c>
      <c r="AB15" s="939"/>
      <c r="AC15" s="939"/>
      <c r="AD15" s="940"/>
    </row>
    <row r="16" spans="1:30" ht="9" customHeight="1" thickBot="1">
      <c r="A16" s="257"/>
      <c r="B16" s="252"/>
      <c r="C16" s="944"/>
      <c r="D16" s="944"/>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271"/>
      <c r="AD16" s="272"/>
    </row>
    <row r="17" spans="1:30" s="273" customFormat="1" ht="37.5" customHeight="1" thickBot="1">
      <c r="A17" s="642" t="s">
        <v>79</v>
      </c>
      <c r="B17" s="643"/>
      <c r="C17" s="722" t="s">
        <v>579</v>
      </c>
      <c r="D17" s="723"/>
      <c r="E17" s="723"/>
      <c r="F17" s="723"/>
      <c r="G17" s="723"/>
      <c r="H17" s="723"/>
      <c r="I17" s="723"/>
      <c r="J17" s="723"/>
      <c r="K17" s="723"/>
      <c r="L17" s="723"/>
      <c r="M17" s="723"/>
      <c r="N17" s="723"/>
      <c r="O17" s="723"/>
      <c r="P17" s="723"/>
      <c r="Q17" s="724"/>
      <c r="R17" s="636" t="s">
        <v>374</v>
      </c>
      <c r="S17" s="712"/>
      <c r="T17" s="712"/>
      <c r="U17" s="712"/>
      <c r="V17" s="637"/>
      <c r="W17" s="638"/>
      <c r="X17" s="639"/>
      <c r="Y17" s="712" t="s">
        <v>15</v>
      </c>
      <c r="Z17" s="712"/>
      <c r="AA17" s="712"/>
      <c r="AB17" s="637"/>
      <c r="AC17" s="948">
        <f>+VIGENCIA!D7</f>
        <v>0.58</v>
      </c>
      <c r="AD17" s="949"/>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36" t="s">
        <v>1</v>
      </c>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637"/>
      <c r="AE19" s="275"/>
      <c r="AF19" s="275"/>
    </row>
    <row r="20" spans="1:32" ht="31.5" customHeight="1" thickBot="1">
      <c r="A20" s="276"/>
      <c r="B20" s="258"/>
      <c r="C20" s="740" t="s">
        <v>376</v>
      </c>
      <c r="D20" s="788"/>
      <c r="E20" s="788"/>
      <c r="F20" s="788"/>
      <c r="G20" s="788"/>
      <c r="H20" s="788"/>
      <c r="I20" s="788"/>
      <c r="J20" s="788"/>
      <c r="K20" s="788"/>
      <c r="L20" s="788"/>
      <c r="M20" s="788"/>
      <c r="N20" s="788"/>
      <c r="O20" s="788"/>
      <c r="P20" s="741"/>
      <c r="Q20" s="738" t="s">
        <v>377</v>
      </c>
      <c r="R20" s="950"/>
      <c r="S20" s="950"/>
      <c r="T20" s="950"/>
      <c r="U20" s="950"/>
      <c r="V20" s="950"/>
      <c r="W20" s="950"/>
      <c r="X20" s="950"/>
      <c r="Y20" s="950"/>
      <c r="Z20" s="950"/>
      <c r="AA20" s="950"/>
      <c r="AB20" s="950"/>
      <c r="AC20" s="950"/>
      <c r="AD20" s="739"/>
      <c r="AE20" s="275"/>
      <c r="AF20"/>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row>
    <row r="22" spans="1:35" ht="31.5" customHeight="1">
      <c r="A22" s="951" t="s">
        <v>378</v>
      </c>
      <c r="B22" s="952"/>
      <c r="C22" s="197">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5800477</v>
      </c>
      <c r="AB22" s="195">
        <v>116250958</v>
      </c>
      <c r="AC22" s="195">
        <f>SUM(Q22:AB22)</f>
        <v>6820592651</v>
      </c>
      <c r="AD22" s="202"/>
      <c r="AE22" s="4"/>
      <c r="AF22"/>
      <c r="AG22" s="423"/>
      <c r="AH22"/>
      <c r="AI22"/>
    </row>
    <row r="23" spans="1:35" ht="31.5" customHeight="1">
      <c r="A23" s="953" t="s">
        <v>379</v>
      </c>
      <c r="B23" s="954"/>
      <c r="C23" s="192"/>
      <c r="D23" s="191"/>
      <c r="E23" s="191"/>
      <c r="F23" s="191"/>
      <c r="G23" s="191"/>
      <c r="H23" s="191"/>
      <c r="I23" s="191"/>
      <c r="J23" s="191"/>
      <c r="K23" s="191"/>
      <c r="L23" s="191"/>
      <c r="M23" s="191"/>
      <c r="N23" s="191"/>
      <c r="O23" s="191"/>
      <c r="P23" s="554"/>
      <c r="Q23" s="192">
        <v>6153982761</v>
      </c>
      <c r="R23" s="191">
        <v>187249867</v>
      </c>
      <c r="S23" s="191">
        <v>12391320</v>
      </c>
      <c r="T23" s="191">
        <v>76446900</v>
      </c>
      <c r="U23" s="191">
        <v>-19105647</v>
      </c>
      <c r="V23" s="191">
        <v>68314000</v>
      </c>
      <c r="W23" s="191">
        <v>-5394667</v>
      </c>
      <c r="X23" s="191">
        <v>51453333</v>
      </c>
      <c r="Y23" s="191">
        <v>55813292</v>
      </c>
      <c r="Z23" s="191">
        <v>72547667</v>
      </c>
      <c r="AA23" s="191">
        <v>46545342</v>
      </c>
      <c r="AB23" s="191">
        <v>20955812</v>
      </c>
      <c r="AC23" s="191">
        <f>SUM(Q23:AB23)</f>
        <v>6721199980</v>
      </c>
      <c r="AD23" s="447">
        <f>+AC23/AC22</f>
        <v>0.9854275609047803</v>
      </c>
      <c r="AE23" s="4"/>
      <c r="AF23"/>
      <c r="AG23" s="423"/>
      <c r="AH23"/>
      <c r="AI23"/>
    </row>
    <row r="24" spans="1:35" ht="31.5" customHeight="1">
      <c r="A24" s="953" t="s">
        <v>380</v>
      </c>
      <c r="B24" s="954"/>
      <c r="C24" s="192">
        <v>1000000</v>
      </c>
      <c r="D24" s="191">
        <v>1136000</v>
      </c>
      <c r="E24" s="191">
        <v>3553334</v>
      </c>
      <c r="F24" s="191">
        <v>57122894</v>
      </c>
      <c r="G24" s="191">
        <v>346666</v>
      </c>
      <c r="H24" s="191">
        <v>-22400000</v>
      </c>
      <c r="I24" s="191">
        <v>71040500</v>
      </c>
      <c r="J24" s="191">
        <v>0</v>
      </c>
      <c r="K24" s="191">
        <v>-1540000</v>
      </c>
      <c r="L24" s="191">
        <v>-75060000</v>
      </c>
      <c r="M24" s="191"/>
      <c r="N24" s="191">
        <v>-21489000</v>
      </c>
      <c r="O24" s="191">
        <f>SUM(C24:N24)</f>
        <v>13710394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1255795906</v>
      </c>
      <c r="AC24" s="191">
        <f>SUM(Q24:AB24)</f>
        <v>6820592651</v>
      </c>
      <c r="AD24" s="447"/>
      <c r="AE24" s="4"/>
      <c r="AF24"/>
      <c r="AG24"/>
      <c r="AH24"/>
      <c r="AI24"/>
    </row>
    <row r="25" spans="1:35" ht="31.5" customHeight="1" thickBot="1">
      <c r="A25" s="956" t="s">
        <v>381</v>
      </c>
      <c r="B25" s="957"/>
      <c r="C25" s="193">
        <v>613145</v>
      </c>
      <c r="D25" s="194">
        <v>450994</v>
      </c>
      <c r="E25" s="194">
        <v>634080</v>
      </c>
      <c r="F25" s="194">
        <v>515228</v>
      </c>
      <c r="G25" s="194">
        <v>1618238</v>
      </c>
      <c r="H25" s="194">
        <v>2875004</v>
      </c>
      <c r="I25" s="194">
        <v>805846</v>
      </c>
      <c r="J25" s="194">
        <v>631532</v>
      </c>
      <c r="K25" s="194">
        <v>3961910</v>
      </c>
      <c r="L25" s="194">
        <v>442417</v>
      </c>
      <c r="M25" s="194"/>
      <c r="N25" s="194">
        <v>1162000</v>
      </c>
      <c r="O25" s="194">
        <f>SUM(C25:N25)</f>
        <v>13710394</v>
      </c>
      <c r="P25" s="446">
        <f>+O25/O24</f>
        <v>1</v>
      </c>
      <c r="Q25" s="193">
        <v>7763070</v>
      </c>
      <c r="R25" s="194">
        <v>354001805</v>
      </c>
      <c r="S25" s="194">
        <v>525548557</v>
      </c>
      <c r="T25" s="194">
        <v>547224383</v>
      </c>
      <c r="U25" s="194">
        <v>557928399</v>
      </c>
      <c r="V25" s="194">
        <v>536595066</v>
      </c>
      <c r="W25" s="194">
        <v>559772399</v>
      </c>
      <c r="X25" s="194">
        <v>568905066</v>
      </c>
      <c r="Y25" s="194">
        <v>550003066</v>
      </c>
      <c r="Z25" s="194">
        <v>552268631</v>
      </c>
      <c r="AA25" s="194">
        <v>575209355</v>
      </c>
      <c r="AB25" s="194">
        <v>1041604335</v>
      </c>
      <c r="AC25" s="194">
        <f>SUM(Q25:AB25)</f>
        <v>6376824132</v>
      </c>
      <c r="AD25" s="448">
        <f>+AC25/AC24</f>
        <v>0.9349369561111471</v>
      </c>
      <c r="AE25" s="4"/>
      <c r="AF25"/>
      <c r="AG25"/>
      <c r="AH25"/>
      <c r="AI25"/>
    </row>
    <row r="26" spans="1:35" ht="31.5" customHeight="1" thickBot="1">
      <c r="A26" s="257"/>
      <c r="B26" s="252"/>
      <c r="C26" s="280"/>
      <c r="D26" s="280"/>
      <c r="E26" s="404"/>
      <c r="F26" s="280"/>
      <c r="G26" s="280"/>
      <c r="H26" s="280"/>
      <c r="I26" s="280"/>
      <c r="J26" s="280"/>
      <c r="K26" s="280"/>
      <c r="L26" s="280"/>
      <c r="M26" s="280"/>
      <c r="N26" s="405"/>
      <c r="O26" s="404"/>
      <c r="P26" s="280"/>
      <c r="Q26" s="280"/>
      <c r="R26" s="280"/>
      <c r="S26" s="280"/>
      <c r="T26" s="280"/>
      <c r="U26" s="280"/>
      <c r="V26" s="280"/>
      <c r="W26" s="280"/>
      <c r="X26" s="280"/>
      <c r="Y26" s="280"/>
      <c r="Z26" s="280"/>
      <c r="AA26" s="280"/>
      <c r="AB26" s="280"/>
      <c r="AC26" s="258"/>
      <c r="AD26" s="267"/>
      <c r="AF26"/>
      <c r="AG26"/>
      <c r="AH26"/>
      <c r="AI26"/>
    </row>
    <row r="27" spans="1:35" ht="33.75" customHeight="1">
      <c r="A27" s="958" t="s">
        <v>76</v>
      </c>
      <c r="B27" s="959"/>
      <c r="C27" s="960"/>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1"/>
      <c r="AF27"/>
      <c r="AG27"/>
      <c r="AH27"/>
      <c r="AI27"/>
    </row>
    <row r="28" spans="1:30" ht="15" customHeight="1">
      <c r="A28" s="962" t="s">
        <v>189</v>
      </c>
      <c r="B28" s="964" t="s">
        <v>6</v>
      </c>
      <c r="C28" s="965"/>
      <c r="D28" s="954" t="s">
        <v>398</v>
      </c>
      <c r="E28" s="968"/>
      <c r="F28" s="968"/>
      <c r="G28" s="968"/>
      <c r="H28" s="968"/>
      <c r="I28" s="968"/>
      <c r="J28" s="968"/>
      <c r="K28" s="968"/>
      <c r="L28" s="968"/>
      <c r="M28" s="968"/>
      <c r="N28" s="968"/>
      <c r="O28" s="969"/>
      <c r="P28" s="955" t="s">
        <v>8</v>
      </c>
      <c r="Q28" s="955" t="s">
        <v>84</v>
      </c>
      <c r="R28" s="955"/>
      <c r="S28" s="955"/>
      <c r="T28" s="955"/>
      <c r="U28" s="955"/>
      <c r="V28" s="955"/>
      <c r="W28" s="955"/>
      <c r="X28" s="955"/>
      <c r="Y28" s="955"/>
      <c r="Z28" s="955"/>
      <c r="AA28" s="955"/>
      <c r="AB28" s="955"/>
      <c r="AC28" s="955"/>
      <c r="AD28" s="970"/>
    </row>
    <row r="29" spans="1:30" ht="27" customHeight="1">
      <c r="A29" s="963"/>
      <c r="B29" s="966"/>
      <c r="C29" s="967"/>
      <c r="D29" s="281" t="s">
        <v>39</v>
      </c>
      <c r="E29" s="281" t="s">
        <v>40</v>
      </c>
      <c r="F29" s="281" t="s">
        <v>41</v>
      </c>
      <c r="G29" s="281" t="s">
        <v>42</v>
      </c>
      <c r="H29" s="281" t="s">
        <v>43</v>
      </c>
      <c r="I29" s="281" t="s">
        <v>44</v>
      </c>
      <c r="J29" s="281" t="s">
        <v>45</v>
      </c>
      <c r="K29" s="281" t="s">
        <v>46</v>
      </c>
      <c r="L29" s="281" t="s">
        <v>47</v>
      </c>
      <c r="M29" s="281" t="s">
        <v>48</v>
      </c>
      <c r="N29" s="281" t="s">
        <v>49</v>
      </c>
      <c r="O29" s="281" t="s">
        <v>50</v>
      </c>
      <c r="P29" s="969"/>
      <c r="Q29" s="955"/>
      <c r="R29" s="955"/>
      <c r="S29" s="955"/>
      <c r="T29" s="955"/>
      <c r="U29" s="955"/>
      <c r="V29" s="955"/>
      <c r="W29" s="955"/>
      <c r="X29" s="955"/>
      <c r="Y29" s="955"/>
      <c r="Z29" s="955"/>
      <c r="AA29" s="955"/>
      <c r="AB29" s="955"/>
      <c r="AC29" s="955"/>
      <c r="AD29" s="970"/>
    </row>
    <row r="30" spans="1:30" ht="70.5" customHeight="1" thickBot="1">
      <c r="A30" s="393" t="str">
        <f>C17</f>
        <v>Ejecutar el 100%  las actividades programadas para una correcta gestión administrativa y organizacional</v>
      </c>
      <c r="B30" s="1043" t="s">
        <v>450</v>
      </c>
      <c r="C30" s="1044"/>
      <c r="D30" s="389" t="s">
        <v>450</v>
      </c>
      <c r="E30" s="389" t="s">
        <v>450</v>
      </c>
      <c r="F30" s="389" t="s">
        <v>450</v>
      </c>
      <c r="G30" s="389" t="s">
        <v>450</v>
      </c>
      <c r="H30" s="389" t="s">
        <v>450</v>
      </c>
      <c r="I30" s="389" t="s">
        <v>450</v>
      </c>
      <c r="J30" s="389" t="s">
        <v>450</v>
      </c>
      <c r="K30" s="389" t="s">
        <v>450</v>
      </c>
      <c r="L30" s="389" t="s">
        <v>450</v>
      </c>
      <c r="M30" s="389" t="s">
        <v>450</v>
      </c>
      <c r="N30" s="389" t="s">
        <v>450</v>
      </c>
      <c r="O30" s="389" t="s">
        <v>450</v>
      </c>
      <c r="P30" s="390">
        <f>SUM(D30:O30)</f>
        <v>0</v>
      </c>
      <c r="Q30" s="979"/>
      <c r="R30" s="979"/>
      <c r="S30" s="979"/>
      <c r="T30" s="979"/>
      <c r="U30" s="979"/>
      <c r="V30" s="979"/>
      <c r="W30" s="979"/>
      <c r="X30" s="979"/>
      <c r="Y30" s="979"/>
      <c r="Z30" s="979"/>
      <c r="AA30" s="979"/>
      <c r="AB30" s="979"/>
      <c r="AC30" s="979"/>
      <c r="AD30" s="980"/>
    </row>
    <row r="31" spans="1:30" ht="45" customHeight="1">
      <c r="A31" s="909" t="s">
        <v>292</v>
      </c>
      <c r="B31" s="910"/>
      <c r="C31" s="910"/>
      <c r="D31" s="910"/>
      <c r="E31" s="910"/>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1"/>
    </row>
    <row r="32" spans="1:41" ht="22.5" customHeight="1">
      <c r="A32" s="953" t="s">
        <v>190</v>
      </c>
      <c r="B32" s="955" t="s">
        <v>62</v>
      </c>
      <c r="C32" s="955" t="s">
        <v>6</v>
      </c>
      <c r="D32" s="955" t="s">
        <v>60</v>
      </c>
      <c r="E32" s="955"/>
      <c r="F32" s="955"/>
      <c r="G32" s="955"/>
      <c r="H32" s="955"/>
      <c r="I32" s="955"/>
      <c r="J32" s="955"/>
      <c r="K32" s="955"/>
      <c r="L32" s="955"/>
      <c r="M32" s="955"/>
      <c r="N32" s="955"/>
      <c r="O32" s="955"/>
      <c r="P32" s="955"/>
      <c r="Q32" s="955" t="s">
        <v>85</v>
      </c>
      <c r="R32" s="955"/>
      <c r="S32" s="955"/>
      <c r="T32" s="955"/>
      <c r="U32" s="955"/>
      <c r="V32" s="955"/>
      <c r="W32" s="955"/>
      <c r="X32" s="955"/>
      <c r="Y32" s="955"/>
      <c r="Z32" s="955"/>
      <c r="AA32" s="955"/>
      <c r="AB32" s="955"/>
      <c r="AC32" s="955"/>
      <c r="AD32" s="970"/>
      <c r="AG32" s="90"/>
      <c r="AH32" s="90"/>
      <c r="AI32" s="90"/>
      <c r="AJ32" s="90"/>
      <c r="AK32" s="90"/>
      <c r="AL32" s="90"/>
      <c r="AM32" s="90"/>
      <c r="AN32" s="90"/>
      <c r="AO32" s="90"/>
    </row>
    <row r="33" spans="1:41" ht="27" customHeight="1">
      <c r="A33" s="953"/>
      <c r="B33" s="955"/>
      <c r="C33" s="981"/>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55" t="s">
        <v>403</v>
      </c>
      <c r="R33" s="955"/>
      <c r="S33" s="955"/>
      <c r="T33" s="955" t="s">
        <v>406</v>
      </c>
      <c r="U33" s="955"/>
      <c r="V33" s="955"/>
      <c r="W33" s="966" t="s">
        <v>81</v>
      </c>
      <c r="X33" s="987"/>
      <c r="Y33" s="987"/>
      <c r="Z33" s="967"/>
      <c r="AA33" s="966" t="s">
        <v>82</v>
      </c>
      <c r="AB33" s="987"/>
      <c r="AC33" s="987"/>
      <c r="AD33" s="988"/>
      <c r="AG33" s="90"/>
      <c r="AH33" s="90"/>
      <c r="AI33" s="90"/>
      <c r="AJ33" s="90"/>
      <c r="AK33" s="90"/>
      <c r="AL33" s="90"/>
      <c r="AM33" s="90"/>
      <c r="AN33" s="90"/>
      <c r="AO33" s="90"/>
    </row>
    <row r="34" spans="1:41" ht="182.25" customHeight="1">
      <c r="A34" s="1033" t="str">
        <f>A30</f>
        <v>Ejecutar el 100%  las actividades programadas para una correcta gestión administrativa y organizacional</v>
      </c>
      <c r="B34" s="1035">
        <f>+AC17</f>
        <v>0.58</v>
      </c>
      <c r="C34" s="284" t="s">
        <v>9</v>
      </c>
      <c r="D34" s="394">
        <f>((D38*($B$38/$B$34))+(D40*($B$40/$B$34))+(D42*($B$42/$B$34))+(D44*($B$44/$B$34))+(D46*($B$46/$B$34))+(D48*($B$48/$B$34))*$P$34)</f>
        <v>0.0788888888888889</v>
      </c>
      <c r="E34" s="394">
        <f aca="true" t="shared" si="0" ref="E34:O34">((E38*($B$38/$B$34))+(E40*($B$40/$B$34))+(E42*($B$42/$B$34))+(E44*($B$44/$B$34))+(E46*($B$46/$B$34))+(E48*($B$48/$B$34))*$P$34)</f>
        <v>0.11388888888888891</v>
      </c>
      <c r="F34" s="394">
        <f t="shared" si="0"/>
        <v>0.09222222222222223</v>
      </c>
      <c r="G34" s="394">
        <f t="shared" si="0"/>
        <v>0.07722222222222223</v>
      </c>
      <c r="H34" s="394">
        <f t="shared" si="0"/>
        <v>0.0788888888888889</v>
      </c>
      <c r="I34" s="394">
        <f t="shared" si="0"/>
        <v>0.08222222222222222</v>
      </c>
      <c r="J34" s="394">
        <f t="shared" si="0"/>
        <v>0.0838888888888889</v>
      </c>
      <c r="K34" s="394">
        <f t="shared" si="0"/>
        <v>0.0788888888888889</v>
      </c>
      <c r="L34" s="394">
        <f t="shared" si="0"/>
        <v>0.0788888888888889</v>
      </c>
      <c r="M34" s="394">
        <f t="shared" si="0"/>
        <v>0.07388888888888889</v>
      </c>
      <c r="N34" s="394">
        <f t="shared" si="0"/>
        <v>0.0738888888888889</v>
      </c>
      <c r="O34" s="394">
        <f t="shared" si="0"/>
        <v>0.08722222222222223</v>
      </c>
      <c r="P34" s="177">
        <v>1</v>
      </c>
      <c r="Q34" s="996" t="s">
        <v>1037</v>
      </c>
      <c r="R34" s="997"/>
      <c r="S34" s="998"/>
      <c r="T34" s="996" t="s">
        <v>865</v>
      </c>
      <c r="U34" s="997"/>
      <c r="V34" s="998"/>
      <c r="W34" s="1037" t="s">
        <v>866</v>
      </c>
      <c r="X34" s="1038"/>
      <c r="Y34" s="1038"/>
      <c r="Z34" s="1039"/>
      <c r="AA34" s="1037" t="s">
        <v>867</v>
      </c>
      <c r="AB34" s="1038"/>
      <c r="AC34" s="1038"/>
      <c r="AD34" s="1039"/>
      <c r="AG34" s="90"/>
      <c r="AH34" s="90"/>
      <c r="AI34" s="90"/>
      <c r="AJ34" s="90"/>
      <c r="AK34" s="90"/>
      <c r="AL34" s="90"/>
      <c r="AM34" s="90"/>
      <c r="AN34" s="90"/>
      <c r="AO34" s="90"/>
    </row>
    <row r="35" spans="1:41" ht="182.25" customHeight="1" thickBot="1">
      <c r="A35" s="1034"/>
      <c r="B35" s="1036"/>
      <c r="C35" s="285" t="s">
        <v>10</v>
      </c>
      <c r="D35" s="412">
        <f>((D39*($B$38/$B$34))+(D41*($B$40/$B$34))+(D43*($B$42/$B$34))+(D45*($B$44/$B$34))+(D47*($B$46/$B$34))+(D49*($B$48/$B$34))*$P$34)</f>
        <v>0.07888333333333336</v>
      </c>
      <c r="E35" s="412">
        <f aca="true" t="shared" si="1" ref="E35:N35">((E39*($B$38/$B$34))+(E41*($B$40/$B$34))+(E43*($B$42/$B$34))+(E45*($B$44/$B$34))+(E47*($B$46/$B$34))+(E49*($B$48/$B$34))*$P$34)</f>
        <v>0.11388333333333335</v>
      </c>
      <c r="F35" s="412">
        <f t="shared" si="1"/>
        <v>0.09221666666666667</v>
      </c>
      <c r="G35" s="412">
        <f t="shared" si="1"/>
        <v>0.07721666666666667</v>
      </c>
      <c r="H35" s="412">
        <f t="shared" si="1"/>
        <v>0.0788888888888889</v>
      </c>
      <c r="I35" s="474">
        <f t="shared" si="1"/>
        <v>0.08221666666666667</v>
      </c>
      <c r="J35" s="474">
        <f t="shared" si="1"/>
        <v>0.08388333333333334</v>
      </c>
      <c r="K35" s="474">
        <f t="shared" si="1"/>
        <v>0.08055000000000001</v>
      </c>
      <c r="L35" s="474">
        <f t="shared" si="1"/>
        <v>0.07888333333333333</v>
      </c>
      <c r="M35" s="474">
        <f t="shared" si="1"/>
        <v>0.07388888888888889</v>
      </c>
      <c r="N35" s="474">
        <f t="shared" si="1"/>
        <v>0.0738888888888889</v>
      </c>
      <c r="O35" s="564">
        <v>0.09</v>
      </c>
      <c r="P35" s="178">
        <f>SUM(D35:O35)</f>
        <v>1.0044</v>
      </c>
      <c r="Q35" s="999"/>
      <c r="R35" s="1000"/>
      <c r="S35" s="1001"/>
      <c r="T35" s="999"/>
      <c r="U35" s="1000"/>
      <c r="V35" s="1001"/>
      <c r="W35" s="1040"/>
      <c r="X35" s="1041"/>
      <c r="Y35" s="1041"/>
      <c r="Z35" s="1042"/>
      <c r="AA35" s="1040"/>
      <c r="AB35" s="1041"/>
      <c r="AC35" s="1041"/>
      <c r="AD35" s="1042"/>
      <c r="AE35" s="50"/>
      <c r="AG35" s="90"/>
      <c r="AH35" s="90"/>
      <c r="AI35" s="90"/>
      <c r="AJ35" s="90"/>
      <c r="AK35" s="90"/>
      <c r="AL35" s="90"/>
      <c r="AM35" s="90"/>
      <c r="AN35" s="90"/>
      <c r="AO35" s="90"/>
    </row>
    <row r="36" spans="1:41" ht="25.5" customHeight="1">
      <c r="A36" s="951" t="s">
        <v>191</v>
      </c>
      <c r="B36" s="1011" t="s">
        <v>61</v>
      </c>
      <c r="C36" s="1031" t="s">
        <v>11</v>
      </c>
      <c r="D36" s="1031"/>
      <c r="E36" s="1031"/>
      <c r="F36" s="1031"/>
      <c r="G36" s="1031"/>
      <c r="H36" s="1031"/>
      <c r="I36" s="1031"/>
      <c r="J36" s="1031"/>
      <c r="K36" s="1031"/>
      <c r="L36" s="1031"/>
      <c r="M36" s="1031"/>
      <c r="N36" s="1031"/>
      <c r="O36" s="1031"/>
      <c r="P36" s="1031"/>
      <c r="Q36" s="952" t="s">
        <v>78</v>
      </c>
      <c r="R36" s="1013"/>
      <c r="S36" s="1013"/>
      <c r="T36" s="1013"/>
      <c r="U36" s="1013"/>
      <c r="V36" s="1013"/>
      <c r="W36" s="1013"/>
      <c r="X36" s="1013"/>
      <c r="Y36" s="1013"/>
      <c r="Z36" s="1013"/>
      <c r="AA36" s="1013"/>
      <c r="AB36" s="1013"/>
      <c r="AC36" s="1013"/>
      <c r="AD36" s="1015"/>
      <c r="AG36" s="90"/>
      <c r="AH36" s="90"/>
      <c r="AI36" s="90"/>
      <c r="AJ36" s="90"/>
      <c r="AK36" s="90"/>
      <c r="AL36" s="90"/>
      <c r="AM36" s="90"/>
      <c r="AN36" s="90"/>
      <c r="AO36" s="90"/>
    </row>
    <row r="37" spans="1:41" ht="25.5" customHeight="1">
      <c r="A37" s="953"/>
      <c r="B37" s="1012"/>
      <c r="C37" s="424" t="s">
        <v>12</v>
      </c>
      <c r="D37" s="424" t="s">
        <v>36</v>
      </c>
      <c r="E37" s="424" t="s">
        <v>37</v>
      </c>
      <c r="F37" s="424" t="s">
        <v>38</v>
      </c>
      <c r="G37" s="424" t="s">
        <v>51</v>
      </c>
      <c r="H37" s="424" t="s">
        <v>52</v>
      </c>
      <c r="I37" s="424" t="s">
        <v>53</v>
      </c>
      <c r="J37" s="424" t="s">
        <v>54</v>
      </c>
      <c r="K37" s="424" t="s">
        <v>55</v>
      </c>
      <c r="L37" s="424" t="s">
        <v>56</v>
      </c>
      <c r="M37" s="424" t="s">
        <v>57</v>
      </c>
      <c r="N37" s="424" t="s">
        <v>58</v>
      </c>
      <c r="O37" s="424" t="s">
        <v>59</v>
      </c>
      <c r="P37" s="424" t="s">
        <v>63</v>
      </c>
      <c r="Q37" s="954" t="s">
        <v>83</v>
      </c>
      <c r="R37" s="968"/>
      <c r="S37" s="968"/>
      <c r="T37" s="968"/>
      <c r="U37" s="968"/>
      <c r="V37" s="968"/>
      <c r="W37" s="968"/>
      <c r="X37" s="968"/>
      <c r="Y37" s="968"/>
      <c r="Z37" s="968"/>
      <c r="AA37" s="968"/>
      <c r="AB37" s="968"/>
      <c r="AC37" s="968"/>
      <c r="AD37" s="1016"/>
      <c r="AG37" s="98"/>
      <c r="AH37" s="98"/>
      <c r="AI37" s="98"/>
      <c r="AJ37" s="98"/>
      <c r="AK37" s="98"/>
      <c r="AL37" s="98"/>
      <c r="AM37" s="98"/>
      <c r="AN37" s="98"/>
      <c r="AO37" s="98"/>
    </row>
    <row r="38" spans="1:41" ht="114" customHeight="1">
      <c r="A38" s="1030" t="s">
        <v>580</v>
      </c>
      <c r="B38" s="1032">
        <f>+$B$34/6</f>
        <v>0.09666666666666666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883" t="s">
        <v>868</v>
      </c>
      <c r="R38" s="884"/>
      <c r="S38" s="884"/>
      <c r="T38" s="884"/>
      <c r="U38" s="884"/>
      <c r="V38" s="884"/>
      <c r="W38" s="884"/>
      <c r="X38" s="884"/>
      <c r="Y38" s="884"/>
      <c r="Z38" s="884"/>
      <c r="AA38" s="884"/>
      <c r="AB38" s="884"/>
      <c r="AC38" s="884"/>
      <c r="AD38" s="1005"/>
      <c r="AE38" s="287"/>
      <c r="AG38" s="102"/>
      <c r="AH38" s="102"/>
      <c r="AI38" s="102"/>
      <c r="AJ38" s="102"/>
      <c r="AK38" s="102"/>
      <c r="AL38" s="102"/>
      <c r="AM38" s="102"/>
      <c r="AN38" s="102"/>
      <c r="AO38" s="102"/>
    </row>
    <row r="39" spans="1:31" ht="114" customHeight="1">
      <c r="A39" s="1028"/>
      <c r="B39" s="1029"/>
      <c r="C39" s="288" t="s">
        <v>10</v>
      </c>
      <c r="D39" s="104">
        <v>0.1</v>
      </c>
      <c r="E39" s="104">
        <v>0.1</v>
      </c>
      <c r="F39" s="104">
        <v>0.08</v>
      </c>
      <c r="G39" s="104">
        <v>0.08</v>
      </c>
      <c r="H39" s="104">
        <v>0.08</v>
      </c>
      <c r="I39" s="104">
        <v>0.08</v>
      </c>
      <c r="J39" s="104">
        <v>0.08</v>
      </c>
      <c r="K39" s="104">
        <v>0.08</v>
      </c>
      <c r="L39" s="104">
        <v>0.08</v>
      </c>
      <c r="M39" s="104">
        <v>0.08</v>
      </c>
      <c r="N39" s="104">
        <v>0.08</v>
      </c>
      <c r="O39" s="104">
        <v>0.08</v>
      </c>
      <c r="P39" s="289">
        <f aca="true" t="shared" si="2" ref="P39:P45">SUM(D39:O39)</f>
        <v>0.9999999999999998</v>
      </c>
      <c r="Q39" s="1006"/>
      <c r="R39" s="1007"/>
      <c r="S39" s="1007"/>
      <c r="T39" s="1007"/>
      <c r="U39" s="1007"/>
      <c r="V39" s="1007"/>
      <c r="W39" s="1007"/>
      <c r="X39" s="1007"/>
      <c r="Y39" s="1007"/>
      <c r="Z39" s="1007"/>
      <c r="AA39" s="1007"/>
      <c r="AB39" s="1007"/>
      <c r="AC39" s="1007"/>
      <c r="AD39" s="1008"/>
      <c r="AE39" s="287"/>
    </row>
    <row r="40" spans="1:31" ht="93.75" customHeight="1">
      <c r="A40" s="1027" t="s">
        <v>581</v>
      </c>
      <c r="B40" s="1019">
        <f>+$B$34/6</f>
        <v>0.09666666666666666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883" t="s">
        <v>869</v>
      </c>
      <c r="R40" s="884"/>
      <c r="S40" s="884"/>
      <c r="T40" s="884"/>
      <c r="U40" s="884"/>
      <c r="V40" s="884"/>
      <c r="W40" s="884"/>
      <c r="X40" s="884"/>
      <c r="Y40" s="884"/>
      <c r="Z40" s="884"/>
      <c r="AA40" s="884"/>
      <c r="AB40" s="884"/>
      <c r="AC40" s="884"/>
      <c r="AD40" s="1005"/>
      <c r="AE40" s="287"/>
    </row>
    <row r="41" spans="1:31" ht="93.75" customHeight="1">
      <c r="A41" s="1028"/>
      <c r="B41" s="1029"/>
      <c r="C41" s="288" t="s">
        <v>10</v>
      </c>
      <c r="D41" s="104">
        <v>0.2</v>
      </c>
      <c r="E41" s="104">
        <v>0.3</v>
      </c>
      <c r="F41" s="104">
        <v>0.15</v>
      </c>
      <c r="G41" s="104">
        <v>0.03</v>
      </c>
      <c r="H41" s="104">
        <v>0.03</v>
      </c>
      <c r="I41" s="104">
        <v>0.03</v>
      </c>
      <c r="J41" s="104">
        <v>0.04</v>
      </c>
      <c r="K41" s="104">
        <v>0.04</v>
      </c>
      <c r="L41" s="104">
        <v>0.04</v>
      </c>
      <c r="M41" s="104">
        <v>0.02</v>
      </c>
      <c r="N41" s="104">
        <v>0.05</v>
      </c>
      <c r="O41" s="104">
        <v>0.08</v>
      </c>
      <c r="P41" s="289">
        <f t="shared" si="2"/>
        <v>1.0100000000000002</v>
      </c>
      <c r="Q41" s="1006"/>
      <c r="R41" s="1007"/>
      <c r="S41" s="1007"/>
      <c r="T41" s="1007"/>
      <c r="U41" s="1007"/>
      <c r="V41" s="1007"/>
      <c r="W41" s="1007"/>
      <c r="X41" s="1007"/>
      <c r="Y41" s="1007"/>
      <c r="Z41" s="1007"/>
      <c r="AA41" s="1007"/>
      <c r="AB41" s="1007"/>
      <c r="AC41" s="1007"/>
      <c r="AD41" s="1008"/>
      <c r="AE41" s="287"/>
    </row>
    <row r="42" spans="1:31" ht="124.5" customHeight="1">
      <c r="A42" s="1030" t="s">
        <v>582</v>
      </c>
      <c r="B42" s="1019">
        <f>+$B$34/6</f>
        <v>0.09666666666666666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883" t="s">
        <v>870</v>
      </c>
      <c r="R42" s="884"/>
      <c r="S42" s="884"/>
      <c r="T42" s="884"/>
      <c r="U42" s="884"/>
      <c r="V42" s="884"/>
      <c r="W42" s="884"/>
      <c r="X42" s="884"/>
      <c r="Y42" s="884"/>
      <c r="Z42" s="884"/>
      <c r="AA42" s="884"/>
      <c r="AB42" s="884"/>
      <c r="AC42" s="884"/>
      <c r="AD42" s="1005"/>
      <c r="AE42" s="287"/>
    </row>
    <row r="43" spans="1:31" ht="124.5" customHeight="1">
      <c r="A43" s="1028"/>
      <c r="B43" s="1029"/>
      <c r="C43" s="288" t="s">
        <v>10</v>
      </c>
      <c r="D43" s="104">
        <v>0.05</v>
      </c>
      <c r="E43" s="104">
        <v>0.05</v>
      </c>
      <c r="F43" s="104">
        <v>0.07</v>
      </c>
      <c r="G43" s="104">
        <v>0.09</v>
      </c>
      <c r="H43" s="104">
        <v>0.1</v>
      </c>
      <c r="I43" s="104">
        <v>0.12</v>
      </c>
      <c r="J43" s="104">
        <v>0.12</v>
      </c>
      <c r="K43" s="104">
        <v>0.1</v>
      </c>
      <c r="L43" s="104">
        <v>0.09</v>
      </c>
      <c r="M43" s="104">
        <v>0.09</v>
      </c>
      <c r="N43" s="104">
        <v>0.07</v>
      </c>
      <c r="O43" s="104">
        <v>0.05</v>
      </c>
      <c r="P43" s="289">
        <f t="shared" si="2"/>
        <v>1</v>
      </c>
      <c r="Q43" s="1006"/>
      <c r="R43" s="1007"/>
      <c r="S43" s="1007"/>
      <c r="T43" s="1007"/>
      <c r="U43" s="1007"/>
      <c r="V43" s="1007"/>
      <c r="W43" s="1007"/>
      <c r="X43" s="1007"/>
      <c r="Y43" s="1007"/>
      <c r="Z43" s="1007"/>
      <c r="AA43" s="1007"/>
      <c r="AB43" s="1007"/>
      <c r="AC43" s="1007"/>
      <c r="AD43" s="1008"/>
      <c r="AE43" s="287"/>
    </row>
    <row r="44" spans="1:31" ht="93.75" customHeight="1">
      <c r="A44" s="1027" t="s">
        <v>790</v>
      </c>
      <c r="B44" s="1019">
        <f>+$B$34/6</f>
        <v>0.09666666666666666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883" t="s">
        <v>1036</v>
      </c>
      <c r="R44" s="884"/>
      <c r="S44" s="884"/>
      <c r="T44" s="884"/>
      <c r="U44" s="884"/>
      <c r="V44" s="884"/>
      <c r="W44" s="884"/>
      <c r="X44" s="884"/>
      <c r="Y44" s="884"/>
      <c r="Z44" s="884"/>
      <c r="AA44" s="884"/>
      <c r="AB44" s="884"/>
      <c r="AC44" s="884"/>
      <c r="AD44" s="1005"/>
      <c r="AE44" s="287"/>
    </row>
    <row r="45" spans="1:31" ht="93.75" customHeight="1">
      <c r="A45" s="1028"/>
      <c r="B45" s="1029"/>
      <c r="C45" s="288" t="s">
        <v>10</v>
      </c>
      <c r="D45" s="104">
        <v>0.02</v>
      </c>
      <c r="E45" s="104">
        <v>0.07</v>
      </c>
      <c r="F45" s="104">
        <v>0.08</v>
      </c>
      <c r="G45" s="104">
        <v>0.09</v>
      </c>
      <c r="H45" s="104">
        <v>0.09</v>
      </c>
      <c r="I45" s="104">
        <v>0.09</v>
      </c>
      <c r="J45" s="104">
        <v>0.09</v>
      </c>
      <c r="K45" s="104">
        <v>0.09</v>
      </c>
      <c r="L45" s="104">
        <v>0.09</v>
      </c>
      <c r="M45" s="104">
        <v>0.08</v>
      </c>
      <c r="N45" s="104">
        <v>0.07</v>
      </c>
      <c r="O45" s="104">
        <v>0.14</v>
      </c>
      <c r="P45" s="333">
        <f t="shared" si="2"/>
        <v>0.9999999999999999</v>
      </c>
      <c r="Q45" s="1006"/>
      <c r="R45" s="1007"/>
      <c r="S45" s="1007"/>
      <c r="T45" s="1007"/>
      <c r="U45" s="1007"/>
      <c r="V45" s="1007"/>
      <c r="W45" s="1007"/>
      <c r="X45" s="1007"/>
      <c r="Y45" s="1007"/>
      <c r="Z45" s="1007"/>
      <c r="AA45" s="1007"/>
      <c r="AB45" s="1007"/>
      <c r="AC45" s="1007"/>
      <c r="AD45" s="1008"/>
      <c r="AE45" s="287"/>
    </row>
    <row r="46" spans="1:31" ht="93.75" customHeight="1">
      <c r="A46" s="1027" t="s">
        <v>791</v>
      </c>
      <c r="B46" s="1019">
        <f>+$B$34/6</f>
        <v>0.09666666666666666</v>
      </c>
      <c r="C46" s="290" t="s">
        <v>9</v>
      </c>
      <c r="D46" s="406">
        <v>0.08333333333333334</v>
      </c>
      <c r="E46" s="406">
        <v>0.08333333333333334</v>
      </c>
      <c r="F46" s="406">
        <v>0.08333333333333334</v>
      </c>
      <c r="G46" s="406">
        <v>0.08333333333333334</v>
      </c>
      <c r="H46" s="406">
        <v>0.08333333333333334</v>
      </c>
      <c r="I46" s="406">
        <v>0.08333333333333334</v>
      </c>
      <c r="J46" s="406">
        <v>0.08333333333333334</v>
      </c>
      <c r="K46" s="406">
        <v>0.08333333333333334</v>
      </c>
      <c r="L46" s="406">
        <v>0.08333333333333334</v>
      </c>
      <c r="M46" s="406">
        <v>0.08333333333333334</v>
      </c>
      <c r="N46" s="406">
        <v>0.08333333333333334</v>
      </c>
      <c r="O46" s="406">
        <v>0.08333333333333334</v>
      </c>
      <c r="P46" s="333">
        <f>SUM(D46:O46)</f>
        <v>1.0000000000000002</v>
      </c>
      <c r="Q46" s="883" t="s">
        <v>1035</v>
      </c>
      <c r="R46" s="884"/>
      <c r="S46" s="884"/>
      <c r="T46" s="884"/>
      <c r="U46" s="884"/>
      <c r="V46" s="884"/>
      <c r="W46" s="884"/>
      <c r="X46" s="884"/>
      <c r="Y46" s="884"/>
      <c r="Z46" s="884"/>
      <c r="AA46" s="884"/>
      <c r="AB46" s="884"/>
      <c r="AC46" s="884"/>
      <c r="AD46" s="1005"/>
      <c r="AE46" s="287"/>
    </row>
    <row r="47" spans="1:31" ht="93.75" customHeight="1">
      <c r="A47" s="1028"/>
      <c r="B47" s="1029"/>
      <c r="C47" s="288" t="s">
        <v>10</v>
      </c>
      <c r="D47" s="409">
        <v>0.0833</v>
      </c>
      <c r="E47" s="409">
        <v>0.0833</v>
      </c>
      <c r="F47" s="409">
        <v>0.0833</v>
      </c>
      <c r="G47" s="409">
        <v>0.0833</v>
      </c>
      <c r="H47" s="409">
        <v>0.08333333333333334</v>
      </c>
      <c r="I47" s="471">
        <v>0.0833</v>
      </c>
      <c r="J47" s="471">
        <v>0.0833</v>
      </c>
      <c r="K47" s="471">
        <v>0.0833</v>
      </c>
      <c r="L47" s="471">
        <v>0.0833</v>
      </c>
      <c r="M47" s="471">
        <v>0.08333333333333334</v>
      </c>
      <c r="N47" s="471">
        <v>0.08333333333333334</v>
      </c>
      <c r="O47" s="104">
        <v>0.08333333333333334</v>
      </c>
      <c r="P47" s="333">
        <f>SUM(D47:O47)</f>
        <v>0.9997333333333335</v>
      </c>
      <c r="Q47" s="1006"/>
      <c r="R47" s="1007"/>
      <c r="S47" s="1007"/>
      <c r="T47" s="1007"/>
      <c r="U47" s="1007"/>
      <c r="V47" s="1007"/>
      <c r="W47" s="1007"/>
      <c r="X47" s="1007"/>
      <c r="Y47" s="1007"/>
      <c r="Z47" s="1007"/>
      <c r="AA47" s="1007"/>
      <c r="AB47" s="1007"/>
      <c r="AC47" s="1007"/>
      <c r="AD47" s="1008"/>
      <c r="AE47" s="287"/>
    </row>
    <row r="48" spans="1:41" ht="93.75" customHeight="1">
      <c r="A48" s="1017" t="s">
        <v>628</v>
      </c>
      <c r="B48" s="1019">
        <f>+$B$34/6</f>
        <v>0.09666666666666666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1021" t="s">
        <v>991</v>
      </c>
      <c r="R48" s="1022"/>
      <c r="S48" s="1022"/>
      <c r="T48" s="1022"/>
      <c r="U48" s="1022"/>
      <c r="V48" s="1022"/>
      <c r="W48" s="1022"/>
      <c r="X48" s="1022"/>
      <c r="Y48" s="1022"/>
      <c r="Z48" s="1022"/>
      <c r="AA48" s="1022"/>
      <c r="AB48" s="1022"/>
      <c r="AC48" s="1022"/>
      <c r="AD48" s="1023"/>
      <c r="AE48" s="287"/>
      <c r="AG48" s="102"/>
      <c r="AH48" s="102"/>
      <c r="AI48" s="102"/>
      <c r="AJ48" s="102"/>
      <c r="AK48" s="102"/>
      <c r="AL48" s="102"/>
      <c r="AM48" s="102"/>
      <c r="AN48" s="102"/>
      <c r="AO48" s="102"/>
    </row>
    <row r="49" spans="1:31" ht="93.75" customHeight="1" thickBot="1">
      <c r="A49" s="1018"/>
      <c r="B49" s="1020"/>
      <c r="C49" s="285" t="s">
        <v>10</v>
      </c>
      <c r="D49" s="110">
        <v>0.02</v>
      </c>
      <c r="E49" s="110">
        <v>0.08</v>
      </c>
      <c r="F49" s="110">
        <v>0.09</v>
      </c>
      <c r="G49" s="110">
        <v>0.09</v>
      </c>
      <c r="H49" s="110">
        <v>0.09</v>
      </c>
      <c r="I49" s="110">
        <v>0.09</v>
      </c>
      <c r="J49" s="110">
        <v>0.09</v>
      </c>
      <c r="K49" s="110">
        <v>0.09</v>
      </c>
      <c r="L49" s="110">
        <v>0.09</v>
      </c>
      <c r="M49" s="110">
        <v>0.09</v>
      </c>
      <c r="N49" s="110">
        <v>0.09</v>
      </c>
      <c r="O49" s="110">
        <v>0.09</v>
      </c>
      <c r="P49" s="425">
        <f>SUM(D49:O49)</f>
        <v>0.9999999999999998</v>
      </c>
      <c r="Q49" s="1024"/>
      <c r="R49" s="1025"/>
      <c r="S49" s="1025"/>
      <c r="T49" s="1025"/>
      <c r="U49" s="1025"/>
      <c r="V49" s="1025"/>
      <c r="W49" s="1025"/>
      <c r="X49" s="1025"/>
      <c r="Y49" s="1025"/>
      <c r="Z49" s="1025"/>
      <c r="AA49" s="1025"/>
      <c r="AB49" s="1025"/>
      <c r="AC49" s="1025"/>
      <c r="AD49" s="1026"/>
      <c r="AE49" s="287"/>
    </row>
  </sheetData>
  <sheetProtection/>
  <mergeCells count="8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8:A49"/>
    <mergeCell ref="B48:B49"/>
    <mergeCell ref="Q48:AD49"/>
    <mergeCell ref="A44:A45"/>
    <mergeCell ref="B44:B45"/>
    <mergeCell ref="Q44:AD45"/>
    <mergeCell ref="A46:A47"/>
    <mergeCell ref="B46:B47"/>
    <mergeCell ref="Q46:AD4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Q48 T34 Q34 AA34 Q38:AD47">
      <formula1>2000</formula1>
    </dataValidation>
  </dataValidations>
  <printOptions/>
  <pageMargins left="0.25" right="0.25" top="0.75" bottom="0.75" header="0.3" footer="0.3"/>
  <pageSetup fitToHeight="1" fitToWidth="1" horizontalDpi="600" verticalDpi="600" orientation="landscape" scale="21" r:id="rId4"/>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view="pageBreakPreview" zoomScaleNormal="70" zoomScaleSheetLayoutView="100" workbookViewId="0" topLeftCell="B24">
      <selection activeCell="B34" sqref="B34:B35"/>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1065"/>
      <c r="B1" s="1068" t="s">
        <v>16</v>
      </c>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70"/>
      <c r="AB1" s="903" t="s">
        <v>18</v>
      </c>
      <c r="AC1" s="904"/>
      <c r="AD1" s="905"/>
    </row>
    <row r="2" spans="1:30" ht="30.75" customHeight="1">
      <c r="A2" s="1066"/>
      <c r="B2" s="1073" t="s">
        <v>17</v>
      </c>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5"/>
      <c r="AB2" s="906" t="s">
        <v>418</v>
      </c>
      <c r="AC2" s="907"/>
      <c r="AD2" s="908"/>
    </row>
    <row r="3" spans="1:30" ht="24" customHeight="1">
      <c r="A3" s="1066"/>
      <c r="B3" s="928" t="s">
        <v>295</v>
      </c>
      <c r="C3" s="929"/>
      <c r="D3" s="929"/>
      <c r="E3" s="929"/>
      <c r="F3" s="929"/>
      <c r="G3" s="929"/>
      <c r="H3" s="929"/>
      <c r="I3" s="929"/>
      <c r="J3" s="929"/>
      <c r="K3" s="929"/>
      <c r="L3" s="929"/>
      <c r="M3" s="929"/>
      <c r="N3" s="929"/>
      <c r="O3" s="929"/>
      <c r="P3" s="929"/>
      <c r="Q3" s="929"/>
      <c r="R3" s="929"/>
      <c r="S3" s="929"/>
      <c r="T3" s="929"/>
      <c r="U3" s="929"/>
      <c r="V3" s="929"/>
      <c r="W3" s="929"/>
      <c r="X3" s="929"/>
      <c r="Y3" s="929"/>
      <c r="Z3" s="929"/>
      <c r="AA3" s="930"/>
      <c r="AB3" s="906" t="s">
        <v>478</v>
      </c>
      <c r="AC3" s="907"/>
      <c r="AD3" s="908"/>
    </row>
    <row r="4" spans="1:30" ht="21.75" customHeight="1" thickBot="1">
      <c r="A4" s="1067"/>
      <c r="B4" s="931"/>
      <c r="C4" s="932"/>
      <c r="D4" s="932"/>
      <c r="E4" s="932"/>
      <c r="F4" s="932"/>
      <c r="G4" s="932"/>
      <c r="H4" s="932"/>
      <c r="I4" s="932"/>
      <c r="J4" s="932"/>
      <c r="K4" s="932"/>
      <c r="L4" s="932"/>
      <c r="M4" s="932"/>
      <c r="N4" s="932"/>
      <c r="O4" s="932"/>
      <c r="P4" s="932"/>
      <c r="Q4" s="932"/>
      <c r="R4" s="932"/>
      <c r="S4" s="932"/>
      <c r="T4" s="932"/>
      <c r="U4" s="932"/>
      <c r="V4" s="932"/>
      <c r="W4" s="932"/>
      <c r="X4" s="932"/>
      <c r="Y4" s="932"/>
      <c r="Z4" s="932"/>
      <c r="AA4" s="933"/>
      <c r="AB4" s="669" t="s">
        <v>776</v>
      </c>
      <c r="AC4" s="670"/>
      <c r="AD4" s="671"/>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72" t="s">
        <v>293</v>
      </c>
      <c r="B7" s="673"/>
      <c r="C7" s="934" t="s">
        <v>50</v>
      </c>
      <c r="D7" s="672" t="s">
        <v>71</v>
      </c>
      <c r="E7" s="678"/>
      <c r="F7" s="678"/>
      <c r="G7" s="678"/>
      <c r="H7" s="673"/>
      <c r="I7" s="889">
        <v>45300</v>
      </c>
      <c r="J7" s="890"/>
      <c r="K7" s="672" t="s">
        <v>67</v>
      </c>
      <c r="L7" s="673"/>
      <c r="M7" s="895" t="s">
        <v>70</v>
      </c>
      <c r="N7" s="896"/>
      <c r="O7" s="915"/>
      <c r="P7" s="916"/>
      <c r="Q7" s="252"/>
      <c r="R7" s="252"/>
      <c r="S7" s="252"/>
      <c r="T7" s="252"/>
      <c r="U7" s="252"/>
      <c r="V7" s="252"/>
      <c r="W7" s="252"/>
      <c r="X7" s="252"/>
      <c r="Y7" s="252"/>
      <c r="Z7" s="253"/>
      <c r="AA7" s="252"/>
      <c r="AB7" s="252"/>
      <c r="AC7" s="258"/>
      <c r="AD7" s="259"/>
    </row>
    <row r="8" spans="1:30" ht="15" customHeight="1">
      <c r="A8" s="674"/>
      <c r="B8" s="675"/>
      <c r="C8" s="935"/>
      <c r="D8" s="674"/>
      <c r="E8" s="937"/>
      <c r="F8" s="937"/>
      <c r="G8" s="937"/>
      <c r="H8" s="675"/>
      <c r="I8" s="891"/>
      <c r="J8" s="892"/>
      <c r="K8" s="674"/>
      <c r="L8" s="675"/>
      <c r="M8" s="917" t="s">
        <v>68</v>
      </c>
      <c r="N8" s="918"/>
      <c r="O8" s="919"/>
      <c r="P8" s="920"/>
      <c r="Q8" s="252"/>
      <c r="R8" s="252"/>
      <c r="S8" s="252"/>
      <c r="T8" s="252"/>
      <c r="U8" s="252"/>
      <c r="V8" s="252"/>
      <c r="W8" s="252"/>
      <c r="X8" s="252"/>
      <c r="Y8" s="252"/>
      <c r="Z8" s="253"/>
      <c r="AA8" s="252"/>
      <c r="AB8" s="252"/>
      <c r="AC8" s="258"/>
      <c r="AD8" s="259"/>
    </row>
    <row r="9" spans="1:30" ht="15.75" customHeight="1" thickBot="1">
      <c r="A9" s="676"/>
      <c r="B9" s="677"/>
      <c r="C9" s="936"/>
      <c r="D9" s="676"/>
      <c r="E9" s="680"/>
      <c r="F9" s="680"/>
      <c r="G9" s="680"/>
      <c r="H9" s="677"/>
      <c r="I9" s="893"/>
      <c r="J9" s="894"/>
      <c r="K9" s="676"/>
      <c r="L9" s="677"/>
      <c r="M9" s="921" t="s">
        <v>69</v>
      </c>
      <c r="N9" s="922"/>
      <c r="O9" s="923" t="s">
        <v>425</v>
      </c>
      <c r="P9" s="924"/>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72" t="s">
        <v>0</v>
      </c>
      <c r="B11" s="673"/>
      <c r="C11" s="925" t="s">
        <v>497</v>
      </c>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7"/>
    </row>
    <row r="12" spans="1:30" ht="15" customHeight="1">
      <c r="A12" s="674"/>
      <c r="B12" s="675"/>
      <c r="C12" s="928"/>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30"/>
    </row>
    <row r="13" spans="1:30" ht="15" customHeight="1" thickBot="1">
      <c r="A13" s="676"/>
      <c r="B13" s="677"/>
      <c r="C13" s="931"/>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3"/>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2" t="s">
        <v>77</v>
      </c>
      <c r="B15" s="643"/>
      <c r="C15" s="938" t="s">
        <v>426</v>
      </c>
      <c r="D15" s="939"/>
      <c r="E15" s="939"/>
      <c r="F15" s="939"/>
      <c r="G15" s="939"/>
      <c r="H15" s="939"/>
      <c r="I15" s="939"/>
      <c r="J15" s="939"/>
      <c r="K15" s="940"/>
      <c r="L15" s="636" t="s">
        <v>73</v>
      </c>
      <c r="M15" s="712"/>
      <c r="N15" s="712"/>
      <c r="O15" s="712"/>
      <c r="P15" s="712"/>
      <c r="Q15" s="637"/>
      <c r="R15" s="941" t="s">
        <v>622</v>
      </c>
      <c r="S15" s="942"/>
      <c r="T15" s="942"/>
      <c r="U15" s="942"/>
      <c r="V15" s="942"/>
      <c r="W15" s="942"/>
      <c r="X15" s="943"/>
      <c r="Y15" s="636" t="s">
        <v>72</v>
      </c>
      <c r="Z15" s="637"/>
      <c r="AA15" s="938" t="s">
        <v>623</v>
      </c>
      <c r="AB15" s="939"/>
      <c r="AC15" s="939"/>
      <c r="AD15" s="940"/>
    </row>
    <row r="16" spans="1:30" ht="9" customHeight="1" thickBot="1">
      <c r="A16" s="257"/>
      <c r="B16" s="252"/>
      <c r="C16" s="944"/>
      <c r="D16" s="944"/>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271"/>
      <c r="AD16" s="272"/>
    </row>
    <row r="17" spans="1:30" s="273" customFormat="1" ht="37.5" customHeight="1" thickBot="1">
      <c r="A17" s="642" t="s">
        <v>79</v>
      </c>
      <c r="B17" s="643"/>
      <c r="C17" s="938" t="s">
        <v>498</v>
      </c>
      <c r="D17" s="939"/>
      <c r="E17" s="939"/>
      <c r="F17" s="939"/>
      <c r="G17" s="939"/>
      <c r="H17" s="939"/>
      <c r="I17" s="939"/>
      <c r="J17" s="939"/>
      <c r="K17" s="939"/>
      <c r="L17" s="939"/>
      <c r="M17" s="939"/>
      <c r="N17" s="939"/>
      <c r="O17" s="939"/>
      <c r="P17" s="939"/>
      <c r="Q17" s="940"/>
      <c r="R17" s="636" t="s">
        <v>374</v>
      </c>
      <c r="S17" s="712"/>
      <c r="T17" s="712"/>
      <c r="U17" s="712"/>
      <c r="V17" s="637"/>
      <c r="W17" s="638"/>
      <c r="X17" s="639"/>
      <c r="Y17" s="712" t="s">
        <v>15</v>
      </c>
      <c r="Z17" s="712"/>
      <c r="AA17" s="712"/>
      <c r="AB17" s="637"/>
      <c r="AC17" s="948">
        <f>+VIGENCIA!D8</f>
        <v>0.13</v>
      </c>
      <c r="AD17" s="949"/>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36" t="s">
        <v>1</v>
      </c>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637"/>
      <c r="AE19" s="275"/>
      <c r="AF19" s="275"/>
    </row>
    <row r="20" spans="1:32" ht="31.5" customHeight="1" thickBot="1">
      <c r="A20" s="276"/>
      <c r="B20" s="258"/>
      <c r="C20" s="740" t="s">
        <v>376</v>
      </c>
      <c r="D20" s="788"/>
      <c r="E20" s="788"/>
      <c r="F20" s="788"/>
      <c r="G20" s="788"/>
      <c r="H20" s="788"/>
      <c r="I20" s="788"/>
      <c r="J20" s="788"/>
      <c r="K20" s="788"/>
      <c r="L20" s="788"/>
      <c r="M20" s="788"/>
      <c r="N20" s="788"/>
      <c r="O20" s="788"/>
      <c r="P20" s="741"/>
      <c r="Q20" s="738" t="s">
        <v>377</v>
      </c>
      <c r="R20" s="950"/>
      <c r="S20" s="950"/>
      <c r="T20" s="950"/>
      <c r="U20" s="950"/>
      <c r="V20" s="950"/>
      <c r="W20" s="950"/>
      <c r="X20" s="950"/>
      <c r="Y20" s="950"/>
      <c r="Z20" s="950"/>
      <c r="AA20" s="950"/>
      <c r="AB20" s="950"/>
      <c r="AC20" s="950"/>
      <c r="AD20" s="739"/>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3" ht="31.5" customHeight="1">
      <c r="A22" s="951" t="s">
        <v>378</v>
      </c>
      <c r="B22" s="952"/>
      <c r="C22" s="197">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c r="AG22"/>
    </row>
    <row r="23" spans="1:33" ht="31.5" customHeight="1">
      <c r="A23" s="953" t="s">
        <v>379</v>
      </c>
      <c r="B23" s="954"/>
      <c r="C23" s="192"/>
      <c r="D23" s="191"/>
      <c r="E23" s="191"/>
      <c r="F23" s="191"/>
      <c r="G23" s="191"/>
      <c r="H23" s="191"/>
      <c r="I23" s="191"/>
      <c r="J23" s="191"/>
      <c r="K23" s="191"/>
      <c r="L23" s="191"/>
      <c r="M23" s="191"/>
      <c r="N23" s="191"/>
      <c r="O23" s="191"/>
      <c r="P23" s="211"/>
      <c r="Q23" s="192">
        <v>1112475156</v>
      </c>
      <c r="R23" s="191">
        <v>308525999</v>
      </c>
      <c r="S23" s="191">
        <v>79079044</v>
      </c>
      <c r="T23" s="191">
        <v>-34477766</v>
      </c>
      <c r="U23" s="191">
        <v>-20290999</v>
      </c>
      <c r="V23" s="191">
        <v>26780000</v>
      </c>
      <c r="W23" s="191">
        <v>0</v>
      </c>
      <c r="X23" s="191">
        <v>0</v>
      </c>
      <c r="Y23" s="191">
        <v>0</v>
      </c>
      <c r="Z23" s="191">
        <v>0</v>
      </c>
      <c r="AA23" s="191">
        <v>3347500</v>
      </c>
      <c r="AB23" s="191">
        <v>38834506</v>
      </c>
      <c r="AC23" s="191">
        <f>SUM(Q23:AB23)</f>
        <v>1514273440</v>
      </c>
      <c r="AD23" s="447">
        <f>_xlfn.IFERROR(AC23/(SUMIF(Q23:AB23,"&gt;0",Q22:AB22))," ")</f>
        <v>0.9937424894156119</v>
      </c>
      <c r="AE23" s="4"/>
      <c r="AF23"/>
      <c r="AG23"/>
    </row>
    <row r="24" spans="1:33" ht="31.5" customHeight="1">
      <c r="A24" s="953" t="s">
        <v>380</v>
      </c>
      <c r="B24" s="954"/>
      <c r="C24" s="192">
        <v>8240000</v>
      </c>
      <c r="D24" s="191">
        <v>-12943667</v>
      </c>
      <c r="E24" s="191">
        <v>2965600</v>
      </c>
      <c r="F24" s="191">
        <v>12943667</v>
      </c>
      <c r="G24" s="191">
        <v>0</v>
      </c>
      <c r="H24" s="191">
        <v>0</v>
      </c>
      <c r="I24" s="191">
        <v>0</v>
      </c>
      <c r="J24" s="191">
        <v>0</v>
      </c>
      <c r="K24" s="191">
        <v>-2965600</v>
      </c>
      <c r="L24" s="191">
        <v>0</v>
      </c>
      <c r="M24" s="191"/>
      <c r="N24" s="191"/>
      <c r="O24" s="191">
        <f>SUM(C24:N24)</f>
        <v>8240000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47"/>
      <c r="AE24" s="4"/>
      <c r="AF24"/>
      <c r="AG24"/>
    </row>
    <row r="25" spans="1:33" ht="31.5" customHeight="1" thickBot="1">
      <c r="A25" s="956" t="s">
        <v>381</v>
      </c>
      <c r="B25" s="957"/>
      <c r="C25" s="193">
        <v>8240000</v>
      </c>
      <c r="D25" s="194">
        <v>0</v>
      </c>
      <c r="E25" s="194">
        <v>0</v>
      </c>
      <c r="F25" s="194"/>
      <c r="G25" s="194">
        <v>0</v>
      </c>
      <c r="H25" s="194">
        <v>0</v>
      </c>
      <c r="I25" s="194">
        <v>0</v>
      </c>
      <c r="J25" s="194">
        <v>0</v>
      </c>
      <c r="K25" s="194">
        <v>0</v>
      </c>
      <c r="L25" s="194">
        <v>0</v>
      </c>
      <c r="M25" s="194"/>
      <c r="N25" s="194"/>
      <c r="O25" s="194">
        <f>SUM(C25:N25)</f>
        <v>8240000</v>
      </c>
      <c r="P25" s="446">
        <f>+O25/O24</f>
        <v>1</v>
      </c>
      <c r="Q25" s="193">
        <v>0</v>
      </c>
      <c r="R25" s="194">
        <v>45917998</v>
      </c>
      <c r="S25" s="194">
        <v>110000397</v>
      </c>
      <c r="T25" s="194">
        <v>124259997</v>
      </c>
      <c r="U25" s="194">
        <v>130302664</v>
      </c>
      <c r="V25" s="194">
        <v>130302664</v>
      </c>
      <c r="W25" s="194">
        <v>136997664</v>
      </c>
      <c r="X25" s="194">
        <v>136997664</v>
      </c>
      <c r="Y25" s="194">
        <v>136997664</v>
      </c>
      <c r="Z25" s="194">
        <v>136997664</v>
      </c>
      <c r="AA25" s="194">
        <v>120810664</v>
      </c>
      <c r="AB25" s="194">
        <v>196244395</v>
      </c>
      <c r="AC25" s="194">
        <f>SUM(Q25:AB25)</f>
        <v>1405829435</v>
      </c>
      <c r="AD25" s="448">
        <f>_xlfn.IFERROR(AC25/(SUMIF(Q25:AB25,"&gt;0",Q24:AB24))," ")</f>
        <v>0.922576072146285</v>
      </c>
      <c r="AE25" s="4"/>
      <c r="AF25" s="4"/>
      <c r="AG25" s="553"/>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58" t="s">
        <v>76</v>
      </c>
      <c r="B27" s="959"/>
      <c r="C27" s="960"/>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1"/>
    </row>
    <row r="28" spans="1:30" ht="15" customHeight="1">
      <c r="A28" s="962" t="s">
        <v>189</v>
      </c>
      <c r="B28" s="964" t="s">
        <v>6</v>
      </c>
      <c r="C28" s="965"/>
      <c r="D28" s="954" t="s">
        <v>398</v>
      </c>
      <c r="E28" s="968"/>
      <c r="F28" s="968"/>
      <c r="G28" s="968"/>
      <c r="H28" s="968"/>
      <c r="I28" s="968"/>
      <c r="J28" s="968"/>
      <c r="K28" s="968"/>
      <c r="L28" s="968"/>
      <c r="M28" s="968"/>
      <c r="N28" s="968"/>
      <c r="O28" s="969"/>
      <c r="P28" s="955" t="s">
        <v>8</v>
      </c>
      <c r="Q28" s="955" t="s">
        <v>84</v>
      </c>
      <c r="R28" s="955"/>
      <c r="S28" s="955"/>
      <c r="T28" s="955"/>
      <c r="U28" s="955"/>
      <c r="V28" s="955"/>
      <c r="W28" s="955"/>
      <c r="X28" s="955"/>
      <c r="Y28" s="955"/>
      <c r="Z28" s="955"/>
      <c r="AA28" s="955"/>
      <c r="AB28" s="955"/>
      <c r="AC28" s="955"/>
      <c r="AD28" s="970"/>
    </row>
    <row r="29" spans="1:30" ht="27" customHeight="1">
      <c r="A29" s="963"/>
      <c r="B29" s="966"/>
      <c r="C29" s="967"/>
      <c r="D29" s="281" t="s">
        <v>39</v>
      </c>
      <c r="E29" s="281" t="s">
        <v>40</v>
      </c>
      <c r="F29" s="281" t="s">
        <v>41</v>
      </c>
      <c r="G29" s="281" t="s">
        <v>42</v>
      </c>
      <c r="H29" s="281" t="s">
        <v>43</v>
      </c>
      <c r="I29" s="281" t="s">
        <v>44</v>
      </c>
      <c r="J29" s="281" t="s">
        <v>45</v>
      </c>
      <c r="K29" s="281" t="s">
        <v>46</v>
      </c>
      <c r="L29" s="281" t="s">
        <v>47</v>
      </c>
      <c r="M29" s="281" t="s">
        <v>48</v>
      </c>
      <c r="N29" s="281" t="s">
        <v>49</v>
      </c>
      <c r="O29" s="281" t="s">
        <v>50</v>
      </c>
      <c r="P29" s="969"/>
      <c r="Q29" s="955"/>
      <c r="R29" s="955"/>
      <c r="S29" s="955"/>
      <c r="T29" s="955"/>
      <c r="U29" s="955"/>
      <c r="V29" s="955"/>
      <c r="W29" s="955"/>
      <c r="X29" s="955"/>
      <c r="Y29" s="955"/>
      <c r="Z29" s="955"/>
      <c r="AA29" s="955"/>
      <c r="AB29" s="955"/>
      <c r="AC29" s="955"/>
      <c r="AD29" s="970"/>
    </row>
    <row r="30" spans="1:30" ht="57" customHeight="1" thickBot="1">
      <c r="A30" s="282" t="str">
        <f>C17</f>
        <v>Soportar al 100% la implementación de las políticas del Modelo Integrado de Planeación y Gestión</v>
      </c>
      <c r="B30" s="1043" t="s">
        <v>450</v>
      </c>
      <c r="C30" s="1044"/>
      <c r="D30" s="389" t="s">
        <v>450</v>
      </c>
      <c r="E30" s="389" t="s">
        <v>450</v>
      </c>
      <c r="F30" s="389" t="s">
        <v>450</v>
      </c>
      <c r="G30" s="389" t="s">
        <v>450</v>
      </c>
      <c r="H30" s="389" t="s">
        <v>450</v>
      </c>
      <c r="I30" s="389" t="s">
        <v>450</v>
      </c>
      <c r="J30" s="389" t="s">
        <v>450</v>
      </c>
      <c r="K30" s="389" t="s">
        <v>450</v>
      </c>
      <c r="L30" s="389" t="s">
        <v>450</v>
      </c>
      <c r="M30" s="389" t="s">
        <v>450</v>
      </c>
      <c r="N30" s="389" t="s">
        <v>450</v>
      </c>
      <c r="O30" s="389" t="s">
        <v>450</v>
      </c>
      <c r="P30" s="390">
        <f>SUM(D30:O30)</f>
        <v>0</v>
      </c>
      <c r="Q30" s="979"/>
      <c r="R30" s="979"/>
      <c r="S30" s="979"/>
      <c r="T30" s="979"/>
      <c r="U30" s="979"/>
      <c r="V30" s="979"/>
      <c r="W30" s="979"/>
      <c r="X30" s="979"/>
      <c r="Y30" s="979"/>
      <c r="Z30" s="979"/>
      <c r="AA30" s="979"/>
      <c r="AB30" s="979"/>
      <c r="AC30" s="979"/>
      <c r="AD30" s="980"/>
    </row>
    <row r="31" spans="1:30" ht="45" customHeight="1">
      <c r="A31" s="909" t="s">
        <v>292</v>
      </c>
      <c r="B31" s="910"/>
      <c r="C31" s="910"/>
      <c r="D31" s="910"/>
      <c r="E31" s="910"/>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1"/>
    </row>
    <row r="32" spans="1:41" ht="22.5" customHeight="1">
      <c r="A32" s="953" t="s">
        <v>190</v>
      </c>
      <c r="B32" s="955" t="s">
        <v>62</v>
      </c>
      <c r="C32" s="955" t="s">
        <v>6</v>
      </c>
      <c r="D32" s="955" t="s">
        <v>60</v>
      </c>
      <c r="E32" s="955"/>
      <c r="F32" s="955"/>
      <c r="G32" s="955"/>
      <c r="H32" s="955"/>
      <c r="I32" s="955"/>
      <c r="J32" s="955"/>
      <c r="K32" s="955"/>
      <c r="L32" s="955"/>
      <c r="M32" s="955"/>
      <c r="N32" s="955"/>
      <c r="O32" s="955"/>
      <c r="P32" s="955"/>
      <c r="Q32" s="955" t="s">
        <v>85</v>
      </c>
      <c r="R32" s="955"/>
      <c r="S32" s="955"/>
      <c r="T32" s="955"/>
      <c r="U32" s="955"/>
      <c r="V32" s="955"/>
      <c r="W32" s="955"/>
      <c r="X32" s="955"/>
      <c r="Y32" s="955"/>
      <c r="Z32" s="955"/>
      <c r="AA32" s="955"/>
      <c r="AB32" s="955"/>
      <c r="AC32" s="955"/>
      <c r="AD32" s="970"/>
      <c r="AG32" s="90"/>
      <c r="AH32" s="90"/>
      <c r="AI32" s="90"/>
      <c r="AJ32" s="90"/>
      <c r="AK32" s="90"/>
      <c r="AL32" s="90"/>
      <c r="AM32" s="90"/>
      <c r="AN32" s="90"/>
      <c r="AO32" s="90"/>
    </row>
    <row r="33" spans="1:41" ht="27" customHeight="1">
      <c r="A33" s="953"/>
      <c r="B33" s="955"/>
      <c r="C33" s="981"/>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55" t="s">
        <v>403</v>
      </c>
      <c r="R33" s="955"/>
      <c r="S33" s="955"/>
      <c r="T33" s="955" t="s">
        <v>406</v>
      </c>
      <c r="U33" s="955"/>
      <c r="V33" s="955"/>
      <c r="W33" s="966" t="s">
        <v>81</v>
      </c>
      <c r="X33" s="987"/>
      <c r="Y33" s="987"/>
      <c r="Z33" s="967"/>
      <c r="AA33" s="966" t="s">
        <v>82</v>
      </c>
      <c r="AB33" s="987"/>
      <c r="AC33" s="987"/>
      <c r="AD33" s="988"/>
      <c r="AG33" s="90"/>
      <c r="AH33" s="90"/>
      <c r="AI33" s="90"/>
      <c r="AJ33" s="90"/>
      <c r="AK33" s="90"/>
      <c r="AL33" s="90"/>
      <c r="AM33" s="90"/>
      <c r="AN33" s="90"/>
      <c r="AO33" s="90"/>
    </row>
    <row r="34" spans="1:41" ht="107.25" customHeight="1">
      <c r="A34" s="989" t="s">
        <v>499</v>
      </c>
      <c r="B34" s="1061">
        <f>+AC17</f>
        <v>0.13</v>
      </c>
      <c r="C34" s="284" t="s">
        <v>9</v>
      </c>
      <c r="D34" s="177">
        <f>((D38*($B$38/$B$34))+(D40*($B$40/$B$34))+(D42*($B$42/$B$34)))*$P$34</f>
        <v>0.055384615384615386</v>
      </c>
      <c r="E34" s="177">
        <f aca="true" t="shared" si="0" ref="E34:O34">((E38*($B$38/$B$34))+(E40*($B$40/$B$34))+(E42*($B$42/$B$34)))*$P$34</f>
        <v>0.10538461538461538</v>
      </c>
      <c r="F34" s="177">
        <f t="shared" si="0"/>
        <v>0.08538461538461539</v>
      </c>
      <c r="G34" s="177">
        <f t="shared" si="0"/>
        <v>0.0823076923076923</v>
      </c>
      <c r="H34" s="177">
        <f t="shared" si="0"/>
        <v>0.08692307692307692</v>
      </c>
      <c r="I34" s="177">
        <f t="shared" si="0"/>
        <v>0.06384615384615386</v>
      </c>
      <c r="J34" s="177">
        <f t="shared" si="0"/>
        <v>0.09615384615384616</v>
      </c>
      <c r="K34" s="177">
        <f>((K38*($B$38/$B$34))+(K40*($B$40/$B$34))+(K42*($B$42/$B$34)))*$P$34</f>
        <v>0.0876923076923077</v>
      </c>
      <c r="L34" s="177">
        <f t="shared" si="0"/>
        <v>0.07538461538461538</v>
      </c>
      <c r="M34" s="177">
        <f t="shared" si="0"/>
        <v>0.09307692307692308</v>
      </c>
      <c r="N34" s="177">
        <f t="shared" si="0"/>
        <v>0.08</v>
      </c>
      <c r="O34" s="177">
        <f t="shared" si="0"/>
        <v>0.08846153846153847</v>
      </c>
      <c r="P34" s="177">
        <v>1</v>
      </c>
      <c r="Q34" s="1037" t="s">
        <v>871</v>
      </c>
      <c r="R34" s="1038"/>
      <c r="S34" s="1039"/>
      <c r="T34" s="1037" t="s">
        <v>872</v>
      </c>
      <c r="U34" s="1038"/>
      <c r="V34" s="1039"/>
      <c r="W34" s="1037" t="s">
        <v>873</v>
      </c>
      <c r="X34" s="1038"/>
      <c r="Y34" s="1038"/>
      <c r="Z34" s="1039"/>
      <c r="AA34" s="1037" t="s">
        <v>874</v>
      </c>
      <c r="AB34" s="1038"/>
      <c r="AC34" s="1038"/>
      <c r="AD34" s="1063"/>
      <c r="AG34" s="90"/>
      <c r="AH34" s="90"/>
      <c r="AI34" s="90"/>
      <c r="AJ34" s="90"/>
      <c r="AK34" s="90"/>
      <c r="AL34" s="90"/>
      <c r="AM34" s="90"/>
      <c r="AN34" s="90"/>
      <c r="AO34" s="90"/>
    </row>
    <row r="35" spans="1:41" ht="107.25" customHeight="1" thickBot="1">
      <c r="A35" s="990"/>
      <c r="B35" s="1062"/>
      <c r="C35" s="285" t="s">
        <v>10</v>
      </c>
      <c r="D35" s="412">
        <f>((D39*($B$38/$B$34))+(D41*($B$40/$B$34))+(D43*($B$42/$B$34)))*$P$34</f>
        <v>0.062307692307692314</v>
      </c>
      <c r="E35" s="412">
        <f aca="true" t="shared" si="1" ref="E35:N35">((E39*($B$38/$B$34))+(E41*($B$40/$B$34))+(E43*($B$42/$B$34)))*$P$34</f>
        <v>0.09846153846153846</v>
      </c>
      <c r="F35" s="412">
        <f t="shared" si="1"/>
        <v>0.08076923076923077</v>
      </c>
      <c r="G35" s="412">
        <f t="shared" si="1"/>
        <v>0.07846153846153847</v>
      </c>
      <c r="H35" s="412">
        <f t="shared" si="1"/>
        <v>0.08692307692307692</v>
      </c>
      <c r="I35" s="474">
        <f t="shared" si="1"/>
        <v>0.07307692307692308</v>
      </c>
      <c r="J35" s="474">
        <f t="shared" si="1"/>
        <v>0.08923076923076924</v>
      </c>
      <c r="K35" s="474">
        <f t="shared" si="1"/>
        <v>0.0876923076923077</v>
      </c>
      <c r="L35" s="474">
        <f t="shared" si="1"/>
        <v>0.07538461538461538</v>
      </c>
      <c r="M35" s="474">
        <f t="shared" si="1"/>
        <v>0.09538461538461539</v>
      </c>
      <c r="N35" s="474">
        <f t="shared" si="1"/>
        <v>0.08</v>
      </c>
      <c r="O35" s="474">
        <v>0.09</v>
      </c>
      <c r="P35" s="178">
        <f>SUM(D35:O35)</f>
        <v>0.9976923076923078</v>
      </c>
      <c r="Q35" s="1040"/>
      <c r="R35" s="1041"/>
      <c r="S35" s="1042"/>
      <c r="T35" s="1040"/>
      <c r="U35" s="1041"/>
      <c r="V35" s="1042"/>
      <c r="W35" s="1040"/>
      <c r="X35" s="1041"/>
      <c r="Y35" s="1041"/>
      <c r="Z35" s="1042"/>
      <c r="AA35" s="1040"/>
      <c r="AB35" s="1041"/>
      <c r="AC35" s="1041"/>
      <c r="AD35" s="1064"/>
      <c r="AE35" s="50"/>
      <c r="AG35" s="90"/>
      <c r="AH35" s="90"/>
      <c r="AI35" s="90"/>
      <c r="AJ35" s="90"/>
      <c r="AK35" s="90"/>
      <c r="AL35" s="90"/>
      <c r="AM35" s="90"/>
      <c r="AN35" s="90"/>
      <c r="AO35" s="90"/>
    </row>
    <row r="36" spans="1:41" ht="25.5" customHeight="1">
      <c r="A36" s="951" t="s">
        <v>191</v>
      </c>
      <c r="B36" s="1011" t="s">
        <v>61</v>
      </c>
      <c r="C36" s="1031" t="s">
        <v>11</v>
      </c>
      <c r="D36" s="1031"/>
      <c r="E36" s="1031"/>
      <c r="F36" s="1031"/>
      <c r="G36" s="1031"/>
      <c r="H36" s="1031"/>
      <c r="I36" s="1031"/>
      <c r="J36" s="1031"/>
      <c r="K36" s="1031"/>
      <c r="L36" s="1031"/>
      <c r="M36" s="1031"/>
      <c r="N36" s="1031"/>
      <c r="O36" s="1031"/>
      <c r="P36" s="1031"/>
      <c r="Q36" s="952" t="s">
        <v>78</v>
      </c>
      <c r="R36" s="1013"/>
      <c r="S36" s="1013"/>
      <c r="T36" s="1013"/>
      <c r="U36" s="1013"/>
      <c r="V36" s="1013"/>
      <c r="W36" s="1013"/>
      <c r="X36" s="1013"/>
      <c r="Y36" s="1013"/>
      <c r="Z36" s="1013"/>
      <c r="AA36" s="1013"/>
      <c r="AB36" s="1013"/>
      <c r="AC36" s="1013"/>
      <c r="AD36" s="1015"/>
      <c r="AG36" s="90"/>
      <c r="AH36" s="90"/>
      <c r="AI36" s="90"/>
      <c r="AJ36" s="90"/>
      <c r="AK36" s="90"/>
      <c r="AL36" s="90"/>
      <c r="AM36" s="90"/>
      <c r="AN36" s="90"/>
      <c r="AO36" s="90"/>
    </row>
    <row r="37" spans="1:41" ht="51" customHeight="1">
      <c r="A37" s="953"/>
      <c r="B37" s="1012"/>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54" t="s">
        <v>83</v>
      </c>
      <c r="R37" s="968"/>
      <c r="S37" s="968"/>
      <c r="T37" s="968"/>
      <c r="U37" s="968"/>
      <c r="V37" s="968"/>
      <c r="W37" s="968"/>
      <c r="X37" s="968"/>
      <c r="Y37" s="968"/>
      <c r="Z37" s="968"/>
      <c r="AA37" s="968"/>
      <c r="AB37" s="968"/>
      <c r="AC37" s="968"/>
      <c r="AD37" s="1016"/>
      <c r="AG37" s="98"/>
      <c r="AH37" s="98"/>
      <c r="AI37" s="98"/>
      <c r="AJ37" s="98"/>
      <c r="AK37" s="98"/>
      <c r="AL37" s="98"/>
      <c r="AM37" s="98"/>
      <c r="AN37" s="98"/>
      <c r="AO37" s="98"/>
    </row>
    <row r="38" spans="1:41" ht="115.5" customHeight="1">
      <c r="A38" s="1055" t="s">
        <v>499</v>
      </c>
      <c r="B38" s="1057">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2" ref="P38:P43">SUM(D38:O38)</f>
        <v>0.9999999999999999</v>
      </c>
      <c r="Q38" s="1059" t="s">
        <v>939</v>
      </c>
      <c r="R38" s="884"/>
      <c r="S38" s="884"/>
      <c r="T38" s="884"/>
      <c r="U38" s="884"/>
      <c r="V38" s="884"/>
      <c r="W38" s="884"/>
      <c r="X38" s="884"/>
      <c r="Y38" s="884"/>
      <c r="Z38" s="884"/>
      <c r="AA38" s="884"/>
      <c r="AB38" s="884"/>
      <c r="AC38" s="884"/>
      <c r="AD38" s="1005"/>
      <c r="AE38" s="287"/>
      <c r="AG38" s="102"/>
      <c r="AH38" s="102"/>
      <c r="AI38" s="102"/>
      <c r="AJ38" s="102"/>
      <c r="AK38" s="102"/>
      <c r="AL38" s="102"/>
      <c r="AM38" s="102"/>
      <c r="AN38" s="102"/>
      <c r="AO38" s="102"/>
    </row>
    <row r="39" spans="1:31" ht="115.5" customHeight="1">
      <c r="A39" s="1056"/>
      <c r="B39" s="1058"/>
      <c r="C39" s="288" t="s">
        <v>10</v>
      </c>
      <c r="D39" s="104">
        <v>0.03</v>
      </c>
      <c r="E39" s="104">
        <v>0.08</v>
      </c>
      <c r="F39" s="104">
        <v>0.1</v>
      </c>
      <c r="G39" s="104">
        <v>0.09</v>
      </c>
      <c r="H39" s="104">
        <v>0.08</v>
      </c>
      <c r="I39" s="104">
        <v>0.08</v>
      </c>
      <c r="J39" s="104">
        <v>0.1</v>
      </c>
      <c r="K39" s="104">
        <v>0.1</v>
      </c>
      <c r="L39" s="104">
        <v>0.08</v>
      </c>
      <c r="M39" s="104">
        <v>0.08</v>
      </c>
      <c r="N39" s="104">
        <v>0.08</v>
      </c>
      <c r="O39" s="104">
        <v>0.09</v>
      </c>
      <c r="P39" s="289">
        <f t="shared" si="2"/>
        <v>0.9899999999999999</v>
      </c>
      <c r="Q39" s="886"/>
      <c r="R39" s="887"/>
      <c r="S39" s="887"/>
      <c r="T39" s="887"/>
      <c r="U39" s="887"/>
      <c r="V39" s="887"/>
      <c r="W39" s="887"/>
      <c r="X39" s="887"/>
      <c r="Y39" s="887"/>
      <c r="Z39" s="887"/>
      <c r="AA39" s="887"/>
      <c r="AB39" s="887"/>
      <c r="AC39" s="887"/>
      <c r="AD39" s="1060"/>
      <c r="AE39" s="287"/>
    </row>
    <row r="40" spans="1:31" ht="69" customHeight="1">
      <c r="A40" s="1071" t="s">
        <v>629</v>
      </c>
      <c r="B40" s="1072">
        <v>0.03</v>
      </c>
      <c r="C40" s="290" t="s">
        <v>9</v>
      </c>
      <c r="D40" s="332">
        <v>0.04</v>
      </c>
      <c r="E40" s="332">
        <v>0.19</v>
      </c>
      <c r="F40" s="332">
        <v>0.07</v>
      </c>
      <c r="G40" s="332">
        <v>0.04</v>
      </c>
      <c r="H40" s="332">
        <v>0.11</v>
      </c>
      <c r="I40" s="488">
        <v>0.01</v>
      </c>
      <c r="J40" s="488">
        <v>0.1</v>
      </c>
      <c r="K40" s="488">
        <v>0.08</v>
      </c>
      <c r="L40" s="488">
        <v>0.06</v>
      </c>
      <c r="M40" s="488">
        <v>0.12</v>
      </c>
      <c r="N40" s="488">
        <v>0.08</v>
      </c>
      <c r="O40" s="488">
        <v>0.1</v>
      </c>
      <c r="P40" s="289">
        <f t="shared" si="2"/>
        <v>0.9999999999999999</v>
      </c>
      <c r="Q40" s="883" t="s">
        <v>919</v>
      </c>
      <c r="R40" s="884"/>
      <c r="S40" s="884"/>
      <c r="T40" s="884"/>
      <c r="U40" s="884"/>
      <c r="V40" s="884"/>
      <c r="W40" s="884"/>
      <c r="X40" s="884"/>
      <c r="Y40" s="884"/>
      <c r="Z40" s="884"/>
      <c r="AA40" s="884"/>
      <c r="AB40" s="884"/>
      <c r="AC40" s="884"/>
      <c r="AD40" s="1005"/>
      <c r="AE40" s="287"/>
    </row>
    <row r="41" spans="1:31" ht="69" customHeight="1">
      <c r="A41" s="1055"/>
      <c r="B41" s="1058"/>
      <c r="C41" s="288" t="s">
        <v>10</v>
      </c>
      <c r="D41" s="104">
        <v>0.07</v>
      </c>
      <c r="E41" s="104">
        <v>0.16</v>
      </c>
      <c r="F41" s="104">
        <v>0.05</v>
      </c>
      <c r="G41" s="104">
        <v>0.04</v>
      </c>
      <c r="H41" s="104">
        <v>0.11</v>
      </c>
      <c r="I41" s="104">
        <v>0.05</v>
      </c>
      <c r="J41" s="104">
        <v>0.07</v>
      </c>
      <c r="K41" s="104">
        <v>0.08</v>
      </c>
      <c r="L41" s="108">
        <v>0.06</v>
      </c>
      <c r="M41" s="108">
        <v>0.13</v>
      </c>
      <c r="N41" s="108">
        <v>0.08</v>
      </c>
      <c r="O41" s="108">
        <v>0.1</v>
      </c>
      <c r="P41" s="289">
        <f t="shared" si="2"/>
        <v>0.9999999999999999</v>
      </c>
      <c r="Q41" s="1006"/>
      <c r="R41" s="1007"/>
      <c r="S41" s="1007"/>
      <c r="T41" s="1007"/>
      <c r="U41" s="1007"/>
      <c r="V41" s="1007"/>
      <c r="W41" s="1007"/>
      <c r="X41" s="1007"/>
      <c r="Y41" s="1007"/>
      <c r="Z41" s="1007"/>
      <c r="AA41" s="1007"/>
      <c r="AB41" s="1007"/>
      <c r="AC41" s="1007"/>
      <c r="AD41" s="1008"/>
      <c r="AE41" s="287"/>
    </row>
    <row r="42" spans="1:31" ht="107.25" customHeight="1" thickBot="1">
      <c r="A42" s="1046" t="s">
        <v>630</v>
      </c>
      <c r="B42" s="1048">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2"/>
        <v>0.9999999999999998</v>
      </c>
      <c r="Q42" s="1049" t="s">
        <v>973</v>
      </c>
      <c r="R42" s="1050"/>
      <c r="S42" s="1050"/>
      <c r="T42" s="1050"/>
      <c r="U42" s="1050"/>
      <c r="V42" s="1050"/>
      <c r="W42" s="1050"/>
      <c r="X42" s="1050"/>
      <c r="Y42" s="1050"/>
      <c r="Z42" s="1050"/>
      <c r="AA42" s="1050"/>
      <c r="AB42" s="1050"/>
      <c r="AC42" s="1050"/>
      <c r="AD42" s="1051"/>
      <c r="AE42" s="287"/>
    </row>
    <row r="43" spans="1:31" ht="107.25" customHeight="1" thickBot="1">
      <c r="A43" s="1047"/>
      <c r="B43" s="1003"/>
      <c r="C43" s="334" t="s">
        <v>10</v>
      </c>
      <c r="D43" s="335">
        <v>0.09</v>
      </c>
      <c r="E43" s="335">
        <v>0.08</v>
      </c>
      <c r="F43" s="335">
        <v>0.08</v>
      </c>
      <c r="G43" s="335">
        <v>0.09</v>
      </c>
      <c r="H43" s="335">
        <v>0.08</v>
      </c>
      <c r="I43" s="335">
        <v>0.08</v>
      </c>
      <c r="J43" s="335">
        <v>0.09</v>
      </c>
      <c r="K43" s="335">
        <v>0.08</v>
      </c>
      <c r="L43" s="336">
        <v>0.08</v>
      </c>
      <c r="M43" s="336">
        <v>0.09</v>
      </c>
      <c r="N43" s="336">
        <v>0.08</v>
      </c>
      <c r="O43" s="336">
        <v>0.08</v>
      </c>
      <c r="P43" s="337">
        <f t="shared" si="2"/>
        <v>0.9999999999999998</v>
      </c>
      <c r="Q43" s="1052"/>
      <c r="R43" s="1053"/>
      <c r="S43" s="1053"/>
      <c r="T43" s="1053"/>
      <c r="U43" s="1053"/>
      <c r="V43" s="1053"/>
      <c r="W43" s="1053"/>
      <c r="X43" s="1053"/>
      <c r="Y43" s="1053"/>
      <c r="Z43" s="1053"/>
      <c r="AA43" s="1053"/>
      <c r="AB43" s="1053"/>
      <c r="AC43" s="1053"/>
      <c r="AD43" s="1054"/>
      <c r="AE43" s="287"/>
    </row>
  </sheetData>
  <sheetProtection/>
  <mergeCells count="79">
    <mergeCell ref="A1:A4"/>
    <mergeCell ref="B1:AA1"/>
    <mergeCell ref="AB1:AD1"/>
    <mergeCell ref="A40:A41"/>
    <mergeCell ref="B40:B41"/>
    <mergeCell ref="Q40:AD41"/>
    <mergeCell ref="I7:J9"/>
    <mergeCell ref="K7:L9"/>
    <mergeCell ref="M7:N7"/>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2:A43"/>
    <mergeCell ref="B42:B43"/>
    <mergeCell ref="Q42:AD43"/>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W34 AA34 Q38:AD43">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AO50"/>
  <sheetViews>
    <sheetView showGridLines="0" view="pageBreakPreview" zoomScale="60" zoomScaleNormal="85" workbookViewId="0" topLeftCell="M30">
      <selection activeCell="AC23" sqref="AC23"/>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16" width="18.140625" style="246" customWidth="1"/>
    <col min="17" max="21" width="31.8515625" style="246" customWidth="1"/>
    <col min="22" max="22" width="36.57421875" style="246" customWidth="1"/>
    <col min="23" max="23" width="26.00390625" style="246" customWidth="1"/>
    <col min="24"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1065"/>
      <c r="B1" s="1068" t="s">
        <v>16</v>
      </c>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70"/>
      <c r="AB1" s="903" t="s">
        <v>18</v>
      </c>
      <c r="AC1" s="904"/>
      <c r="AD1" s="905"/>
    </row>
    <row r="2" spans="1:30" ht="30.75" customHeight="1">
      <c r="A2" s="1066"/>
      <c r="B2" s="1073" t="s">
        <v>17</v>
      </c>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5"/>
      <c r="AB2" s="906" t="s">
        <v>418</v>
      </c>
      <c r="AC2" s="907"/>
      <c r="AD2" s="908"/>
    </row>
    <row r="3" spans="1:30" ht="24" customHeight="1">
      <c r="A3" s="1066"/>
      <c r="B3" s="928" t="s">
        <v>295</v>
      </c>
      <c r="C3" s="929"/>
      <c r="D3" s="929"/>
      <c r="E3" s="929"/>
      <c r="F3" s="929"/>
      <c r="G3" s="929"/>
      <c r="H3" s="929"/>
      <c r="I3" s="929"/>
      <c r="J3" s="929"/>
      <c r="K3" s="929"/>
      <c r="L3" s="929"/>
      <c r="M3" s="929"/>
      <c r="N3" s="929"/>
      <c r="O3" s="929"/>
      <c r="P3" s="929"/>
      <c r="Q3" s="929"/>
      <c r="R3" s="929"/>
      <c r="S3" s="929"/>
      <c r="T3" s="929"/>
      <c r="U3" s="929"/>
      <c r="V3" s="929"/>
      <c r="W3" s="929"/>
      <c r="X3" s="929"/>
      <c r="Y3" s="929"/>
      <c r="Z3" s="929"/>
      <c r="AA3" s="930"/>
      <c r="AB3" s="906" t="s">
        <v>478</v>
      </c>
      <c r="AC3" s="907"/>
      <c r="AD3" s="908"/>
    </row>
    <row r="4" spans="1:30" ht="21.75" customHeight="1" thickBot="1">
      <c r="A4" s="1067"/>
      <c r="B4" s="931"/>
      <c r="C4" s="932"/>
      <c r="D4" s="932"/>
      <c r="E4" s="932"/>
      <c r="F4" s="932"/>
      <c r="G4" s="932"/>
      <c r="H4" s="932"/>
      <c r="I4" s="932"/>
      <c r="J4" s="932"/>
      <c r="K4" s="932"/>
      <c r="L4" s="932"/>
      <c r="M4" s="932"/>
      <c r="N4" s="932"/>
      <c r="O4" s="932"/>
      <c r="P4" s="932"/>
      <c r="Q4" s="932"/>
      <c r="R4" s="932"/>
      <c r="S4" s="932"/>
      <c r="T4" s="932"/>
      <c r="U4" s="932"/>
      <c r="V4" s="932"/>
      <c r="W4" s="932"/>
      <c r="X4" s="932"/>
      <c r="Y4" s="932"/>
      <c r="Z4" s="932"/>
      <c r="AA4" s="933"/>
      <c r="AB4" s="669" t="s">
        <v>777</v>
      </c>
      <c r="AC4" s="670"/>
      <c r="AD4" s="671"/>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72" t="s">
        <v>293</v>
      </c>
      <c r="B7" s="673"/>
      <c r="C7" s="934" t="s">
        <v>50</v>
      </c>
      <c r="D7" s="672" t="s">
        <v>71</v>
      </c>
      <c r="E7" s="678"/>
      <c r="F7" s="678"/>
      <c r="G7" s="678"/>
      <c r="H7" s="673"/>
      <c r="I7" s="889">
        <v>45300</v>
      </c>
      <c r="J7" s="890"/>
      <c r="K7" s="672" t="s">
        <v>67</v>
      </c>
      <c r="L7" s="673"/>
      <c r="M7" s="895" t="s">
        <v>70</v>
      </c>
      <c r="N7" s="896"/>
      <c r="O7" s="915"/>
      <c r="P7" s="916"/>
      <c r="Q7" s="252"/>
      <c r="R7" s="252"/>
      <c r="S7" s="252"/>
      <c r="T7" s="252"/>
      <c r="U7" s="252"/>
      <c r="V7" s="252"/>
      <c r="W7" s="252"/>
      <c r="X7" s="252"/>
      <c r="Y7" s="252"/>
      <c r="Z7" s="253"/>
      <c r="AA7" s="252"/>
      <c r="AB7" s="252"/>
      <c r="AC7" s="258"/>
      <c r="AD7" s="259"/>
    </row>
    <row r="8" spans="1:30" ht="15" customHeight="1">
      <c r="A8" s="674"/>
      <c r="B8" s="675"/>
      <c r="C8" s="935"/>
      <c r="D8" s="674"/>
      <c r="E8" s="937"/>
      <c r="F8" s="937"/>
      <c r="G8" s="937"/>
      <c r="H8" s="675"/>
      <c r="I8" s="891"/>
      <c r="J8" s="892"/>
      <c r="K8" s="674"/>
      <c r="L8" s="675"/>
      <c r="M8" s="917" t="s">
        <v>68</v>
      </c>
      <c r="N8" s="918"/>
      <c r="O8" s="919"/>
      <c r="P8" s="920"/>
      <c r="Q8" s="252"/>
      <c r="R8" s="252"/>
      <c r="S8" s="252"/>
      <c r="T8" s="252"/>
      <c r="U8" s="252"/>
      <c r="V8" s="252"/>
      <c r="W8" s="252"/>
      <c r="X8" s="252"/>
      <c r="Y8" s="252"/>
      <c r="Z8" s="253"/>
      <c r="AA8" s="252"/>
      <c r="AB8" s="252"/>
      <c r="AC8" s="258"/>
      <c r="AD8" s="259"/>
    </row>
    <row r="9" spans="1:30" ht="15.75" customHeight="1" thickBot="1">
      <c r="A9" s="676"/>
      <c r="B9" s="677"/>
      <c r="C9" s="936"/>
      <c r="D9" s="676"/>
      <c r="E9" s="680"/>
      <c r="F9" s="680"/>
      <c r="G9" s="680"/>
      <c r="H9" s="677"/>
      <c r="I9" s="893"/>
      <c r="J9" s="894"/>
      <c r="K9" s="676"/>
      <c r="L9" s="677"/>
      <c r="M9" s="921" t="s">
        <v>69</v>
      </c>
      <c r="N9" s="922"/>
      <c r="O9" s="923" t="s">
        <v>425</v>
      </c>
      <c r="P9" s="924"/>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672" t="s">
        <v>0</v>
      </c>
      <c r="B11" s="673"/>
      <c r="C11" s="925" t="s">
        <v>497</v>
      </c>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7"/>
    </row>
    <row r="12" spans="1:30" ht="15" customHeight="1">
      <c r="A12" s="674"/>
      <c r="B12" s="675"/>
      <c r="C12" s="928"/>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30"/>
    </row>
    <row r="13" spans="1:30" ht="15" customHeight="1" thickBot="1">
      <c r="A13" s="676"/>
      <c r="B13" s="677"/>
      <c r="C13" s="931"/>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3"/>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2" t="s">
        <v>77</v>
      </c>
      <c r="B15" s="643"/>
      <c r="C15" s="938" t="s">
        <v>426</v>
      </c>
      <c r="D15" s="939"/>
      <c r="E15" s="939"/>
      <c r="F15" s="939"/>
      <c r="G15" s="939"/>
      <c r="H15" s="939"/>
      <c r="I15" s="939"/>
      <c r="J15" s="939"/>
      <c r="K15" s="940"/>
      <c r="L15" s="636" t="s">
        <v>73</v>
      </c>
      <c r="M15" s="712"/>
      <c r="N15" s="712"/>
      <c r="O15" s="712"/>
      <c r="P15" s="712"/>
      <c r="Q15" s="637"/>
      <c r="R15" s="938" t="s">
        <v>622</v>
      </c>
      <c r="S15" s="939"/>
      <c r="T15" s="939"/>
      <c r="U15" s="939"/>
      <c r="V15" s="939"/>
      <c r="W15" s="939"/>
      <c r="X15" s="940"/>
      <c r="Y15" s="636" t="s">
        <v>72</v>
      </c>
      <c r="Z15" s="637"/>
      <c r="AA15" s="938" t="s">
        <v>623</v>
      </c>
      <c r="AB15" s="939"/>
      <c r="AC15" s="939"/>
      <c r="AD15" s="940"/>
    </row>
    <row r="16" spans="1:30" ht="9" customHeight="1" thickBot="1">
      <c r="A16" s="257"/>
      <c r="B16" s="252"/>
      <c r="C16" s="944"/>
      <c r="D16" s="944"/>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271"/>
      <c r="AD16" s="272"/>
    </row>
    <row r="17" spans="1:33" s="273" customFormat="1" ht="37.5" customHeight="1" thickBot="1">
      <c r="A17" s="642" t="s">
        <v>79</v>
      </c>
      <c r="B17" s="643"/>
      <c r="C17" s="945" t="s">
        <v>631</v>
      </c>
      <c r="D17" s="946"/>
      <c r="E17" s="946"/>
      <c r="F17" s="946"/>
      <c r="G17" s="946"/>
      <c r="H17" s="946"/>
      <c r="I17" s="946"/>
      <c r="J17" s="946"/>
      <c r="K17" s="946"/>
      <c r="L17" s="946"/>
      <c r="M17" s="946"/>
      <c r="N17" s="946"/>
      <c r="O17" s="946"/>
      <c r="P17" s="946"/>
      <c r="Q17" s="947"/>
      <c r="R17" s="636" t="s">
        <v>374</v>
      </c>
      <c r="S17" s="712"/>
      <c r="T17" s="712"/>
      <c r="U17" s="712"/>
      <c r="V17" s="637"/>
      <c r="W17" s="638">
        <v>0.6</v>
      </c>
      <c r="X17" s="639"/>
      <c r="Y17" s="712" t="s">
        <v>15</v>
      </c>
      <c r="Z17" s="712"/>
      <c r="AA17" s="712"/>
      <c r="AB17" s="637"/>
      <c r="AC17" s="948">
        <f>+VIGENCIA!D9</f>
        <v>0.08</v>
      </c>
      <c r="AD17" s="949"/>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36" t="s">
        <v>1</v>
      </c>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637"/>
      <c r="AE19" s="275"/>
      <c r="AF19" s="341"/>
    </row>
    <row r="20" spans="1:32" ht="31.5" customHeight="1" thickBot="1">
      <c r="A20" s="276"/>
      <c r="B20" s="258"/>
      <c r="C20" s="740" t="s">
        <v>376</v>
      </c>
      <c r="D20" s="788"/>
      <c r="E20" s="788"/>
      <c r="F20" s="788"/>
      <c r="G20" s="788"/>
      <c r="H20" s="788"/>
      <c r="I20" s="788"/>
      <c r="J20" s="788"/>
      <c r="K20" s="788"/>
      <c r="L20" s="788"/>
      <c r="M20" s="788"/>
      <c r="N20" s="788"/>
      <c r="O20" s="788"/>
      <c r="P20" s="741"/>
      <c r="Q20" s="738" t="s">
        <v>377</v>
      </c>
      <c r="R20" s="950"/>
      <c r="S20" s="950"/>
      <c r="T20" s="950"/>
      <c r="U20" s="950"/>
      <c r="V20" s="950"/>
      <c r="W20" s="950"/>
      <c r="X20" s="950"/>
      <c r="Y20" s="950"/>
      <c r="Z20" s="950"/>
      <c r="AA20" s="950"/>
      <c r="AB20" s="950"/>
      <c r="AC20" s="950"/>
      <c r="AD20" s="739"/>
      <c r="AE20" s="275"/>
      <c r="AF20" s="341"/>
    </row>
    <row r="21" spans="1:33"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c r="AG21"/>
    </row>
    <row r="22" spans="1:33" ht="31.5" customHeight="1">
      <c r="A22" s="951" t="s">
        <v>378</v>
      </c>
      <c r="B22" s="952"/>
      <c r="C22" s="197">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v>-5800477</v>
      </c>
      <c r="AB22" s="342">
        <v>-121897755</v>
      </c>
      <c r="AC22" s="195">
        <f>SUM(Q22:AB22)</f>
        <v>810085834</v>
      </c>
      <c r="AD22" s="202"/>
      <c r="AE22" s="4"/>
      <c r="AF22"/>
      <c r="AG22"/>
    </row>
    <row r="23" spans="1:33" ht="31.5" customHeight="1">
      <c r="A23" s="953" t="s">
        <v>379</v>
      </c>
      <c r="B23" s="954"/>
      <c r="C23" s="192"/>
      <c r="D23" s="191"/>
      <c r="E23" s="191"/>
      <c r="F23" s="191"/>
      <c r="G23" s="191"/>
      <c r="H23" s="191"/>
      <c r="I23" s="191"/>
      <c r="J23" s="191"/>
      <c r="K23" s="191"/>
      <c r="L23" s="191"/>
      <c r="M23" s="191"/>
      <c r="N23" s="191"/>
      <c r="O23" s="191"/>
      <c r="P23" s="211"/>
      <c r="Q23" s="192">
        <v>582044581</v>
      </c>
      <c r="R23" s="482">
        <v>67850000</v>
      </c>
      <c r="S23" s="482">
        <v>65899202</v>
      </c>
      <c r="T23" s="191">
        <v>-4080000</v>
      </c>
      <c r="U23" s="191">
        <v>-15686667</v>
      </c>
      <c r="V23" s="482">
        <v>73360000</v>
      </c>
      <c r="W23" s="191">
        <v>0</v>
      </c>
      <c r="X23" s="191">
        <v>0</v>
      </c>
      <c r="Y23" s="191">
        <v>26932783</v>
      </c>
      <c r="Z23" s="191">
        <v>-19520000</v>
      </c>
      <c r="AA23" s="191">
        <v>0</v>
      </c>
      <c r="AB23" s="482">
        <v>16167834</v>
      </c>
      <c r="AC23" s="195">
        <f>SUM(Q23:AB23)</f>
        <v>792967733</v>
      </c>
      <c r="AD23" s="200">
        <f>+AC23/AC22</f>
        <v>0.9788687812062148</v>
      </c>
      <c r="AE23" s="4"/>
      <c r="AF23"/>
      <c r="AG23"/>
    </row>
    <row r="24" spans="1:33" ht="31.5" customHeight="1">
      <c r="A24" s="953" t="s">
        <v>380</v>
      </c>
      <c r="B24" s="954"/>
      <c r="C24" s="192">
        <v>10423312</v>
      </c>
      <c r="D24" s="191">
        <v>8593350</v>
      </c>
      <c r="E24" s="191">
        <v>1744323</v>
      </c>
      <c r="F24" s="191">
        <v>0</v>
      </c>
      <c r="G24" s="191"/>
      <c r="H24" s="191">
        <v>-1722000</v>
      </c>
      <c r="I24" s="191">
        <v>0</v>
      </c>
      <c r="J24" s="191">
        <v>0</v>
      </c>
      <c r="K24" s="191">
        <v>-2126673</v>
      </c>
      <c r="L24" s="191">
        <v>0</v>
      </c>
      <c r="M24" s="191"/>
      <c r="N24" s="191"/>
      <c r="O24" s="191">
        <f>SUM(C24:N24)</f>
        <v>16912312</v>
      </c>
      <c r="P24" s="196"/>
      <c r="Q24" s="192"/>
      <c r="R24" s="191">
        <v>52840622</v>
      </c>
      <c r="S24" s="191">
        <v>71883977</v>
      </c>
      <c r="T24" s="191">
        <v>71883977</v>
      </c>
      <c r="U24" s="191">
        <v>106883978</v>
      </c>
      <c r="V24" s="482">
        <v>71883979</v>
      </c>
      <c r="W24" s="191">
        <v>92883980</v>
      </c>
      <c r="X24" s="191">
        <v>71883981</v>
      </c>
      <c r="Y24" s="191">
        <v>71883981</v>
      </c>
      <c r="Z24" s="191">
        <v>71883981</v>
      </c>
      <c r="AA24" s="191">
        <v>71883981</v>
      </c>
      <c r="AB24" s="482">
        <v>54289397</v>
      </c>
      <c r="AC24" s="195">
        <f>SUM(Q24:AB24)</f>
        <v>810085834</v>
      </c>
      <c r="AD24" s="200"/>
      <c r="AE24" s="4"/>
      <c r="AF24"/>
      <c r="AG24"/>
    </row>
    <row r="25" spans="1:33" ht="31.5" customHeight="1" thickBot="1">
      <c r="A25" s="956" t="s">
        <v>381</v>
      </c>
      <c r="B25" s="957"/>
      <c r="C25" s="193">
        <v>10423312</v>
      </c>
      <c r="D25" s="194">
        <v>0</v>
      </c>
      <c r="E25" s="194">
        <v>0</v>
      </c>
      <c r="F25" s="194">
        <v>0</v>
      </c>
      <c r="G25" s="194">
        <v>6489000</v>
      </c>
      <c r="H25" s="194">
        <v>0</v>
      </c>
      <c r="I25" s="194">
        <v>0</v>
      </c>
      <c r="J25" s="194">
        <v>0</v>
      </c>
      <c r="K25" s="194">
        <v>0</v>
      </c>
      <c r="L25" s="194">
        <v>0</v>
      </c>
      <c r="M25" s="194"/>
      <c r="N25" s="194"/>
      <c r="O25" s="194">
        <f>SUM(C25:N25)</f>
        <v>16912312</v>
      </c>
      <c r="P25" s="446">
        <f>+O25/O24</f>
        <v>1</v>
      </c>
      <c r="Q25" s="193">
        <v>0</v>
      </c>
      <c r="R25" s="344">
        <v>24978180</v>
      </c>
      <c r="S25" s="344">
        <v>60172312</v>
      </c>
      <c r="T25" s="194">
        <v>65752312</v>
      </c>
      <c r="U25" s="194">
        <v>70632312</v>
      </c>
      <c r="V25" s="344">
        <v>67789000</v>
      </c>
      <c r="W25" s="194">
        <v>67789000</v>
      </c>
      <c r="X25" s="194">
        <v>61300000</v>
      </c>
      <c r="Y25" s="194">
        <v>74278000</v>
      </c>
      <c r="Z25" s="194">
        <v>61300000</v>
      </c>
      <c r="AA25" s="194">
        <v>67356400</v>
      </c>
      <c r="AB25" s="344">
        <v>136280050</v>
      </c>
      <c r="AC25" s="194">
        <f>SUM(Q25:AB25)</f>
        <v>757627566</v>
      </c>
      <c r="AD25" s="201">
        <f>+AC25/AC24</f>
        <v>0.9352435682760007</v>
      </c>
      <c r="AE25" s="4"/>
      <c r="AF25"/>
      <c r="AG25"/>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58" t="s">
        <v>76</v>
      </c>
      <c r="B27" s="959"/>
      <c r="C27" s="960"/>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1"/>
    </row>
    <row r="28" spans="1:30" ht="15" customHeight="1">
      <c r="A28" s="962" t="s">
        <v>189</v>
      </c>
      <c r="B28" s="964" t="s">
        <v>6</v>
      </c>
      <c r="C28" s="965"/>
      <c r="D28" s="954" t="s">
        <v>398</v>
      </c>
      <c r="E28" s="968"/>
      <c r="F28" s="968"/>
      <c r="G28" s="968"/>
      <c r="H28" s="968"/>
      <c r="I28" s="968"/>
      <c r="J28" s="968"/>
      <c r="K28" s="968"/>
      <c r="L28" s="968"/>
      <c r="M28" s="968"/>
      <c r="N28" s="968"/>
      <c r="O28" s="969"/>
      <c r="P28" s="955" t="s">
        <v>8</v>
      </c>
      <c r="Q28" s="955" t="s">
        <v>84</v>
      </c>
      <c r="R28" s="955"/>
      <c r="S28" s="955"/>
      <c r="T28" s="955"/>
      <c r="U28" s="955"/>
      <c r="V28" s="955"/>
      <c r="W28" s="955"/>
      <c r="X28" s="955"/>
      <c r="Y28" s="955"/>
      <c r="Z28" s="955"/>
      <c r="AA28" s="955"/>
      <c r="AB28" s="955"/>
      <c r="AC28" s="955"/>
      <c r="AD28" s="970"/>
    </row>
    <row r="29" spans="1:30" ht="27" customHeight="1">
      <c r="A29" s="963"/>
      <c r="B29" s="966"/>
      <c r="C29" s="967"/>
      <c r="D29" s="281" t="s">
        <v>39</v>
      </c>
      <c r="E29" s="281" t="s">
        <v>40</v>
      </c>
      <c r="F29" s="281" t="s">
        <v>41</v>
      </c>
      <c r="G29" s="281" t="s">
        <v>42</v>
      </c>
      <c r="H29" s="281" t="s">
        <v>43</v>
      </c>
      <c r="I29" s="281" t="s">
        <v>44</v>
      </c>
      <c r="J29" s="281" t="s">
        <v>45</v>
      </c>
      <c r="K29" s="281" t="s">
        <v>46</v>
      </c>
      <c r="L29" s="281" t="s">
        <v>47</v>
      </c>
      <c r="M29" s="281" t="s">
        <v>48</v>
      </c>
      <c r="N29" s="281" t="s">
        <v>49</v>
      </c>
      <c r="O29" s="281" t="s">
        <v>50</v>
      </c>
      <c r="P29" s="969"/>
      <c r="Q29" s="955"/>
      <c r="R29" s="955"/>
      <c r="S29" s="955"/>
      <c r="T29" s="955"/>
      <c r="U29" s="955"/>
      <c r="V29" s="955"/>
      <c r="W29" s="955"/>
      <c r="X29" s="955"/>
      <c r="Y29" s="955"/>
      <c r="Z29" s="955"/>
      <c r="AA29" s="955"/>
      <c r="AB29" s="955"/>
      <c r="AC29" s="955"/>
      <c r="AD29" s="970"/>
    </row>
    <row r="30" spans="1:30" ht="61.5" customHeight="1" thickBot="1">
      <c r="A30" s="330" t="str">
        <f>C17</f>
        <v>Ejecutar al 90% la implementación de la Política de Gestión Documental institucional</v>
      </c>
      <c r="B30" s="977" t="s">
        <v>450</v>
      </c>
      <c r="C30" s="978"/>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79"/>
      <c r="R30" s="979"/>
      <c r="S30" s="979"/>
      <c r="T30" s="979"/>
      <c r="U30" s="979"/>
      <c r="V30" s="979"/>
      <c r="W30" s="979"/>
      <c r="X30" s="979"/>
      <c r="Y30" s="979"/>
      <c r="Z30" s="979"/>
      <c r="AA30" s="979"/>
      <c r="AB30" s="979"/>
      <c r="AC30" s="979"/>
      <c r="AD30" s="980"/>
    </row>
    <row r="31" spans="1:30" ht="45" customHeight="1">
      <c r="A31" s="909" t="s">
        <v>292</v>
      </c>
      <c r="B31" s="910"/>
      <c r="C31" s="910"/>
      <c r="D31" s="910"/>
      <c r="E31" s="910"/>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1"/>
    </row>
    <row r="32" spans="1:41" ht="22.5" customHeight="1">
      <c r="A32" s="953" t="s">
        <v>190</v>
      </c>
      <c r="B32" s="955" t="s">
        <v>62</v>
      </c>
      <c r="C32" s="955" t="s">
        <v>6</v>
      </c>
      <c r="D32" s="955" t="s">
        <v>60</v>
      </c>
      <c r="E32" s="955"/>
      <c r="F32" s="955"/>
      <c r="G32" s="955"/>
      <c r="H32" s="955"/>
      <c r="I32" s="955"/>
      <c r="J32" s="955"/>
      <c r="K32" s="955"/>
      <c r="L32" s="955"/>
      <c r="M32" s="955"/>
      <c r="N32" s="955"/>
      <c r="O32" s="955"/>
      <c r="P32" s="955"/>
      <c r="Q32" s="955" t="s">
        <v>85</v>
      </c>
      <c r="R32" s="955"/>
      <c r="S32" s="955"/>
      <c r="T32" s="955"/>
      <c r="U32" s="955"/>
      <c r="V32" s="955"/>
      <c r="W32" s="955"/>
      <c r="X32" s="955"/>
      <c r="Y32" s="955"/>
      <c r="Z32" s="955"/>
      <c r="AA32" s="955"/>
      <c r="AB32" s="955"/>
      <c r="AC32" s="955"/>
      <c r="AD32" s="970"/>
      <c r="AH32" s="90"/>
      <c r="AI32" s="90"/>
      <c r="AJ32" s="90"/>
      <c r="AK32" s="90"/>
      <c r="AL32" s="90"/>
      <c r="AM32" s="90"/>
      <c r="AN32" s="90"/>
      <c r="AO32" s="90"/>
    </row>
    <row r="33" spans="1:41" ht="35.25" customHeight="1">
      <c r="A33" s="953"/>
      <c r="B33" s="955"/>
      <c r="C33" s="981"/>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54" t="s">
        <v>80</v>
      </c>
      <c r="R33" s="968"/>
      <c r="S33" s="969"/>
      <c r="T33" s="955" t="s">
        <v>406</v>
      </c>
      <c r="U33" s="955"/>
      <c r="V33" s="955"/>
      <c r="W33" s="966" t="s">
        <v>81</v>
      </c>
      <c r="X33" s="987"/>
      <c r="Y33" s="987"/>
      <c r="Z33" s="967"/>
      <c r="AA33" s="966" t="s">
        <v>82</v>
      </c>
      <c r="AB33" s="987"/>
      <c r="AC33" s="987"/>
      <c r="AD33" s="988"/>
      <c r="AH33" s="90"/>
      <c r="AI33" s="90"/>
      <c r="AJ33" s="90"/>
      <c r="AK33" s="90"/>
      <c r="AL33" s="90"/>
      <c r="AM33" s="90"/>
      <c r="AN33" s="90"/>
      <c r="AO33" s="90"/>
    </row>
    <row r="34" spans="1:41" ht="233.25" customHeight="1">
      <c r="A34" s="989" t="str">
        <f>A30</f>
        <v>Ejecutar al 90% la implementación de la Política de Gestión Documental institucional</v>
      </c>
      <c r="B34" s="1035">
        <f>+AC17</f>
        <v>0.08</v>
      </c>
      <c r="C34" s="284" t="s">
        <v>9</v>
      </c>
      <c r="D34" s="177">
        <v>0.6</v>
      </c>
      <c r="E34" s="177">
        <f>(((E38*($B$38/$B$34))+(E40*($B$40/$B$34))+(E42*($B$42/$B$34))+(E44*($B$44/$B$34))+(E46*($B$46/$B$34))))*($P$34-$D$34)</f>
        <v>0.012500000000000002</v>
      </c>
      <c r="F34" s="177">
        <f aca="true" t="shared" si="0" ref="F34:O34">(((F38*($B$38/$B$34))+(F40*($B$40/$B$34))+(F42*($B$42/$B$34))+(F44*($B$44/$B$34))+(F46*($B$46/$B$34))))*($P$34-$D$34)</f>
        <v>0.025000000000000005</v>
      </c>
      <c r="G34" s="177">
        <f t="shared" si="0"/>
        <v>0.025000000000000005</v>
      </c>
      <c r="H34" s="177">
        <f t="shared" si="0"/>
        <v>0.025000000000000005</v>
      </c>
      <c r="I34" s="177">
        <f t="shared" si="0"/>
        <v>0.025000000000000005</v>
      </c>
      <c r="J34" s="177">
        <f t="shared" si="0"/>
        <v>0.025000000000000005</v>
      </c>
      <c r="K34" s="177">
        <f t="shared" si="0"/>
        <v>0.025000000000000005</v>
      </c>
      <c r="L34" s="177">
        <f>(((L38*($B$38/$B$34))+(L40*($B$40/$B$34))+(L42*($B$42/$B$34))+(L44*($B$44/$B$34))+(L46*($B$46/$B$34))))*($P$34-$D$34)</f>
        <v>0.027500000000000004</v>
      </c>
      <c r="M34" s="177">
        <f t="shared" si="0"/>
        <v>0.025000000000000005</v>
      </c>
      <c r="N34" s="177">
        <f t="shared" si="0"/>
        <v>0.022500000000000003</v>
      </c>
      <c r="O34" s="177">
        <f t="shared" si="0"/>
        <v>0.012500000000000002</v>
      </c>
      <c r="P34" s="177">
        <v>0.85</v>
      </c>
      <c r="Q34" s="1082" t="s">
        <v>1042</v>
      </c>
      <c r="R34" s="1083"/>
      <c r="S34" s="1084"/>
      <c r="T34" s="1082" t="s">
        <v>1041</v>
      </c>
      <c r="U34" s="1083"/>
      <c r="V34" s="1084"/>
      <c r="W34" s="1037" t="s">
        <v>873</v>
      </c>
      <c r="X34" s="1038"/>
      <c r="Y34" s="1038"/>
      <c r="Z34" s="1039"/>
      <c r="AA34" s="1076"/>
      <c r="AB34" s="1077"/>
      <c r="AC34" s="1077"/>
      <c r="AD34" s="1078"/>
      <c r="AE34" s="345"/>
      <c r="AH34" s="90"/>
      <c r="AI34" s="90"/>
      <c r="AJ34" s="90"/>
      <c r="AK34" s="90"/>
      <c r="AL34" s="90"/>
      <c r="AM34" s="90"/>
      <c r="AN34" s="90"/>
      <c r="AO34" s="90"/>
    </row>
    <row r="35" spans="1:41" ht="233.25" customHeight="1" thickBot="1">
      <c r="A35" s="990"/>
      <c r="B35" s="1036"/>
      <c r="C35" s="285" t="s">
        <v>10</v>
      </c>
      <c r="D35" s="346">
        <v>0.6</v>
      </c>
      <c r="E35" s="346">
        <f aca="true" t="shared" si="1" ref="E35:N35">(((E39*($B$38/$B$34))+(E41*($B$40/$B$34))+(E43*($B$42/$B$34))+(E45*($B$44/$B$34))+(E47*($B$46/$B$34))))*($P$34-$D$35)</f>
        <v>0.012500000000000002</v>
      </c>
      <c r="F35" s="346">
        <f t="shared" si="1"/>
        <v>0.020500000000000004</v>
      </c>
      <c r="G35" s="346">
        <f t="shared" si="1"/>
        <v>0.025000000000000005</v>
      </c>
      <c r="H35" s="346">
        <f t="shared" si="1"/>
        <v>0.029500000000000005</v>
      </c>
      <c r="I35" s="346">
        <f t="shared" si="1"/>
        <v>0.025000000000000005</v>
      </c>
      <c r="J35" s="346">
        <f t="shared" si="1"/>
        <v>0.025000000000000005</v>
      </c>
      <c r="K35" s="346">
        <f t="shared" si="1"/>
        <v>0.025000000000000005</v>
      </c>
      <c r="L35" s="346">
        <f t="shared" si="1"/>
        <v>0.027500000000000004</v>
      </c>
      <c r="M35" s="346">
        <f t="shared" si="1"/>
        <v>0.025000000000000005</v>
      </c>
      <c r="N35" s="346">
        <f t="shared" si="1"/>
        <v>0.022500000000000003</v>
      </c>
      <c r="O35" s="346">
        <v>0.01</v>
      </c>
      <c r="P35" s="178">
        <f>SUM(D35:O35)</f>
        <v>0.8474999999999999</v>
      </c>
      <c r="Q35" s="1085"/>
      <c r="R35" s="1086"/>
      <c r="S35" s="1087"/>
      <c r="T35" s="1085"/>
      <c r="U35" s="1086"/>
      <c r="V35" s="1087"/>
      <c r="W35" s="1040"/>
      <c r="X35" s="1041"/>
      <c r="Y35" s="1041"/>
      <c r="Z35" s="1042"/>
      <c r="AA35" s="1079"/>
      <c r="AB35" s="1080"/>
      <c r="AC35" s="1080"/>
      <c r="AD35" s="1081"/>
      <c r="AE35" s="347"/>
      <c r="AF35" s="343"/>
      <c r="AH35" s="90"/>
      <c r="AI35" s="90"/>
      <c r="AJ35" s="90"/>
      <c r="AK35" s="90"/>
      <c r="AL35" s="90"/>
      <c r="AM35" s="90"/>
      <c r="AN35" s="90"/>
      <c r="AO35" s="90"/>
    </row>
    <row r="36" spans="1:41" ht="25.5" customHeight="1">
      <c r="A36" s="951" t="s">
        <v>191</v>
      </c>
      <c r="B36" s="1011" t="s">
        <v>61</v>
      </c>
      <c r="C36" s="1031" t="s">
        <v>11</v>
      </c>
      <c r="D36" s="1031"/>
      <c r="E36" s="1031"/>
      <c r="F36" s="1031"/>
      <c r="G36" s="1031"/>
      <c r="H36" s="1031"/>
      <c r="I36" s="1031"/>
      <c r="J36" s="1031"/>
      <c r="K36" s="1031"/>
      <c r="L36" s="1031"/>
      <c r="M36" s="1031"/>
      <c r="N36" s="1031"/>
      <c r="O36" s="1031"/>
      <c r="P36" s="1031"/>
      <c r="Q36" s="952" t="s">
        <v>78</v>
      </c>
      <c r="R36" s="1013"/>
      <c r="S36" s="1013"/>
      <c r="T36" s="1013"/>
      <c r="U36" s="1013"/>
      <c r="V36" s="1013"/>
      <c r="W36" s="1013"/>
      <c r="X36" s="1013"/>
      <c r="Y36" s="1013"/>
      <c r="Z36" s="1013"/>
      <c r="AA36" s="1013"/>
      <c r="AB36" s="1013"/>
      <c r="AC36" s="1013"/>
      <c r="AD36" s="1015"/>
      <c r="AH36" s="90"/>
      <c r="AI36" s="90"/>
      <c r="AJ36" s="90"/>
      <c r="AK36" s="90"/>
      <c r="AL36" s="90"/>
      <c r="AM36" s="90"/>
      <c r="AN36" s="90"/>
      <c r="AO36" s="90"/>
    </row>
    <row r="37" spans="1:41" ht="25.5" customHeight="1">
      <c r="A37" s="953"/>
      <c r="B37" s="1012"/>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54" t="s">
        <v>83</v>
      </c>
      <c r="R37" s="968"/>
      <c r="S37" s="968"/>
      <c r="T37" s="968"/>
      <c r="U37" s="968"/>
      <c r="V37" s="968"/>
      <c r="W37" s="968"/>
      <c r="X37" s="968"/>
      <c r="Y37" s="968"/>
      <c r="Z37" s="968"/>
      <c r="AA37" s="968"/>
      <c r="AB37" s="968"/>
      <c r="AC37" s="968"/>
      <c r="AD37" s="1016"/>
      <c r="AG37" s="348"/>
      <c r="AH37" s="98"/>
      <c r="AI37" s="98"/>
      <c r="AJ37" s="98"/>
      <c r="AK37" s="98"/>
      <c r="AL37" s="98"/>
      <c r="AM37" s="98"/>
      <c r="AN37" s="98"/>
      <c r="AO37" s="98"/>
    </row>
    <row r="38" spans="1:41" ht="48" customHeight="1">
      <c r="A38" s="1055" t="s">
        <v>644</v>
      </c>
      <c r="B38" s="1088">
        <f>+$B$34/5</f>
        <v>0.016</v>
      </c>
      <c r="C38" s="284" t="s">
        <v>9</v>
      </c>
      <c r="D38" s="356">
        <v>0</v>
      </c>
      <c r="E38" s="356">
        <v>0.05</v>
      </c>
      <c r="F38" s="356">
        <v>0.1</v>
      </c>
      <c r="G38" s="356">
        <v>0.1</v>
      </c>
      <c r="H38" s="356">
        <v>0.1</v>
      </c>
      <c r="I38" s="356">
        <v>0.1</v>
      </c>
      <c r="J38" s="356">
        <v>0.1</v>
      </c>
      <c r="K38" s="356">
        <v>0.1</v>
      </c>
      <c r="L38" s="356">
        <v>0.1</v>
      </c>
      <c r="M38" s="356">
        <v>0.1</v>
      </c>
      <c r="N38" s="356">
        <v>0.1</v>
      </c>
      <c r="O38" s="356">
        <v>0.05</v>
      </c>
      <c r="P38" s="286">
        <f aca="true" t="shared" si="2" ref="P38:P47">SUM(D38:O38)</f>
        <v>0.9999999999999999</v>
      </c>
      <c r="Q38" s="1090" t="s">
        <v>1039</v>
      </c>
      <c r="R38" s="1091"/>
      <c r="S38" s="1091"/>
      <c r="T38" s="1091"/>
      <c r="U38" s="1091"/>
      <c r="V38" s="1091"/>
      <c r="W38" s="1091"/>
      <c r="X38" s="1091"/>
      <c r="Y38" s="1091"/>
      <c r="Z38" s="1091"/>
      <c r="AA38" s="1091"/>
      <c r="AB38" s="1091"/>
      <c r="AC38" s="1091"/>
      <c r="AD38" s="1092"/>
      <c r="AE38" s="287"/>
      <c r="AG38" s="348"/>
      <c r="AH38" s="102"/>
      <c r="AI38" s="102"/>
      <c r="AJ38" s="102"/>
      <c r="AK38" s="102"/>
      <c r="AL38" s="102"/>
      <c r="AM38" s="102"/>
      <c r="AN38" s="102"/>
      <c r="AO38" s="102"/>
    </row>
    <row r="39" spans="1:31" ht="48" customHeight="1">
      <c r="A39" s="1056"/>
      <c r="B39" s="1089"/>
      <c r="C39" s="288" t="s">
        <v>10</v>
      </c>
      <c r="D39" s="104">
        <v>0</v>
      </c>
      <c r="E39" s="104">
        <v>0.05</v>
      </c>
      <c r="F39" s="104">
        <v>0.01</v>
      </c>
      <c r="G39" s="104">
        <v>0.1</v>
      </c>
      <c r="H39" s="104">
        <v>0.19</v>
      </c>
      <c r="I39" s="104">
        <v>0.1</v>
      </c>
      <c r="J39" s="104">
        <v>0.1</v>
      </c>
      <c r="K39" s="104">
        <v>0.1</v>
      </c>
      <c r="L39" s="104">
        <v>0.1</v>
      </c>
      <c r="M39" s="104">
        <v>0.1</v>
      </c>
      <c r="N39" s="104">
        <v>0.1</v>
      </c>
      <c r="O39" s="104">
        <v>0.05</v>
      </c>
      <c r="P39" s="289">
        <f t="shared" si="2"/>
        <v>0.9999999999999999</v>
      </c>
      <c r="Q39" s="1093"/>
      <c r="R39" s="1094"/>
      <c r="S39" s="1094"/>
      <c r="T39" s="1094"/>
      <c r="U39" s="1094"/>
      <c r="V39" s="1094"/>
      <c r="W39" s="1094"/>
      <c r="X39" s="1094"/>
      <c r="Y39" s="1094"/>
      <c r="Z39" s="1094"/>
      <c r="AA39" s="1094"/>
      <c r="AB39" s="1094"/>
      <c r="AC39" s="1094"/>
      <c r="AD39" s="1095"/>
      <c r="AE39" s="287"/>
    </row>
    <row r="40" spans="1:31" ht="48" customHeight="1">
      <c r="A40" s="1056" t="s">
        <v>632</v>
      </c>
      <c r="B40" s="1088">
        <f>+$B$34/5</f>
        <v>0.016</v>
      </c>
      <c r="C40" s="290" t="s">
        <v>9</v>
      </c>
      <c r="D40" s="356">
        <v>0</v>
      </c>
      <c r="E40" s="356">
        <v>0.05</v>
      </c>
      <c r="F40" s="356">
        <v>0.1</v>
      </c>
      <c r="G40" s="356">
        <v>0.1</v>
      </c>
      <c r="H40" s="356">
        <v>0.1</v>
      </c>
      <c r="I40" s="356">
        <v>0.1</v>
      </c>
      <c r="J40" s="356">
        <v>0.1</v>
      </c>
      <c r="K40" s="356">
        <v>0.1</v>
      </c>
      <c r="L40" s="356">
        <v>0.15</v>
      </c>
      <c r="M40" s="356">
        <v>0.1</v>
      </c>
      <c r="N40" s="356">
        <v>0.05</v>
      </c>
      <c r="O40" s="356">
        <v>0.05</v>
      </c>
      <c r="P40" s="289">
        <f t="shared" si="2"/>
        <v>1</v>
      </c>
      <c r="Q40" s="1096" t="s">
        <v>1040</v>
      </c>
      <c r="R40" s="1097"/>
      <c r="S40" s="1097"/>
      <c r="T40" s="1097"/>
      <c r="U40" s="1097"/>
      <c r="V40" s="1097"/>
      <c r="W40" s="1097"/>
      <c r="X40" s="1097"/>
      <c r="Y40" s="1097"/>
      <c r="Z40" s="1097"/>
      <c r="AA40" s="1097"/>
      <c r="AB40" s="1097"/>
      <c r="AC40" s="1097"/>
      <c r="AD40" s="1098"/>
      <c r="AE40" s="287"/>
    </row>
    <row r="41" spans="1:31" ht="48" customHeight="1">
      <c r="A41" s="1056"/>
      <c r="B41" s="1089"/>
      <c r="C41" s="288" t="s">
        <v>10</v>
      </c>
      <c r="D41" s="104">
        <v>0</v>
      </c>
      <c r="E41" s="104">
        <v>0.05</v>
      </c>
      <c r="F41" s="104">
        <v>0.1</v>
      </c>
      <c r="G41" s="104">
        <v>0.1</v>
      </c>
      <c r="H41" s="104">
        <v>0.1</v>
      </c>
      <c r="I41" s="104">
        <v>0.1</v>
      </c>
      <c r="J41" s="104">
        <v>0.1</v>
      </c>
      <c r="K41" s="104">
        <v>0.1</v>
      </c>
      <c r="L41" s="104">
        <v>0.15</v>
      </c>
      <c r="M41" s="108">
        <v>0.1</v>
      </c>
      <c r="N41" s="108">
        <v>0.05</v>
      </c>
      <c r="O41" s="108">
        <v>0.05</v>
      </c>
      <c r="P41" s="289">
        <f t="shared" si="2"/>
        <v>1</v>
      </c>
      <c r="Q41" s="1099"/>
      <c r="R41" s="1100"/>
      <c r="S41" s="1100"/>
      <c r="T41" s="1100"/>
      <c r="U41" s="1100"/>
      <c r="V41" s="1100"/>
      <c r="W41" s="1100"/>
      <c r="X41" s="1100"/>
      <c r="Y41" s="1100"/>
      <c r="Z41" s="1100"/>
      <c r="AA41" s="1100"/>
      <c r="AB41" s="1100"/>
      <c r="AC41" s="1100"/>
      <c r="AD41" s="1101"/>
      <c r="AE41" s="287"/>
    </row>
    <row r="42" spans="1:31" ht="48" customHeight="1">
      <c r="A42" s="1071" t="s">
        <v>633</v>
      </c>
      <c r="B42" s="1088">
        <f>+$B$34/5</f>
        <v>0.016</v>
      </c>
      <c r="C42" s="290" t="s">
        <v>9</v>
      </c>
      <c r="D42" s="356">
        <v>0</v>
      </c>
      <c r="E42" s="356">
        <v>0.05</v>
      </c>
      <c r="F42" s="356">
        <v>0.1</v>
      </c>
      <c r="G42" s="356">
        <v>0.1</v>
      </c>
      <c r="H42" s="356">
        <v>0.1</v>
      </c>
      <c r="I42" s="356">
        <v>0.1</v>
      </c>
      <c r="J42" s="356">
        <v>0.1</v>
      </c>
      <c r="K42" s="356">
        <v>0.1</v>
      </c>
      <c r="L42" s="356">
        <v>0.1</v>
      </c>
      <c r="M42" s="356">
        <v>0.1</v>
      </c>
      <c r="N42" s="356">
        <v>0.1</v>
      </c>
      <c r="O42" s="356">
        <v>0.05</v>
      </c>
      <c r="P42" s="289">
        <f>SUM(D42:O42)</f>
        <v>0.9999999999999999</v>
      </c>
      <c r="Q42" s="1102" t="s">
        <v>1038</v>
      </c>
      <c r="R42" s="1103"/>
      <c r="S42" s="1103"/>
      <c r="T42" s="1103"/>
      <c r="U42" s="1103"/>
      <c r="V42" s="1103"/>
      <c r="W42" s="1103"/>
      <c r="X42" s="1103"/>
      <c r="Y42" s="1103"/>
      <c r="Z42" s="1103"/>
      <c r="AA42" s="1103"/>
      <c r="AB42" s="1103"/>
      <c r="AC42" s="1103"/>
      <c r="AD42" s="1104"/>
      <c r="AE42" s="287"/>
    </row>
    <row r="43" spans="1:31" ht="48" customHeight="1">
      <c r="A43" s="1055"/>
      <c r="B43" s="1089"/>
      <c r="C43" s="288" t="s">
        <v>10</v>
      </c>
      <c r="D43" s="104">
        <v>0</v>
      </c>
      <c r="E43" s="104">
        <v>0.05</v>
      </c>
      <c r="F43" s="104">
        <v>0.1</v>
      </c>
      <c r="G43" s="104">
        <v>0.1</v>
      </c>
      <c r="H43" s="104">
        <v>0.1</v>
      </c>
      <c r="I43" s="104">
        <v>0.1</v>
      </c>
      <c r="J43" s="104">
        <v>0.1</v>
      </c>
      <c r="K43" s="104">
        <v>0.1</v>
      </c>
      <c r="L43" s="104">
        <v>0.1</v>
      </c>
      <c r="M43" s="108">
        <v>0.1</v>
      </c>
      <c r="N43" s="108">
        <v>0.1</v>
      </c>
      <c r="O43" s="108">
        <v>0.05</v>
      </c>
      <c r="P43" s="289">
        <f>SUM(D43:O43)</f>
        <v>0.9999999999999999</v>
      </c>
      <c r="Q43" s="1105"/>
      <c r="R43" s="1106"/>
      <c r="S43" s="1106"/>
      <c r="T43" s="1106"/>
      <c r="U43" s="1106"/>
      <c r="V43" s="1106"/>
      <c r="W43" s="1106"/>
      <c r="X43" s="1106"/>
      <c r="Y43" s="1106"/>
      <c r="Z43" s="1106"/>
      <c r="AA43" s="1106"/>
      <c r="AB43" s="1106"/>
      <c r="AC43" s="1106"/>
      <c r="AD43" s="1107"/>
      <c r="AE43" s="287"/>
    </row>
    <row r="44" spans="1:31" ht="48" customHeight="1">
      <c r="A44" s="1071" t="s">
        <v>634</v>
      </c>
      <c r="B44" s="1088">
        <f>+$B$34/5</f>
        <v>0.016</v>
      </c>
      <c r="C44" s="290" t="s">
        <v>9</v>
      </c>
      <c r="D44" s="356">
        <v>0</v>
      </c>
      <c r="E44" s="356">
        <v>0.05</v>
      </c>
      <c r="F44" s="356">
        <v>0.1</v>
      </c>
      <c r="G44" s="356">
        <v>0.1</v>
      </c>
      <c r="H44" s="356">
        <v>0.1</v>
      </c>
      <c r="I44" s="356">
        <v>0.1</v>
      </c>
      <c r="J44" s="356">
        <v>0.1</v>
      </c>
      <c r="K44" s="356">
        <v>0.1</v>
      </c>
      <c r="L44" s="356">
        <v>0.1</v>
      </c>
      <c r="M44" s="356">
        <v>0.1</v>
      </c>
      <c r="N44" s="356">
        <v>0.1</v>
      </c>
      <c r="O44" s="356">
        <v>0.05</v>
      </c>
      <c r="P44" s="289">
        <f t="shared" si="2"/>
        <v>0.9999999999999999</v>
      </c>
      <c r="Q44" s="1102" t="s">
        <v>1013</v>
      </c>
      <c r="R44" s="1103"/>
      <c r="S44" s="1103"/>
      <c r="T44" s="1103"/>
      <c r="U44" s="1103"/>
      <c r="V44" s="1103"/>
      <c r="W44" s="1103"/>
      <c r="X44" s="1103"/>
      <c r="Y44" s="1103"/>
      <c r="Z44" s="1103"/>
      <c r="AA44" s="1103"/>
      <c r="AB44" s="1103"/>
      <c r="AC44" s="1103"/>
      <c r="AD44" s="1104"/>
      <c r="AE44" s="287"/>
    </row>
    <row r="45" spans="1:31" ht="48" customHeight="1">
      <c r="A45" s="1108"/>
      <c r="B45" s="1089"/>
      <c r="C45" s="288" t="s">
        <v>10</v>
      </c>
      <c r="D45" s="104">
        <v>0</v>
      </c>
      <c r="E45" s="104">
        <v>0.05</v>
      </c>
      <c r="F45" s="104">
        <v>0.1</v>
      </c>
      <c r="G45" s="104">
        <v>0.1</v>
      </c>
      <c r="H45" s="104">
        <v>0.1</v>
      </c>
      <c r="I45" s="104">
        <v>0.1</v>
      </c>
      <c r="J45" s="104">
        <v>0.1</v>
      </c>
      <c r="K45" s="104">
        <v>0.1</v>
      </c>
      <c r="L45" s="104">
        <v>0.1</v>
      </c>
      <c r="M45" s="108">
        <v>0.1</v>
      </c>
      <c r="N45" s="108">
        <v>0.1</v>
      </c>
      <c r="O45" s="104">
        <v>0.05</v>
      </c>
      <c r="P45" s="289">
        <f t="shared" si="2"/>
        <v>0.9999999999999999</v>
      </c>
      <c r="Q45" s="1109"/>
      <c r="R45" s="1110"/>
      <c r="S45" s="1110"/>
      <c r="T45" s="1110"/>
      <c r="U45" s="1110"/>
      <c r="V45" s="1110"/>
      <c r="W45" s="1110"/>
      <c r="X45" s="1110"/>
      <c r="Y45" s="1110"/>
      <c r="Z45" s="1110"/>
      <c r="AA45" s="1110"/>
      <c r="AB45" s="1110"/>
      <c r="AC45" s="1110"/>
      <c r="AD45" s="1111"/>
      <c r="AE45" s="287"/>
    </row>
    <row r="46" spans="1:31" ht="48" customHeight="1">
      <c r="A46" s="1112" t="s">
        <v>635</v>
      </c>
      <c r="B46" s="1114">
        <f>+$B$34/5</f>
        <v>0.016</v>
      </c>
      <c r="C46" s="290" t="s">
        <v>9</v>
      </c>
      <c r="D46" s="356">
        <v>0</v>
      </c>
      <c r="E46" s="356">
        <v>0.05</v>
      </c>
      <c r="F46" s="356">
        <v>0.1</v>
      </c>
      <c r="G46" s="356">
        <v>0.1</v>
      </c>
      <c r="H46" s="356">
        <v>0.1</v>
      </c>
      <c r="I46" s="356">
        <v>0.1</v>
      </c>
      <c r="J46" s="356">
        <v>0.1</v>
      </c>
      <c r="K46" s="356">
        <v>0.1</v>
      </c>
      <c r="L46" s="356">
        <v>0.1</v>
      </c>
      <c r="M46" s="356">
        <v>0.1</v>
      </c>
      <c r="N46" s="356">
        <v>0.1</v>
      </c>
      <c r="O46" s="356">
        <v>0.05</v>
      </c>
      <c r="P46" s="289">
        <f t="shared" si="2"/>
        <v>0.9999999999999999</v>
      </c>
      <c r="Q46" s="1102" t="s">
        <v>1015</v>
      </c>
      <c r="R46" s="1103"/>
      <c r="S46" s="1103"/>
      <c r="T46" s="1103"/>
      <c r="U46" s="1103"/>
      <c r="V46" s="1103"/>
      <c r="W46" s="1103"/>
      <c r="X46" s="1103"/>
      <c r="Y46" s="1103"/>
      <c r="Z46" s="1103"/>
      <c r="AA46" s="1103"/>
      <c r="AB46" s="1103"/>
      <c r="AC46" s="1103"/>
      <c r="AD46" s="1104"/>
      <c r="AE46" s="287"/>
    </row>
    <row r="47" spans="1:31" ht="48" customHeight="1" thickBot="1">
      <c r="A47" s="1113"/>
      <c r="B47" s="1115"/>
      <c r="C47" s="285" t="s">
        <v>10</v>
      </c>
      <c r="D47" s="110">
        <v>0</v>
      </c>
      <c r="E47" s="110">
        <v>0.05</v>
      </c>
      <c r="F47" s="110">
        <v>0.1</v>
      </c>
      <c r="G47" s="110">
        <v>0.1</v>
      </c>
      <c r="H47" s="110">
        <v>0.1</v>
      </c>
      <c r="I47" s="110">
        <v>0.1</v>
      </c>
      <c r="J47" s="110">
        <v>0.1</v>
      </c>
      <c r="K47" s="110">
        <v>0.1</v>
      </c>
      <c r="L47" s="110">
        <v>0.1</v>
      </c>
      <c r="M47" s="111">
        <v>0.1</v>
      </c>
      <c r="N47" s="111">
        <v>0.1</v>
      </c>
      <c r="O47" s="111">
        <v>0.05</v>
      </c>
      <c r="P47" s="291">
        <f t="shared" si="2"/>
        <v>0.9999999999999999</v>
      </c>
      <c r="Q47" s="1116"/>
      <c r="R47" s="1117"/>
      <c r="S47" s="1117"/>
      <c r="T47" s="1117"/>
      <c r="U47" s="1117"/>
      <c r="V47" s="1117"/>
      <c r="W47" s="1117"/>
      <c r="X47" s="1117"/>
      <c r="Y47" s="1117"/>
      <c r="Z47" s="1117"/>
      <c r="AA47" s="1117"/>
      <c r="AB47" s="1117"/>
      <c r="AC47" s="1117"/>
      <c r="AD47" s="1118"/>
      <c r="AE47" s="287"/>
    </row>
    <row r="48" spans="1:33" s="354" customFormat="1" ht="45.75" customHeight="1">
      <c r="A48" s="925" t="s">
        <v>64</v>
      </c>
      <c r="B48" s="926"/>
      <c r="C48" s="349" t="s">
        <v>636</v>
      </c>
      <c r="D48" s="350"/>
      <c r="E48" s="350"/>
      <c r="F48" s="350"/>
      <c r="G48" s="350"/>
      <c r="H48" s="351"/>
      <c r="I48" s="352"/>
      <c r="J48" s="1119" t="s">
        <v>637</v>
      </c>
      <c r="K48" s="1120"/>
      <c r="L48" s="1121"/>
      <c r="M48" s="349" t="s">
        <v>638</v>
      </c>
      <c r="N48" s="350"/>
      <c r="O48" s="350"/>
      <c r="P48" s="350"/>
      <c r="Q48" s="350"/>
      <c r="R48" s="351"/>
      <c r="S48" s="352"/>
      <c r="T48" s="1128" t="s">
        <v>639</v>
      </c>
      <c r="U48" s="1128"/>
      <c r="V48" s="1128"/>
      <c r="W48" s="1128"/>
      <c r="X48" s="349" t="s">
        <v>640</v>
      </c>
      <c r="Y48" s="350"/>
      <c r="Z48" s="350"/>
      <c r="AA48" s="350"/>
      <c r="AB48" s="350"/>
      <c r="AC48" s="351"/>
      <c r="AD48" s="353"/>
      <c r="AF48" s="355"/>
      <c r="AG48" s="355"/>
    </row>
    <row r="49" spans="1:33" s="354" customFormat="1" ht="22.5" customHeight="1">
      <c r="A49" s="928"/>
      <c r="B49" s="929"/>
      <c r="C49" s="1131" t="s">
        <v>641</v>
      </c>
      <c r="D49" s="1132"/>
      <c r="E49" s="1132"/>
      <c r="F49" s="1132"/>
      <c r="G49" s="1132"/>
      <c r="H49" s="1132"/>
      <c r="I49" s="1133"/>
      <c r="J49" s="1122"/>
      <c r="K49" s="1123"/>
      <c r="L49" s="1124"/>
      <c r="M49" s="1131" t="s">
        <v>769</v>
      </c>
      <c r="N49" s="1132"/>
      <c r="O49" s="1132"/>
      <c r="P49" s="1132"/>
      <c r="Q49" s="1132"/>
      <c r="R49" s="1132"/>
      <c r="S49" s="1133"/>
      <c r="T49" s="1129"/>
      <c r="U49" s="1129"/>
      <c r="V49" s="1129"/>
      <c r="W49" s="1129"/>
      <c r="X49" s="1131" t="s">
        <v>769</v>
      </c>
      <c r="Y49" s="1132"/>
      <c r="Z49" s="1132"/>
      <c r="AA49" s="1132"/>
      <c r="AB49" s="1132"/>
      <c r="AC49" s="1132"/>
      <c r="AD49" s="1134"/>
      <c r="AF49" s="355"/>
      <c r="AG49" s="355"/>
    </row>
    <row r="50" spans="1:33" s="354" customFormat="1" ht="22.5" customHeight="1" thickBot="1">
      <c r="A50" s="931"/>
      <c r="B50" s="932"/>
      <c r="C50" s="1135" t="s">
        <v>642</v>
      </c>
      <c r="D50" s="1136"/>
      <c r="E50" s="1136"/>
      <c r="F50" s="1136"/>
      <c r="G50" s="1136"/>
      <c r="H50" s="1136"/>
      <c r="I50" s="1137"/>
      <c r="J50" s="1125"/>
      <c r="K50" s="1126"/>
      <c r="L50" s="1127"/>
      <c r="M50" s="1135" t="s">
        <v>643</v>
      </c>
      <c r="N50" s="1136"/>
      <c r="O50" s="1136"/>
      <c r="P50" s="1136"/>
      <c r="Q50" s="1136"/>
      <c r="R50" s="1136"/>
      <c r="S50" s="1137"/>
      <c r="T50" s="1130"/>
      <c r="U50" s="1130"/>
      <c r="V50" s="1130"/>
      <c r="W50" s="1130"/>
      <c r="X50" s="1135" t="s">
        <v>75</v>
      </c>
      <c r="Y50" s="1136"/>
      <c r="Z50" s="1136"/>
      <c r="AA50" s="1136"/>
      <c r="AB50" s="1136"/>
      <c r="AC50" s="1136"/>
      <c r="AD50" s="1138"/>
      <c r="AF50" s="355"/>
      <c r="AG50" s="355"/>
    </row>
  </sheetData>
  <sheetProtection/>
  <mergeCells count="94">
    <mergeCell ref="A48:B50"/>
    <mergeCell ref="J48:L50"/>
    <mergeCell ref="T48:W50"/>
    <mergeCell ref="C49:I49"/>
    <mergeCell ref="M49:S49"/>
    <mergeCell ref="X49:AD49"/>
    <mergeCell ref="C50:I50"/>
    <mergeCell ref="M50:S50"/>
    <mergeCell ref="X50:AD50"/>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Q33:S33"/>
    <mergeCell ref="T33:V33"/>
    <mergeCell ref="T34:V35"/>
    <mergeCell ref="B30:C30"/>
    <mergeCell ref="Q30:AD30"/>
    <mergeCell ref="A31:AD31"/>
    <mergeCell ref="A32:A33"/>
    <mergeCell ref="B32:B33"/>
    <mergeCell ref="C32:C33"/>
    <mergeCell ref="D32:P32"/>
    <mergeCell ref="Q32:AD32"/>
    <mergeCell ref="W33:Z33"/>
    <mergeCell ref="AA33:AD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Q44:Q47 R42:AD47 W34">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19" r:id="rId4"/>
  <drawing r:id="rId3"/>
  <legacyDrawing r:id="rId2"/>
</worksheet>
</file>

<file path=xl/worksheets/sheet13.xml><?xml version="1.0" encoding="utf-8"?>
<worksheet xmlns="http://schemas.openxmlformats.org/spreadsheetml/2006/main" xmlns:r="http://schemas.openxmlformats.org/officeDocument/2006/relationships">
  <sheetPr>
    <tabColor rgb="FF7030A0"/>
  </sheetPr>
  <dimension ref="A4:M31"/>
  <sheetViews>
    <sheetView zoomScale="120" zoomScaleNormal="120" zoomScalePageLayoutView="0" workbookViewId="0" topLeftCell="D1">
      <selection activeCell="I16" sqref="I16:J19"/>
    </sheetView>
  </sheetViews>
  <sheetFormatPr defaultColWidth="11.421875" defaultRowHeight="15"/>
  <cols>
    <col min="1" max="4" width="14.8515625" style="0" customWidth="1"/>
    <col min="5" max="5" width="25.28125" style="0" customWidth="1"/>
    <col min="6" max="12" width="15.7109375" style="0" customWidth="1"/>
    <col min="13" max="13" width="11.421875" style="517" customWidth="1"/>
  </cols>
  <sheetData>
    <row r="4" spans="1:10" s="441" customFormat="1" ht="15">
      <c r="A4" s="506"/>
      <c r="B4" s="506"/>
      <c r="C4" s="506"/>
      <c r="D4" s="506"/>
      <c r="I4" s="517"/>
      <c r="J4" s="517"/>
    </row>
    <row r="5" spans="1:12" s="441" customFormat="1" ht="15">
      <c r="A5" s="506"/>
      <c r="B5" s="506"/>
      <c r="C5" s="506"/>
      <c r="D5" s="421" t="s">
        <v>848</v>
      </c>
      <c r="E5" s="421"/>
      <c r="F5" s="421" t="s">
        <v>41</v>
      </c>
      <c r="G5" s="421" t="s">
        <v>44</v>
      </c>
      <c r="H5" s="421" t="s">
        <v>47</v>
      </c>
      <c r="I5" s="421" t="s">
        <v>48</v>
      </c>
      <c r="J5" s="421" t="s">
        <v>49</v>
      </c>
      <c r="K5" s="421" t="s">
        <v>50</v>
      </c>
      <c r="L5" s="420" t="s">
        <v>8</v>
      </c>
    </row>
    <row r="6" spans="1:12" s="441" customFormat="1" ht="15">
      <c r="A6" s="506"/>
      <c r="B6" s="506"/>
      <c r="C6" s="506"/>
      <c r="D6" s="1139">
        <v>1</v>
      </c>
      <c r="E6" s="507" t="s">
        <v>9</v>
      </c>
      <c r="F6" s="519">
        <v>0.7846666666666667</v>
      </c>
      <c r="G6" s="519">
        <v>0.7361666666666666</v>
      </c>
      <c r="H6" s="519">
        <v>0.7475</v>
      </c>
      <c r="I6" s="519">
        <v>0.2438888888888889</v>
      </c>
      <c r="J6" s="519">
        <v>0.2438888888888889</v>
      </c>
      <c r="K6" s="519">
        <v>0.2438888888888889</v>
      </c>
      <c r="L6" s="508">
        <f>SUM(F6:K6)</f>
        <v>3</v>
      </c>
    </row>
    <row r="7" spans="1:13" s="441" customFormat="1" ht="15">
      <c r="A7" s="506"/>
      <c r="B7" s="506"/>
      <c r="C7" s="506"/>
      <c r="D7" s="1139"/>
      <c r="E7" s="421" t="s">
        <v>10</v>
      </c>
      <c r="F7" s="520">
        <f>+F6*F19</f>
        <v>0.777663125542093</v>
      </c>
      <c r="G7" s="520">
        <f>+G6*G19</f>
        <v>0.7364424935900101</v>
      </c>
      <c r="H7" s="520">
        <f>+H6*H19</f>
        <v>0.7402463312492626</v>
      </c>
      <c r="I7" s="520">
        <f>+I6*I19</f>
        <v>0.25244279211871806</v>
      </c>
      <c r="J7" s="520">
        <f>+J6*J19</f>
        <v>0.24968630203145284</v>
      </c>
      <c r="K7" s="521"/>
      <c r="L7" s="421"/>
      <c r="M7" s="441">
        <v>2</v>
      </c>
    </row>
    <row r="8" spans="1:13" s="441" customFormat="1" ht="15">
      <c r="A8" s="506"/>
      <c r="B8" s="506"/>
      <c r="C8" s="509"/>
      <c r="D8" s="510"/>
      <c r="E8" s="511"/>
      <c r="F8" s="512"/>
      <c r="G8" s="512"/>
      <c r="H8" s="512"/>
      <c r="I8" s="512"/>
      <c r="J8" s="512"/>
      <c r="K8" s="512"/>
      <c r="L8" s="511"/>
      <c r="M8" s="441">
        <v>24</v>
      </c>
    </row>
    <row r="9" spans="1:13" s="441" customFormat="1" ht="15">
      <c r="A9" s="1140"/>
      <c r="B9" s="513"/>
      <c r="C9" s="1141" t="s">
        <v>24</v>
      </c>
      <c r="D9" s="1142">
        <f>D6/3</f>
        <v>0.3333333333333333</v>
      </c>
      <c r="E9" s="507" t="s">
        <v>9</v>
      </c>
      <c r="F9" s="514">
        <f>SUM('Meta 1'!D34:F34)</f>
        <v>0.0425</v>
      </c>
      <c r="G9" s="514">
        <f>SUM('Meta 1'!G34:I34)</f>
        <v>0.0425</v>
      </c>
      <c r="H9" s="514">
        <f>SUM('Meta 1'!J34:L34)</f>
        <v>0.0425</v>
      </c>
      <c r="I9" s="529">
        <v>0.013600000000000001</v>
      </c>
      <c r="J9" s="529">
        <v>0.013600000000000001</v>
      </c>
      <c r="K9" s="529">
        <v>0.015300000000000001</v>
      </c>
      <c r="L9" s="514">
        <f>SUM(F9:K9)</f>
        <v>0.17</v>
      </c>
      <c r="M9" s="441">
        <v>16</v>
      </c>
    </row>
    <row r="10" spans="1:13" s="441" customFormat="1" ht="15">
      <c r="A10" s="1140"/>
      <c r="B10" s="513"/>
      <c r="C10" s="1141"/>
      <c r="D10" s="1143"/>
      <c r="E10" s="421" t="s">
        <v>10</v>
      </c>
      <c r="F10" s="515">
        <f>SUM('Meta 1'!D35:F35)</f>
        <v>0.036995238095238095</v>
      </c>
      <c r="G10" s="515">
        <f>SUM('Meta 1'!G35:I35)</f>
        <v>0.03731904761904763</v>
      </c>
      <c r="H10" s="515">
        <f>SUM('Meta 1'!J35:L35)</f>
        <v>0.0425</v>
      </c>
      <c r="I10" s="515">
        <f>+'Meta 1'!M35</f>
        <v>0.013600000000000001</v>
      </c>
      <c r="J10" s="515">
        <f>+'Meta 1'!N35</f>
        <v>0.013600000000000001</v>
      </c>
      <c r="K10" s="515"/>
      <c r="L10" s="515"/>
      <c r="M10" s="441">
        <v>17</v>
      </c>
    </row>
    <row r="11" spans="1:13" s="441" customFormat="1" ht="15">
      <c r="A11" s="1140"/>
      <c r="B11" s="513"/>
      <c r="C11" s="1144" t="s">
        <v>25</v>
      </c>
      <c r="D11" s="1142">
        <f>+D6/3</f>
        <v>0.3333333333333333</v>
      </c>
      <c r="E11" s="507" t="s">
        <v>9</v>
      </c>
      <c r="F11" s="514">
        <f>SUM('Metas 2'!D34:F34)</f>
        <v>0.28500000000000003</v>
      </c>
      <c r="G11" s="514">
        <f>SUM('Metas 2'!G34:I34)</f>
        <v>0.23833333333333337</v>
      </c>
      <c r="H11" s="514">
        <f>SUM('Metas 2'!J34:L34)</f>
        <v>0.2416666666666667</v>
      </c>
      <c r="I11" s="529">
        <v>0.07</v>
      </c>
      <c r="J11" s="529">
        <v>0.07</v>
      </c>
      <c r="K11" s="529">
        <v>0.09</v>
      </c>
      <c r="L11" s="514">
        <f>SUM(F11:K11)</f>
        <v>0.9950000000000002</v>
      </c>
      <c r="M11" s="441">
        <v>21</v>
      </c>
    </row>
    <row r="12" spans="1:13" s="441" customFormat="1" ht="15">
      <c r="A12" s="1140"/>
      <c r="B12" s="513"/>
      <c r="C12" s="1145"/>
      <c r="D12" s="1143"/>
      <c r="E12" s="421" t="s">
        <v>10</v>
      </c>
      <c r="F12" s="515">
        <v>0.29</v>
      </c>
      <c r="G12" s="515">
        <f>SUM('Metas 2'!G35:I35)</f>
        <v>0.2383222222222222</v>
      </c>
      <c r="H12" s="515">
        <f>SUM('Metas 2'!J35:L35)</f>
        <v>0.24331666666666668</v>
      </c>
      <c r="I12" s="515">
        <f>+'Metas 2'!M35</f>
        <v>0.07388888888888889</v>
      </c>
      <c r="J12" s="515">
        <f>+'Metas 2'!N35</f>
        <v>0.0738888888888889</v>
      </c>
      <c r="K12" s="515"/>
      <c r="L12" s="515"/>
      <c r="M12" s="441">
        <f>SUM(M7:M11)</f>
        <v>80</v>
      </c>
    </row>
    <row r="13" spans="1:12" s="441" customFormat="1" ht="15">
      <c r="A13" s="1140"/>
      <c r="B13" s="513"/>
      <c r="C13" s="1144" t="s">
        <v>26</v>
      </c>
      <c r="D13" s="1142">
        <f>+D6/3</f>
        <v>0.3333333333333333</v>
      </c>
      <c r="E13" s="507" t="s">
        <v>9</v>
      </c>
      <c r="F13" s="514">
        <f>SUM('Meta 3'!D34:F34)</f>
        <v>0.24615384615384617</v>
      </c>
      <c r="G13" s="514">
        <f>SUM('Meta 3'!G34:I34)</f>
        <v>0.2330769230769231</v>
      </c>
      <c r="H13" s="514">
        <f>SUM('Meta 3'!J34:L34)</f>
        <v>0.25923076923076926</v>
      </c>
      <c r="I13" s="514">
        <v>0.09307692307692308</v>
      </c>
      <c r="J13" s="514">
        <v>0.08</v>
      </c>
      <c r="K13" s="514">
        <v>0.08846153846153847</v>
      </c>
      <c r="L13" s="514">
        <f>SUM(F13:K13)</f>
        <v>1</v>
      </c>
    </row>
    <row r="14" spans="1:12" s="441" customFormat="1" ht="15">
      <c r="A14" s="1140"/>
      <c r="B14" s="513"/>
      <c r="C14" s="1145"/>
      <c r="D14" s="1143"/>
      <c r="E14" s="421" t="s">
        <v>10</v>
      </c>
      <c r="F14" s="515">
        <f>SUM('Meta 3'!D35:F35)</f>
        <v>0.24153846153846154</v>
      </c>
      <c r="G14" s="515">
        <f>SUM('Meta 3'!G35:I35)</f>
        <v>0.2384615384615385</v>
      </c>
      <c r="H14" s="515">
        <f>SUM('Meta 3'!J35:L35)</f>
        <v>0.25230769230769234</v>
      </c>
      <c r="I14" s="515">
        <f>+'Meta 3'!M35</f>
        <v>0.09538461538461539</v>
      </c>
      <c r="J14" s="515">
        <f>+'Meta 3'!N35</f>
        <v>0.08</v>
      </c>
      <c r="K14" s="515"/>
      <c r="L14" s="515"/>
    </row>
    <row r="16" spans="6:13" ht="15">
      <c r="F16" s="516">
        <f aca="true" t="shared" si="0" ref="F16:K17">SUM(F9+F11+F13)</f>
        <v>0.5736538461538462</v>
      </c>
      <c r="G16" s="516">
        <f t="shared" si="0"/>
        <v>0.5139102564102564</v>
      </c>
      <c r="H16" s="516">
        <f>SUM(H9+H11+H13)</f>
        <v>0.5433974358974359</v>
      </c>
      <c r="I16" s="516">
        <f>SUM(I9+I11+I13)</f>
        <v>0.1766769230769231</v>
      </c>
      <c r="J16" s="516">
        <f>SUM(J9+J11+J13)</f>
        <v>0.16360000000000002</v>
      </c>
      <c r="K16" s="516">
        <f t="shared" si="0"/>
        <v>0.19376153846153849</v>
      </c>
      <c r="M16" s="441"/>
    </row>
    <row r="17" spans="6:11" ht="15">
      <c r="F17" s="516">
        <f t="shared" si="0"/>
        <v>0.5685336996336996</v>
      </c>
      <c r="G17" s="516">
        <f t="shared" si="0"/>
        <v>0.5141028083028083</v>
      </c>
      <c r="H17" s="516">
        <f t="shared" si="0"/>
        <v>0.538124358974359</v>
      </c>
      <c r="I17" s="516">
        <f>SUM(I10+I12+I14)</f>
        <v>0.1828735042735043</v>
      </c>
      <c r="J17" s="516">
        <f>SUM(J10+J12+J14)</f>
        <v>0.1674888888888889</v>
      </c>
      <c r="K17" s="516">
        <f t="shared" si="0"/>
        <v>0</v>
      </c>
    </row>
    <row r="19" spans="6:11" ht="15">
      <c r="F19" s="388">
        <f aca="true" t="shared" si="1" ref="F19:K19">+F17/F16</f>
        <v>0.9910745015404753</v>
      </c>
      <c r="G19" s="388">
        <f t="shared" si="1"/>
        <v>1.0003746799954858</v>
      </c>
      <c r="H19" s="388">
        <f t="shared" si="1"/>
        <v>0.9902960953167392</v>
      </c>
      <c r="I19" s="388">
        <f t="shared" si="1"/>
        <v>1.0350729517396184</v>
      </c>
      <c r="J19" s="388">
        <f t="shared" si="1"/>
        <v>1.023770714479761</v>
      </c>
      <c r="K19" s="388">
        <f t="shared" si="1"/>
        <v>0</v>
      </c>
    </row>
    <row r="23" ht="15">
      <c r="F23" t="s">
        <v>849</v>
      </c>
    </row>
    <row r="24" ht="15">
      <c r="F24" t="s">
        <v>850</v>
      </c>
    </row>
    <row r="30" spans="6:10" ht="15">
      <c r="F30" s="518">
        <v>0.0788888888888889</v>
      </c>
      <c r="G30" s="518">
        <v>0.11388888888888891</v>
      </c>
      <c r="H30" s="518">
        <v>0.09222222222222223</v>
      </c>
      <c r="I30" s="518"/>
      <c r="J30" s="518"/>
    </row>
    <row r="31" spans="6:10" ht="15">
      <c r="F31" s="518">
        <v>0.07888333333333336</v>
      </c>
      <c r="G31" s="518">
        <v>0.11388333333333335</v>
      </c>
      <c r="H31" s="518">
        <v>0.09221666666666667</v>
      </c>
      <c r="I31" s="518"/>
      <c r="J31" s="518"/>
    </row>
  </sheetData>
  <sheetProtection/>
  <mergeCells count="8">
    <mergeCell ref="D6:D7"/>
    <mergeCell ref="A9:A14"/>
    <mergeCell ref="C9:C10"/>
    <mergeCell ref="D9:D10"/>
    <mergeCell ref="C11:C12"/>
    <mergeCell ref="D11:D12"/>
    <mergeCell ref="C13:C14"/>
    <mergeCell ref="D13:D14"/>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AY21"/>
  <sheetViews>
    <sheetView tabSelected="1" view="pageBreakPreview" zoomScale="55" zoomScaleNormal="61" zoomScaleSheetLayoutView="55" zoomScalePageLayoutView="0" workbookViewId="0" topLeftCell="A1">
      <selection activeCell="A3" sqref="A3:AW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9" width="111.28125" style="113" customWidth="1"/>
    <col min="50" max="50" width="70.421875" style="113" customWidth="1"/>
    <col min="51" max="51" width="38.14062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751" t="s">
        <v>423</v>
      </c>
      <c r="AY1" s="752"/>
    </row>
    <row r="2" spans="1:51" ht="15.75" customHeight="1">
      <c r="A2" s="811" t="s">
        <v>17</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2"/>
      <c r="AV2" s="812"/>
      <c r="AW2" s="813"/>
      <c r="AX2" s="799" t="s">
        <v>418</v>
      </c>
      <c r="AY2" s="800"/>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799" t="s">
        <v>424</v>
      </c>
      <c r="AY3" s="800"/>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778</v>
      </c>
      <c r="AY4" s="801"/>
    </row>
    <row r="5" spans="1:51" ht="15" customHeight="1">
      <c r="A5" s="805" t="s">
        <v>174</v>
      </c>
      <c r="B5" s="806"/>
      <c r="C5" s="806"/>
      <c r="D5" s="831"/>
      <c r="E5" s="831"/>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05"/>
      <c r="D6" s="889">
        <v>45300</v>
      </c>
      <c r="E6" s="890"/>
      <c r="F6" s="831" t="s">
        <v>67</v>
      </c>
      <c r="G6" s="832"/>
      <c r="H6" s="829" t="s">
        <v>70</v>
      </c>
      <c r="I6" s="829"/>
      <c r="J6" s="128"/>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834"/>
      <c r="AJ6" s="834"/>
      <c r="AK6" s="834"/>
      <c r="AL6" s="834"/>
      <c r="AM6" s="834"/>
      <c r="AN6" s="834"/>
      <c r="AO6" s="834"/>
      <c r="AP6" s="834"/>
      <c r="AQ6" s="834"/>
      <c r="AR6" s="834"/>
      <c r="AS6" s="834"/>
      <c r="AT6" s="834"/>
      <c r="AU6" s="835"/>
      <c r="AV6" s="828"/>
      <c r="AW6" s="828"/>
      <c r="AX6" s="828"/>
      <c r="AY6" s="828"/>
    </row>
    <row r="7" spans="1:51" ht="15" customHeight="1">
      <c r="A7" s="839"/>
      <c r="B7" s="839"/>
      <c r="C7" s="805"/>
      <c r="D7" s="891"/>
      <c r="E7" s="892"/>
      <c r="F7" s="834"/>
      <c r="G7" s="835"/>
      <c r="H7" s="829" t="s">
        <v>68</v>
      </c>
      <c r="I7" s="829"/>
      <c r="J7" s="128"/>
      <c r="K7" s="833"/>
      <c r="L7" s="834"/>
      <c r="M7" s="834"/>
      <c r="N7" s="834"/>
      <c r="O7" s="834"/>
      <c r="P7" s="834"/>
      <c r="Q7" s="834"/>
      <c r="R7" s="834"/>
      <c r="S7" s="834"/>
      <c r="T7" s="834"/>
      <c r="U7" s="834"/>
      <c r="V7" s="116"/>
      <c r="W7" s="116"/>
      <c r="X7" s="116"/>
      <c r="Y7" s="116"/>
      <c r="Z7" s="116"/>
      <c r="AA7" s="116"/>
      <c r="AB7" s="116"/>
      <c r="AC7" s="116"/>
      <c r="AD7" s="116"/>
      <c r="AE7" s="116"/>
      <c r="AF7" s="116"/>
      <c r="AG7" s="117"/>
      <c r="AH7" s="833"/>
      <c r="AI7" s="834"/>
      <c r="AJ7" s="834"/>
      <c r="AK7" s="834"/>
      <c r="AL7" s="834"/>
      <c r="AM7" s="834"/>
      <c r="AN7" s="834"/>
      <c r="AO7" s="834"/>
      <c r="AP7" s="834"/>
      <c r="AQ7" s="834"/>
      <c r="AR7" s="834"/>
      <c r="AS7" s="834"/>
      <c r="AT7" s="834"/>
      <c r="AU7" s="835"/>
      <c r="AV7" s="828"/>
      <c r="AW7" s="828"/>
      <c r="AX7" s="828"/>
      <c r="AY7" s="828"/>
    </row>
    <row r="8" spans="1:51" ht="15" customHeight="1">
      <c r="A8" s="839"/>
      <c r="B8" s="839"/>
      <c r="C8" s="805"/>
      <c r="D8" s="893"/>
      <c r="E8" s="894"/>
      <c r="F8" s="837"/>
      <c r="G8" s="838"/>
      <c r="H8" s="829" t="s">
        <v>69</v>
      </c>
      <c r="I8" s="829"/>
      <c r="J8" s="128"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834"/>
      <c r="AJ8" s="834"/>
      <c r="AK8" s="834"/>
      <c r="AL8" s="834"/>
      <c r="AM8" s="834"/>
      <c r="AN8" s="834"/>
      <c r="AO8" s="834"/>
      <c r="AP8" s="834"/>
      <c r="AQ8" s="834"/>
      <c r="AR8" s="834"/>
      <c r="AS8" s="834"/>
      <c r="AT8" s="834"/>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834"/>
      <c r="AJ9" s="834"/>
      <c r="AK9" s="834"/>
      <c r="AL9" s="834"/>
      <c r="AM9" s="834"/>
      <c r="AN9" s="834"/>
      <c r="AO9" s="834"/>
      <c r="AP9" s="834"/>
      <c r="AQ9" s="834"/>
      <c r="AR9" s="834"/>
      <c r="AS9" s="834"/>
      <c r="AT9" s="834"/>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292" t="s">
        <v>169</v>
      </c>
      <c r="B12" s="292" t="s">
        <v>170</v>
      </c>
      <c r="C12" s="292" t="s">
        <v>171</v>
      </c>
      <c r="D12" s="292" t="s">
        <v>178</v>
      </c>
      <c r="E12" s="292" t="s">
        <v>185</v>
      </c>
      <c r="F12" s="292" t="s">
        <v>186</v>
      </c>
      <c r="G12" s="292" t="s">
        <v>277</v>
      </c>
      <c r="H12" s="292" t="s">
        <v>184</v>
      </c>
      <c r="I12" s="821"/>
      <c r="J12" s="821"/>
      <c r="K12" s="821"/>
      <c r="L12" s="821"/>
      <c r="M12" s="821"/>
      <c r="N12" s="821"/>
      <c r="O12" s="292">
        <v>2020</v>
      </c>
      <c r="P12" s="292">
        <v>2021</v>
      </c>
      <c r="Q12" s="292">
        <v>2022</v>
      </c>
      <c r="R12" s="292">
        <v>2023</v>
      </c>
      <c r="S12" s="292">
        <v>2024</v>
      </c>
      <c r="T12" s="821"/>
      <c r="U12" s="821"/>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821"/>
      <c r="AW12" s="821"/>
      <c r="AX12" s="821"/>
      <c r="AY12" s="821"/>
    </row>
    <row r="13" spans="1:51" ht="409.5" customHeight="1">
      <c r="A13" s="121">
        <v>518</v>
      </c>
      <c r="B13" s="121"/>
      <c r="C13" s="121"/>
      <c r="D13" s="121"/>
      <c r="E13" s="121"/>
      <c r="F13" s="121"/>
      <c r="G13" s="122"/>
      <c r="H13" s="121"/>
      <c r="I13" s="152" t="s">
        <v>645</v>
      </c>
      <c r="J13" s="152" t="s">
        <v>646</v>
      </c>
      <c r="K13" s="395" t="s">
        <v>430</v>
      </c>
      <c r="L13" s="121">
        <v>3</v>
      </c>
      <c r="M13" s="122" t="s">
        <v>647</v>
      </c>
      <c r="N13" s="122" t="s">
        <v>648</v>
      </c>
      <c r="O13" s="238"/>
      <c r="P13" s="238"/>
      <c r="Q13" s="238"/>
      <c r="R13" s="238">
        <v>3</v>
      </c>
      <c r="S13" s="238"/>
      <c r="T13" s="235" t="s">
        <v>433</v>
      </c>
      <c r="U13" s="235" t="s">
        <v>649</v>
      </c>
      <c r="V13" s="357"/>
      <c r="W13" s="357"/>
      <c r="X13" s="358">
        <v>0.7846666666666667</v>
      </c>
      <c r="Y13" s="357"/>
      <c r="Z13" s="359"/>
      <c r="AA13" s="358">
        <v>0.7361666666666666</v>
      </c>
      <c r="AB13" s="491"/>
      <c r="AC13" s="491"/>
      <c r="AD13" s="358">
        <v>0.7475</v>
      </c>
      <c r="AE13" s="491"/>
      <c r="AF13" s="491"/>
      <c r="AG13" s="358">
        <v>0.7316666666666667</v>
      </c>
      <c r="AH13" s="501"/>
      <c r="AI13" s="501"/>
      <c r="AJ13" s="470">
        <v>0.78</v>
      </c>
      <c r="AK13" s="501"/>
      <c r="AL13" s="501"/>
      <c r="AM13" s="470">
        <v>0.74</v>
      </c>
      <c r="AN13" s="470"/>
      <c r="AO13" s="470"/>
      <c r="AP13" s="470">
        <v>0.75</v>
      </c>
      <c r="AQ13" s="439"/>
      <c r="AR13" s="439"/>
      <c r="AS13" s="124">
        <v>0.73</v>
      </c>
      <c r="AT13" s="439">
        <f aca="true" t="shared" si="0" ref="AT13:AT18">SUM(AH13:AS13)</f>
        <v>3</v>
      </c>
      <c r="AU13" s="541">
        <f aca="true" t="shared" si="1" ref="AU13:AU18">+AT13/R13</f>
        <v>1</v>
      </c>
      <c r="AV13" s="490" t="s">
        <v>940</v>
      </c>
      <c r="AW13" s="490" t="s">
        <v>1043</v>
      </c>
      <c r="AX13" s="411" t="s">
        <v>450</v>
      </c>
      <c r="AY13" s="411" t="s">
        <v>450</v>
      </c>
    </row>
    <row r="14" spans="1:51" ht="237.75" customHeight="1">
      <c r="A14" s="121"/>
      <c r="B14" s="121"/>
      <c r="C14" s="121"/>
      <c r="D14" s="121"/>
      <c r="E14" s="121" t="s">
        <v>425</v>
      </c>
      <c r="F14" s="121"/>
      <c r="G14" s="122" t="s">
        <v>650</v>
      </c>
      <c r="H14" s="121"/>
      <c r="I14" s="152" t="s">
        <v>651</v>
      </c>
      <c r="J14" s="152" t="s">
        <v>652</v>
      </c>
      <c r="K14" s="122" t="s">
        <v>430</v>
      </c>
      <c r="L14" s="121"/>
      <c r="M14" s="122" t="s">
        <v>437</v>
      </c>
      <c r="N14" s="122" t="s">
        <v>653</v>
      </c>
      <c r="O14" s="238"/>
      <c r="P14" s="238"/>
      <c r="Q14" s="238"/>
      <c r="R14" s="238">
        <v>11</v>
      </c>
      <c r="S14" s="238"/>
      <c r="T14" s="235" t="s">
        <v>439</v>
      </c>
      <c r="U14" s="235" t="s">
        <v>654</v>
      </c>
      <c r="V14" s="357"/>
      <c r="W14" s="357"/>
      <c r="X14" s="360">
        <v>11</v>
      </c>
      <c r="Y14" s="357"/>
      <c r="Z14" s="359"/>
      <c r="AA14" s="358"/>
      <c r="AB14" s="491"/>
      <c r="AC14" s="491"/>
      <c r="AD14" s="358"/>
      <c r="AE14" s="491"/>
      <c r="AF14" s="491"/>
      <c r="AG14" s="358"/>
      <c r="AH14" s="470">
        <v>11</v>
      </c>
      <c r="AI14" s="470"/>
      <c r="AJ14" s="470"/>
      <c r="AK14" s="470"/>
      <c r="AL14" s="470"/>
      <c r="AM14" s="470"/>
      <c r="AN14" s="470"/>
      <c r="AO14" s="470"/>
      <c r="AP14" s="470"/>
      <c r="AQ14" s="124"/>
      <c r="AR14" s="124"/>
      <c r="AS14" s="124"/>
      <c r="AT14" s="124">
        <f t="shared" si="0"/>
        <v>11</v>
      </c>
      <c r="AU14" s="127">
        <f t="shared" si="1"/>
        <v>1</v>
      </c>
      <c r="AV14" s="472" t="s">
        <v>941</v>
      </c>
      <c r="AW14" s="489" t="s">
        <v>942</v>
      </c>
      <c r="AX14" s="411" t="s">
        <v>450</v>
      </c>
      <c r="AY14" s="411" t="s">
        <v>450</v>
      </c>
    </row>
    <row r="15" spans="1:51" ht="242.25" customHeight="1">
      <c r="A15" s="121"/>
      <c r="B15" s="121"/>
      <c r="C15" s="121"/>
      <c r="D15" s="121"/>
      <c r="E15" s="121" t="s">
        <v>425</v>
      </c>
      <c r="F15" s="121"/>
      <c r="G15" s="122" t="s">
        <v>650</v>
      </c>
      <c r="H15" s="121"/>
      <c r="I15" s="361" t="s">
        <v>655</v>
      </c>
      <c r="J15" s="361" t="s">
        <v>656</v>
      </c>
      <c r="K15" s="362" t="s">
        <v>430</v>
      </c>
      <c r="L15" s="121"/>
      <c r="M15" s="362" t="s">
        <v>437</v>
      </c>
      <c r="N15" s="122" t="s">
        <v>657</v>
      </c>
      <c r="O15" s="238"/>
      <c r="P15" s="238"/>
      <c r="Q15" s="238"/>
      <c r="R15" s="238">
        <v>132</v>
      </c>
      <c r="S15" s="238"/>
      <c r="T15" s="235" t="s">
        <v>460</v>
      </c>
      <c r="U15" s="235" t="s">
        <v>658</v>
      </c>
      <c r="V15" s="417">
        <v>11</v>
      </c>
      <c r="W15" s="417">
        <v>11</v>
      </c>
      <c r="X15" s="417">
        <v>11</v>
      </c>
      <c r="Y15" s="417">
        <v>11</v>
      </c>
      <c r="Z15" s="417">
        <v>11</v>
      </c>
      <c r="AA15" s="417">
        <v>11</v>
      </c>
      <c r="AB15" s="417">
        <v>11</v>
      </c>
      <c r="AC15" s="417">
        <v>11</v>
      </c>
      <c r="AD15" s="417">
        <v>11</v>
      </c>
      <c r="AE15" s="417">
        <v>11</v>
      </c>
      <c r="AF15" s="417">
        <v>11</v>
      </c>
      <c r="AG15" s="417">
        <v>11</v>
      </c>
      <c r="AH15" s="464">
        <v>11</v>
      </c>
      <c r="AI15" s="470">
        <v>11</v>
      </c>
      <c r="AJ15" s="470">
        <v>11</v>
      </c>
      <c r="AK15" s="470">
        <v>11</v>
      </c>
      <c r="AL15" s="470">
        <v>11</v>
      </c>
      <c r="AM15" s="470">
        <v>11</v>
      </c>
      <c r="AN15" s="470">
        <v>11</v>
      </c>
      <c r="AO15" s="470">
        <v>11</v>
      </c>
      <c r="AP15" s="470">
        <v>11</v>
      </c>
      <c r="AQ15" s="124">
        <v>11</v>
      </c>
      <c r="AR15" s="124">
        <v>11</v>
      </c>
      <c r="AS15" s="124">
        <v>11</v>
      </c>
      <c r="AT15" s="124">
        <f t="shared" si="0"/>
        <v>132</v>
      </c>
      <c r="AU15" s="127">
        <f t="shared" si="1"/>
        <v>1</v>
      </c>
      <c r="AV15" s="473" t="s">
        <v>944</v>
      </c>
      <c r="AW15" s="473" t="s">
        <v>946</v>
      </c>
      <c r="AX15" s="411" t="s">
        <v>450</v>
      </c>
      <c r="AY15" s="466" t="s">
        <v>450</v>
      </c>
    </row>
    <row r="16" spans="1:51" ht="184.5" customHeight="1">
      <c r="A16" s="121"/>
      <c r="B16" s="121"/>
      <c r="C16" s="121"/>
      <c r="D16" s="121"/>
      <c r="E16" s="121" t="s">
        <v>425</v>
      </c>
      <c r="F16" s="121"/>
      <c r="G16" s="122" t="s">
        <v>650</v>
      </c>
      <c r="H16" s="121"/>
      <c r="I16" s="152" t="s">
        <v>659</v>
      </c>
      <c r="J16" s="152" t="s">
        <v>660</v>
      </c>
      <c r="K16" s="122" t="s">
        <v>430</v>
      </c>
      <c r="L16" s="121"/>
      <c r="M16" s="122" t="s">
        <v>437</v>
      </c>
      <c r="N16" s="122" t="s">
        <v>815</v>
      </c>
      <c r="O16" s="238"/>
      <c r="P16" s="238"/>
      <c r="Q16" s="238"/>
      <c r="R16" s="238">
        <v>2</v>
      </c>
      <c r="S16" s="238"/>
      <c r="T16" s="235" t="s">
        <v>455</v>
      </c>
      <c r="U16" s="235" t="s">
        <v>661</v>
      </c>
      <c r="V16" s="417">
        <v>1</v>
      </c>
      <c r="W16" s="417"/>
      <c r="X16" s="417"/>
      <c r="Y16" s="417"/>
      <c r="Z16" s="417"/>
      <c r="AA16" s="417"/>
      <c r="AB16" s="417">
        <v>1</v>
      </c>
      <c r="AC16" s="502"/>
      <c r="AD16" s="418"/>
      <c r="AE16" s="502"/>
      <c r="AF16" s="502"/>
      <c r="AG16" s="418"/>
      <c r="AH16" s="464">
        <v>1</v>
      </c>
      <c r="AI16" s="470"/>
      <c r="AJ16" s="470"/>
      <c r="AK16" s="470"/>
      <c r="AL16" s="470"/>
      <c r="AM16" s="470"/>
      <c r="AN16" s="470">
        <v>1</v>
      </c>
      <c r="AO16" s="470"/>
      <c r="AP16" s="470"/>
      <c r="AQ16" s="124"/>
      <c r="AR16" s="124"/>
      <c r="AS16" s="124"/>
      <c r="AT16" s="124">
        <f t="shared" si="0"/>
        <v>2</v>
      </c>
      <c r="AU16" s="127">
        <f t="shared" si="1"/>
        <v>1</v>
      </c>
      <c r="AV16" s="472" t="s">
        <v>941</v>
      </c>
      <c r="AW16" s="473" t="s">
        <v>943</v>
      </c>
      <c r="AX16" s="411" t="s">
        <v>450</v>
      </c>
      <c r="AY16" s="466" t="s">
        <v>450</v>
      </c>
    </row>
    <row r="17" spans="1:51" ht="222.75" customHeight="1">
      <c r="A17" s="121"/>
      <c r="B17" s="121"/>
      <c r="C17" s="121"/>
      <c r="D17" s="121"/>
      <c r="E17" s="121" t="s">
        <v>425</v>
      </c>
      <c r="F17" s="121"/>
      <c r="G17" s="122" t="s">
        <v>650</v>
      </c>
      <c r="H17" s="121"/>
      <c r="I17" s="152" t="s">
        <v>662</v>
      </c>
      <c r="J17" s="152" t="s">
        <v>663</v>
      </c>
      <c r="K17" s="122" t="s">
        <v>430</v>
      </c>
      <c r="L17" s="121"/>
      <c r="M17" s="122" t="s">
        <v>437</v>
      </c>
      <c r="N17" s="122" t="s">
        <v>664</v>
      </c>
      <c r="O17" s="238"/>
      <c r="P17" s="238"/>
      <c r="Q17" s="238"/>
      <c r="R17" s="238">
        <v>1</v>
      </c>
      <c r="S17" s="238"/>
      <c r="T17" s="235" t="s">
        <v>439</v>
      </c>
      <c r="U17" s="235" t="s">
        <v>665</v>
      </c>
      <c r="V17" s="357"/>
      <c r="W17" s="357"/>
      <c r="X17" s="358"/>
      <c r="Y17" s="357"/>
      <c r="Z17" s="359"/>
      <c r="AA17" s="358"/>
      <c r="AB17" s="491"/>
      <c r="AC17" s="491"/>
      <c r="AD17" s="360">
        <v>1</v>
      </c>
      <c r="AE17" s="491"/>
      <c r="AF17" s="491"/>
      <c r="AG17" s="358"/>
      <c r="AH17" s="470"/>
      <c r="AI17" s="470"/>
      <c r="AJ17" s="470"/>
      <c r="AK17" s="470"/>
      <c r="AL17" s="470"/>
      <c r="AM17" s="470"/>
      <c r="AN17" s="470"/>
      <c r="AO17" s="470"/>
      <c r="AP17" s="470">
        <v>1</v>
      </c>
      <c r="AQ17" s="124"/>
      <c r="AR17" s="124"/>
      <c r="AS17" s="124"/>
      <c r="AT17" s="124">
        <f t="shared" si="0"/>
        <v>1</v>
      </c>
      <c r="AU17" s="127">
        <f t="shared" si="1"/>
        <v>1</v>
      </c>
      <c r="AV17" s="472" t="s">
        <v>941</v>
      </c>
      <c r="AW17" s="472" t="s">
        <v>945</v>
      </c>
      <c r="AX17" s="411" t="s">
        <v>450</v>
      </c>
      <c r="AY17" s="466" t="s">
        <v>450</v>
      </c>
    </row>
    <row r="18" spans="1:51" ht="75">
      <c r="A18" s="458"/>
      <c r="B18" s="458"/>
      <c r="C18" s="458"/>
      <c r="D18" s="458"/>
      <c r="E18" s="458" t="s">
        <v>425</v>
      </c>
      <c r="F18" s="458"/>
      <c r="G18" s="459" t="s">
        <v>650</v>
      </c>
      <c r="H18" s="458"/>
      <c r="I18" s="465" t="s">
        <v>861</v>
      </c>
      <c r="J18" s="465" t="s">
        <v>862</v>
      </c>
      <c r="K18" s="459" t="s">
        <v>453</v>
      </c>
      <c r="L18" s="457">
        <v>0.9</v>
      </c>
      <c r="M18" s="459" t="s">
        <v>504</v>
      </c>
      <c r="N18" s="459" t="s">
        <v>863</v>
      </c>
      <c r="O18" s="367"/>
      <c r="P18" s="367"/>
      <c r="Q18" s="367"/>
      <c r="R18" s="530">
        <v>0.9</v>
      </c>
      <c r="S18" s="530"/>
      <c r="T18" s="314" t="s">
        <v>455</v>
      </c>
      <c r="U18" s="314" t="s">
        <v>864</v>
      </c>
      <c r="V18" s="357"/>
      <c r="W18" s="357"/>
      <c r="X18" s="531"/>
      <c r="Y18" s="357"/>
      <c r="Z18" s="359"/>
      <c r="AA18" s="531"/>
      <c r="AB18" s="357"/>
      <c r="AC18" s="357"/>
      <c r="AD18" s="532"/>
      <c r="AE18" s="357"/>
      <c r="AF18" s="357"/>
      <c r="AG18" s="457">
        <v>0.9</v>
      </c>
      <c r="AH18" s="124"/>
      <c r="AI18" s="124"/>
      <c r="AJ18" s="124"/>
      <c r="AK18" s="124"/>
      <c r="AL18" s="124"/>
      <c r="AM18" s="124"/>
      <c r="AN18" s="124"/>
      <c r="AO18" s="124"/>
      <c r="AP18" s="124"/>
      <c r="AQ18" s="124"/>
      <c r="AR18" s="124"/>
      <c r="AS18" s="467">
        <v>0.81</v>
      </c>
      <c r="AT18" s="463">
        <f t="shared" si="0"/>
        <v>0.81</v>
      </c>
      <c r="AU18" s="533">
        <f t="shared" si="1"/>
        <v>0.9</v>
      </c>
      <c r="AV18" s="490" t="s">
        <v>947</v>
      </c>
      <c r="AW18" s="490" t="s">
        <v>947</v>
      </c>
      <c r="AX18" s="411" t="s">
        <v>450</v>
      </c>
      <c r="AY18" s="466" t="s">
        <v>450</v>
      </c>
    </row>
    <row r="19" spans="1:51" ht="54" customHeight="1">
      <c r="A19" s="823" t="s">
        <v>64</v>
      </c>
      <c r="B19" s="823"/>
      <c r="C19" s="823"/>
      <c r="D19" s="819" t="s">
        <v>638</v>
      </c>
      <c r="E19" s="819"/>
      <c r="F19" s="819"/>
      <c r="G19" s="819"/>
      <c r="H19" s="819"/>
      <c r="I19" s="819"/>
      <c r="J19" s="824" t="s">
        <v>300</v>
      </c>
      <c r="K19" s="824"/>
      <c r="L19" s="824"/>
      <c r="M19" s="824"/>
      <c r="N19" s="824"/>
      <c r="O19" s="824"/>
      <c r="P19" s="819" t="s">
        <v>66</v>
      </c>
      <c r="Q19" s="819"/>
      <c r="R19" s="819"/>
      <c r="S19" s="819"/>
      <c r="T19" s="819"/>
      <c r="U19" s="819"/>
      <c r="V19" s="819" t="s">
        <v>66</v>
      </c>
      <c r="W19" s="819"/>
      <c r="X19" s="819"/>
      <c r="Y19" s="819"/>
      <c r="Z19" s="819"/>
      <c r="AA19" s="819"/>
      <c r="AB19" s="819"/>
      <c r="AC19" s="819"/>
      <c r="AD19" s="819" t="s">
        <v>66</v>
      </c>
      <c r="AE19" s="819"/>
      <c r="AF19" s="819"/>
      <c r="AG19" s="819"/>
      <c r="AH19" s="819"/>
      <c r="AI19" s="819"/>
      <c r="AJ19" s="819"/>
      <c r="AK19" s="819"/>
      <c r="AL19" s="819"/>
      <c r="AM19" s="819"/>
      <c r="AN19" s="819"/>
      <c r="AO19" s="819"/>
      <c r="AP19" s="824" t="s">
        <v>318</v>
      </c>
      <c r="AQ19" s="824"/>
      <c r="AR19" s="824"/>
      <c r="AS19" s="824"/>
      <c r="AT19" s="819" t="s">
        <v>13</v>
      </c>
      <c r="AU19" s="819"/>
      <c r="AV19" s="819"/>
      <c r="AW19" s="819"/>
      <c r="AX19" s="819"/>
      <c r="AY19" s="819"/>
    </row>
    <row r="20" spans="1:51" ht="30" customHeight="1">
      <c r="A20" s="823"/>
      <c r="B20" s="823"/>
      <c r="C20" s="823"/>
      <c r="D20" s="819" t="s">
        <v>846</v>
      </c>
      <c r="E20" s="819"/>
      <c r="F20" s="819"/>
      <c r="G20" s="819"/>
      <c r="H20" s="819"/>
      <c r="I20" s="819"/>
      <c r="J20" s="824"/>
      <c r="K20" s="824"/>
      <c r="L20" s="824"/>
      <c r="M20" s="824"/>
      <c r="N20" s="824"/>
      <c r="O20" s="824"/>
      <c r="P20" s="819" t="s">
        <v>641</v>
      </c>
      <c r="Q20" s="819"/>
      <c r="R20" s="819"/>
      <c r="S20" s="819"/>
      <c r="T20" s="819"/>
      <c r="U20" s="819"/>
      <c r="V20" s="819" t="s">
        <v>769</v>
      </c>
      <c r="W20" s="819"/>
      <c r="X20" s="819"/>
      <c r="Y20" s="819"/>
      <c r="Z20" s="819"/>
      <c r="AA20" s="819"/>
      <c r="AB20" s="819"/>
      <c r="AC20" s="819"/>
      <c r="AD20" s="819" t="s">
        <v>65</v>
      </c>
      <c r="AE20" s="819"/>
      <c r="AF20" s="819"/>
      <c r="AG20" s="819"/>
      <c r="AH20" s="819"/>
      <c r="AI20" s="819"/>
      <c r="AJ20" s="819"/>
      <c r="AK20" s="819"/>
      <c r="AL20" s="819"/>
      <c r="AM20" s="819"/>
      <c r="AN20" s="819"/>
      <c r="AO20" s="819"/>
      <c r="AP20" s="824"/>
      <c r="AQ20" s="824"/>
      <c r="AR20" s="824"/>
      <c r="AS20" s="824"/>
      <c r="AT20" s="819" t="s">
        <v>769</v>
      </c>
      <c r="AU20" s="819"/>
      <c r="AV20" s="819"/>
      <c r="AW20" s="819"/>
      <c r="AX20" s="819"/>
      <c r="AY20" s="819"/>
    </row>
    <row r="21" spans="1:51" ht="30" customHeight="1">
      <c r="A21" s="823"/>
      <c r="B21" s="823"/>
      <c r="C21" s="823"/>
      <c r="D21" s="819" t="s">
        <v>847</v>
      </c>
      <c r="E21" s="819"/>
      <c r="F21" s="819"/>
      <c r="G21" s="819"/>
      <c r="H21" s="819"/>
      <c r="I21" s="819"/>
      <c r="J21" s="824"/>
      <c r="K21" s="824"/>
      <c r="L21" s="824"/>
      <c r="M21" s="824"/>
      <c r="N21" s="824"/>
      <c r="O21" s="824"/>
      <c r="P21" s="819" t="s">
        <v>772</v>
      </c>
      <c r="Q21" s="819"/>
      <c r="R21" s="819"/>
      <c r="S21" s="819"/>
      <c r="T21" s="819"/>
      <c r="U21" s="819"/>
      <c r="V21" s="819" t="s">
        <v>643</v>
      </c>
      <c r="W21" s="819"/>
      <c r="X21" s="819"/>
      <c r="Y21" s="819"/>
      <c r="Z21" s="819"/>
      <c r="AA21" s="819"/>
      <c r="AB21" s="819"/>
      <c r="AC21" s="819"/>
      <c r="AD21" s="819" t="s">
        <v>297</v>
      </c>
      <c r="AE21" s="819"/>
      <c r="AF21" s="819"/>
      <c r="AG21" s="819"/>
      <c r="AH21" s="819"/>
      <c r="AI21" s="819"/>
      <c r="AJ21" s="819"/>
      <c r="AK21" s="819"/>
      <c r="AL21" s="819"/>
      <c r="AM21" s="819"/>
      <c r="AN21" s="819"/>
      <c r="AO21" s="819"/>
      <c r="AP21" s="824"/>
      <c r="AQ21" s="824"/>
      <c r="AR21" s="824"/>
      <c r="AS21" s="824"/>
      <c r="AT21" s="819" t="s">
        <v>75</v>
      </c>
      <c r="AU21" s="819"/>
      <c r="AV21" s="819"/>
      <c r="AW21" s="819"/>
      <c r="AX21" s="819"/>
      <c r="AY21" s="819"/>
    </row>
  </sheetData>
  <sheetProtection/>
  <mergeCells count="56">
    <mergeCell ref="D21:I21"/>
    <mergeCell ref="P21:U21"/>
    <mergeCell ref="V21:AC21"/>
    <mergeCell ref="AD21:AO21"/>
    <mergeCell ref="AT21:AY21"/>
    <mergeCell ref="AT19:AY19"/>
    <mergeCell ref="D20:I20"/>
    <mergeCell ref="P20:U20"/>
    <mergeCell ref="V20:AC20"/>
    <mergeCell ref="AD20:AO20"/>
    <mergeCell ref="AT20:AY20"/>
    <mergeCell ref="AH11:AS11"/>
    <mergeCell ref="AT11:AU11"/>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4" r:id="rId4"/>
  <drawing r:id="rId3"/>
  <legacyDrawing r:id="rId2"/>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AY23"/>
  <sheetViews>
    <sheetView view="pageBreakPreview" zoomScale="60" zoomScaleNormal="80" zoomScalePageLayoutView="0" workbookViewId="0" topLeftCell="O16">
      <selection activeCell="AX13" sqref="AX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23" width="7.421875" style="113" customWidth="1"/>
    <col min="24" max="24" width="8.57421875" style="113" customWidth="1"/>
    <col min="25" max="35" width="7.421875" style="113" customWidth="1"/>
    <col min="36" max="36" width="8.57421875" style="113" customWidth="1"/>
    <col min="37" max="45" width="7.421875" style="113" customWidth="1"/>
    <col min="46" max="46" width="17.140625" style="113" customWidth="1"/>
    <col min="47" max="47" width="15.8515625" style="217" customWidth="1"/>
    <col min="48" max="49" width="84.00390625" style="113" customWidth="1"/>
    <col min="50" max="50" width="57.57421875" style="113" customWidth="1"/>
    <col min="51" max="51" width="42.5742187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423</v>
      </c>
      <c r="AY1" s="1147"/>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0" t="s">
        <v>418</v>
      </c>
      <c r="AY2" s="1171"/>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0" t="s">
        <v>424</v>
      </c>
      <c r="AY3" s="1171"/>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1168" t="s">
        <v>779</v>
      </c>
      <c r="AY4" s="1169"/>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0" t="s">
        <v>71</v>
      </c>
      <c r="B6" s="831"/>
      <c r="C6" s="832"/>
      <c r="D6" s="889">
        <v>45300</v>
      </c>
      <c r="E6" s="890"/>
      <c r="F6" s="830" t="s">
        <v>67</v>
      </c>
      <c r="G6" s="832"/>
      <c r="H6" s="1148" t="s">
        <v>70</v>
      </c>
      <c r="I6" s="1149"/>
      <c r="J6" s="121"/>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834"/>
      <c r="AJ6" s="834"/>
      <c r="AK6" s="834"/>
      <c r="AL6" s="834"/>
      <c r="AM6" s="834"/>
      <c r="AN6" s="834"/>
      <c r="AO6" s="834"/>
      <c r="AP6" s="834"/>
      <c r="AQ6" s="834"/>
      <c r="AR6" s="834"/>
      <c r="AS6" s="834"/>
      <c r="AT6" s="834"/>
      <c r="AU6" s="835"/>
      <c r="AV6" s="828"/>
      <c r="AW6" s="828"/>
      <c r="AX6" s="828"/>
      <c r="AY6" s="828"/>
    </row>
    <row r="7" spans="1:51" ht="15" customHeight="1">
      <c r="A7" s="833"/>
      <c r="B7" s="834"/>
      <c r="C7" s="835"/>
      <c r="D7" s="891"/>
      <c r="E7" s="892"/>
      <c r="F7" s="833"/>
      <c r="G7" s="835"/>
      <c r="H7" s="1148" t="s">
        <v>68</v>
      </c>
      <c r="I7" s="1149"/>
      <c r="J7" s="121"/>
      <c r="K7" s="833"/>
      <c r="L7" s="834"/>
      <c r="M7" s="834"/>
      <c r="N7" s="834"/>
      <c r="O7" s="834"/>
      <c r="P7" s="834"/>
      <c r="Q7" s="834"/>
      <c r="R7" s="834"/>
      <c r="S7" s="834"/>
      <c r="T7" s="834"/>
      <c r="U7" s="834"/>
      <c r="V7" s="231"/>
      <c r="W7" s="231"/>
      <c r="X7" s="231"/>
      <c r="Y7" s="231"/>
      <c r="Z7" s="231"/>
      <c r="AA7" s="231"/>
      <c r="AB7" s="231"/>
      <c r="AC7" s="231"/>
      <c r="AD7" s="231"/>
      <c r="AE7" s="231"/>
      <c r="AF7" s="231"/>
      <c r="AG7" s="117"/>
      <c r="AH7" s="833"/>
      <c r="AI7" s="834"/>
      <c r="AJ7" s="834"/>
      <c r="AK7" s="834"/>
      <c r="AL7" s="834"/>
      <c r="AM7" s="834"/>
      <c r="AN7" s="834"/>
      <c r="AO7" s="834"/>
      <c r="AP7" s="834"/>
      <c r="AQ7" s="834"/>
      <c r="AR7" s="834"/>
      <c r="AS7" s="834"/>
      <c r="AT7" s="834"/>
      <c r="AU7" s="835"/>
      <c r="AV7" s="828"/>
      <c r="AW7" s="828"/>
      <c r="AX7" s="828"/>
      <c r="AY7" s="828"/>
    </row>
    <row r="8" spans="1:51" ht="15" customHeight="1">
      <c r="A8" s="836"/>
      <c r="B8" s="837"/>
      <c r="C8" s="838"/>
      <c r="D8" s="893"/>
      <c r="E8" s="894"/>
      <c r="F8" s="836"/>
      <c r="G8" s="838"/>
      <c r="H8" s="1148" t="s">
        <v>69</v>
      </c>
      <c r="I8" s="1149"/>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834"/>
      <c r="AJ8" s="834"/>
      <c r="AK8" s="834"/>
      <c r="AL8" s="834"/>
      <c r="AM8" s="834"/>
      <c r="AN8" s="834"/>
      <c r="AO8" s="834"/>
      <c r="AP8" s="834"/>
      <c r="AQ8" s="834"/>
      <c r="AR8" s="834"/>
      <c r="AS8" s="834"/>
      <c r="AT8" s="834"/>
      <c r="AU8" s="835"/>
      <c r="AV8" s="828"/>
      <c r="AW8" s="828"/>
      <c r="AX8" s="828"/>
      <c r="AY8" s="828"/>
    </row>
    <row r="9" spans="1:51" ht="15" customHeight="1">
      <c r="A9" s="841" t="s">
        <v>399</v>
      </c>
      <c r="B9" s="842"/>
      <c r="C9" s="843"/>
      <c r="D9" s="848"/>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834"/>
      <c r="AJ9" s="834"/>
      <c r="AK9" s="834"/>
      <c r="AL9" s="834"/>
      <c r="AM9" s="834"/>
      <c r="AN9" s="834"/>
      <c r="AO9" s="834"/>
      <c r="AP9" s="834"/>
      <c r="AQ9" s="834"/>
      <c r="AR9" s="834"/>
      <c r="AS9" s="834"/>
      <c r="AT9" s="834"/>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70.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408" t="s">
        <v>169</v>
      </c>
      <c r="B12" s="408" t="s">
        <v>170</v>
      </c>
      <c r="C12" s="408" t="s">
        <v>171</v>
      </c>
      <c r="D12" s="408" t="s">
        <v>178</v>
      </c>
      <c r="E12" s="408" t="s">
        <v>185</v>
      </c>
      <c r="F12" s="408" t="s">
        <v>186</v>
      </c>
      <c r="G12" s="408" t="s">
        <v>277</v>
      </c>
      <c r="H12" s="408" t="s">
        <v>184</v>
      </c>
      <c r="I12" s="821"/>
      <c r="J12" s="821"/>
      <c r="K12" s="821"/>
      <c r="L12" s="821"/>
      <c r="M12" s="821"/>
      <c r="N12" s="821"/>
      <c r="O12" s="408">
        <v>2020</v>
      </c>
      <c r="P12" s="408">
        <v>2021</v>
      </c>
      <c r="Q12" s="408">
        <v>2022</v>
      </c>
      <c r="R12" s="408">
        <v>2023</v>
      </c>
      <c r="S12" s="408">
        <v>2024</v>
      </c>
      <c r="T12" s="821"/>
      <c r="U12" s="821"/>
      <c r="V12" s="407" t="s">
        <v>39</v>
      </c>
      <c r="W12" s="407" t="s">
        <v>40</v>
      </c>
      <c r="X12" s="407" t="s">
        <v>41</v>
      </c>
      <c r="Y12" s="407" t="s">
        <v>42</v>
      </c>
      <c r="Z12" s="407" t="s">
        <v>43</v>
      </c>
      <c r="AA12" s="407" t="s">
        <v>44</v>
      </c>
      <c r="AB12" s="407" t="s">
        <v>45</v>
      </c>
      <c r="AC12" s="407" t="s">
        <v>46</v>
      </c>
      <c r="AD12" s="407" t="s">
        <v>47</v>
      </c>
      <c r="AE12" s="407" t="s">
        <v>48</v>
      </c>
      <c r="AF12" s="407" t="s">
        <v>49</v>
      </c>
      <c r="AG12" s="407" t="s">
        <v>50</v>
      </c>
      <c r="AH12" s="407" t="s">
        <v>39</v>
      </c>
      <c r="AI12" s="407" t="s">
        <v>40</v>
      </c>
      <c r="AJ12" s="407" t="s">
        <v>41</v>
      </c>
      <c r="AK12" s="407" t="s">
        <v>42</v>
      </c>
      <c r="AL12" s="407" t="s">
        <v>43</v>
      </c>
      <c r="AM12" s="407" t="s">
        <v>44</v>
      </c>
      <c r="AN12" s="407" t="s">
        <v>45</v>
      </c>
      <c r="AO12" s="407" t="s">
        <v>46</v>
      </c>
      <c r="AP12" s="407" t="s">
        <v>47</v>
      </c>
      <c r="AQ12" s="407" t="s">
        <v>48</v>
      </c>
      <c r="AR12" s="407" t="s">
        <v>49</v>
      </c>
      <c r="AS12" s="407" t="s">
        <v>50</v>
      </c>
      <c r="AT12" s="408" t="s">
        <v>413</v>
      </c>
      <c r="AU12" s="216" t="s">
        <v>88</v>
      </c>
      <c r="AV12" s="821"/>
      <c r="AW12" s="821"/>
      <c r="AX12" s="821"/>
      <c r="AY12" s="821"/>
    </row>
    <row r="13" spans="1:51" ht="323.25" customHeight="1">
      <c r="A13" s="121"/>
      <c r="B13" s="121"/>
      <c r="C13" s="121"/>
      <c r="D13" s="121"/>
      <c r="E13" s="121" t="s">
        <v>425</v>
      </c>
      <c r="F13" s="121"/>
      <c r="G13" s="122" t="s">
        <v>666</v>
      </c>
      <c r="H13" s="122" t="s">
        <v>837</v>
      </c>
      <c r="I13" s="363" t="s">
        <v>859</v>
      </c>
      <c r="J13" s="152" t="s">
        <v>668</v>
      </c>
      <c r="K13" s="122" t="s">
        <v>430</v>
      </c>
      <c r="L13" s="122"/>
      <c r="M13" s="122" t="s">
        <v>431</v>
      </c>
      <c r="N13" s="122" t="s">
        <v>669</v>
      </c>
      <c r="O13" s="123"/>
      <c r="P13" s="123"/>
      <c r="Q13" s="123"/>
      <c r="R13" s="293">
        <v>0.85</v>
      </c>
      <c r="S13" s="123"/>
      <c r="T13" s="235" t="s">
        <v>433</v>
      </c>
      <c r="U13" s="235" t="s">
        <v>670</v>
      </c>
      <c r="V13" s="124"/>
      <c r="W13" s="124"/>
      <c r="X13" s="357">
        <v>0.2</v>
      </c>
      <c r="Y13" s="357"/>
      <c r="Z13" s="357"/>
      <c r="AA13" s="357">
        <v>0.2</v>
      </c>
      <c r="AB13" s="491"/>
      <c r="AC13" s="491"/>
      <c r="AD13" s="491">
        <v>0.2</v>
      </c>
      <c r="AE13" s="491"/>
      <c r="AF13" s="491"/>
      <c r="AG13" s="491">
        <v>0.25</v>
      </c>
      <c r="AH13" s="470"/>
      <c r="AI13" s="470"/>
      <c r="AJ13" s="468">
        <v>0</v>
      </c>
      <c r="AK13" s="470"/>
      <c r="AL13" s="470"/>
      <c r="AM13" s="468">
        <v>0</v>
      </c>
      <c r="AN13" s="470"/>
      <c r="AO13" s="470"/>
      <c r="AP13" s="469">
        <v>0.4</v>
      </c>
      <c r="AQ13" s="124"/>
      <c r="AR13" s="124"/>
      <c r="AS13" s="467">
        <v>0.4</v>
      </c>
      <c r="AT13" s="463">
        <f>SUM(AH13:AS13)</f>
        <v>0.8</v>
      </c>
      <c r="AU13" s="127">
        <f>+AT13/R13</f>
        <v>0.9411764705882354</v>
      </c>
      <c r="AV13" s="548" t="s">
        <v>948</v>
      </c>
      <c r="AW13" s="534" t="s">
        <v>949</v>
      </c>
      <c r="AX13" s="548" t="s">
        <v>950</v>
      </c>
      <c r="AY13" s="534" t="s">
        <v>951</v>
      </c>
    </row>
    <row r="14" spans="1:51" ht="285.75" customHeight="1">
      <c r="A14" s="121"/>
      <c r="B14" s="121"/>
      <c r="C14" s="121"/>
      <c r="D14" s="121"/>
      <c r="E14" s="450" t="s">
        <v>425</v>
      </c>
      <c r="F14" s="121"/>
      <c r="G14" s="122" t="s">
        <v>666</v>
      </c>
      <c r="H14" s="122" t="s">
        <v>838</v>
      </c>
      <c r="I14" s="363" t="s">
        <v>667</v>
      </c>
      <c r="J14" s="152" t="s">
        <v>671</v>
      </c>
      <c r="K14" s="122" t="s">
        <v>430</v>
      </c>
      <c r="L14" s="124"/>
      <c r="M14" s="122" t="s">
        <v>431</v>
      </c>
      <c r="N14" s="122" t="s">
        <v>672</v>
      </c>
      <c r="O14" s="124"/>
      <c r="P14" s="124"/>
      <c r="Q14" s="124"/>
      <c r="R14" s="293">
        <v>0.85</v>
      </c>
      <c r="S14" s="124"/>
      <c r="T14" s="235" t="s">
        <v>455</v>
      </c>
      <c r="U14" s="235" t="s">
        <v>673</v>
      </c>
      <c r="V14" s="124"/>
      <c r="W14" s="124"/>
      <c r="X14" s="124"/>
      <c r="Y14" s="124"/>
      <c r="Z14" s="124"/>
      <c r="AA14" s="357">
        <v>0.4</v>
      </c>
      <c r="AB14" s="491"/>
      <c r="AC14" s="491"/>
      <c r="AD14" s="491"/>
      <c r="AE14" s="491"/>
      <c r="AF14" s="491"/>
      <c r="AG14" s="491">
        <v>0.45</v>
      </c>
      <c r="AH14" s="470"/>
      <c r="AI14" s="470"/>
      <c r="AJ14" s="470"/>
      <c r="AK14" s="470"/>
      <c r="AL14" s="470"/>
      <c r="AM14" s="491">
        <v>0</v>
      </c>
      <c r="AN14" s="470"/>
      <c r="AO14" s="470"/>
      <c r="AP14" s="469"/>
      <c r="AQ14" s="124"/>
      <c r="AR14" s="124"/>
      <c r="AS14" s="467">
        <v>0.8</v>
      </c>
      <c r="AT14" s="463">
        <f aca="true" t="shared" si="0" ref="AT14:AT19">SUM(AH14:AS14)</f>
        <v>0.8</v>
      </c>
      <c r="AU14" s="127">
        <f aca="true" t="shared" si="1" ref="AU14:AU20">+AT14/R14</f>
        <v>0.9411764705882354</v>
      </c>
      <c r="AV14" s="548" t="s">
        <v>952</v>
      </c>
      <c r="AW14" s="549" t="s">
        <v>953</v>
      </c>
      <c r="AX14" s="535" t="s">
        <v>954</v>
      </c>
      <c r="AY14" s="535" t="s">
        <v>955</v>
      </c>
    </row>
    <row r="15" spans="1:51" ht="168.75" customHeight="1">
      <c r="A15" s="121"/>
      <c r="B15" s="121"/>
      <c r="C15" s="121"/>
      <c r="D15" s="121"/>
      <c r="E15" s="450" t="s">
        <v>425</v>
      </c>
      <c r="F15" s="121"/>
      <c r="G15" s="122" t="s">
        <v>666</v>
      </c>
      <c r="H15" s="122" t="s">
        <v>837</v>
      </c>
      <c r="I15" s="308" t="s">
        <v>674</v>
      </c>
      <c r="J15" s="308" t="s">
        <v>675</v>
      </c>
      <c r="K15" s="122" t="s">
        <v>453</v>
      </c>
      <c r="L15" s="124"/>
      <c r="M15" s="122" t="s">
        <v>431</v>
      </c>
      <c r="N15" s="122" t="s">
        <v>676</v>
      </c>
      <c r="O15" s="124"/>
      <c r="P15" s="124"/>
      <c r="Q15" s="124"/>
      <c r="R15" s="244">
        <v>1</v>
      </c>
      <c r="S15" s="124"/>
      <c r="T15" s="235" t="s">
        <v>433</v>
      </c>
      <c r="U15" s="122" t="s">
        <v>677</v>
      </c>
      <c r="V15" s="357"/>
      <c r="W15" s="357"/>
      <c r="X15" s="357">
        <v>1</v>
      </c>
      <c r="Y15" s="357"/>
      <c r="Z15" s="357"/>
      <c r="AA15" s="357">
        <v>1</v>
      </c>
      <c r="AB15" s="491"/>
      <c r="AC15" s="491"/>
      <c r="AD15" s="491">
        <v>1</v>
      </c>
      <c r="AE15" s="491"/>
      <c r="AF15" s="491"/>
      <c r="AG15" s="491">
        <v>1</v>
      </c>
      <c r="AH15" s="470"/>
      <c r="AI15" s="470"/>
      <c r="AJ15" s="468">
        <v>1</v>
      </c>
      <c r="AK15" s="470"/>
      <c r="AL15" s="470"/>
      <c r="AM15" s="468">
        <v>1</v>
      </c>
      <c r="AN15" s="470"/>
      <c r="AO15" s="470"/>
      <c r="AP15" s="469">
        <v>1</v>
      </c>
      <c r="AQ15" s="124"/>
      <c r="AR15" s="124"/>
      <c r="AS15" s="467">
        <v>1</v>
      </c>
      <c r="AT15" s="127">
        <f>+AM15</f>
        <v>1</v>
      </c>
      <c r="AU15" s="127">
        <f>+(SUM(AH15:AS15)/+SUM(V15:AG15))</f>
        <v>1</v>
      </c>
      <c r="AV15" s="490" t="s">
        <v>956</v>
      </c>
      <c r="AW15" s="490" t="s">
        <v>957</v>
      </c>
      <c r="AX15" s="411" t="s">
        <v>450</v>
      </c>
      <c r="AY15" s="550" t="s">
        <v>958</v>
      </c>
    </row>
    <row r="16" spans="1:51" ht="255" customHeight="1">
      <c r="A16" s="121"/>
      <c r="B16" s="121"/>
      <c r="C16" s="121"/>
      <c r="D16" s="121"/>
      <c r="E16" s="450" t="s">
        <v>425</v>
      </c>
      <c r="F16" s="121"/>
      <c r="G16" s="122" t="s">
        <v>666</v>
      </c>
      <c r="H16" s="122" t="s">
        <v>837</v>
      </c>
      <c r="I16" s="308" t="s">
        <v>678</v>
      </c>
      <c r="J16" s="308" t="s">
        <v>679</v>
      </c>
      <c r="K16" s="121" t="s">
        <v>430</v>
      </c>
      <c r="L16" s="124"/>
      <c r="M16" s="122" t="s">
        <v>431</v>
      </c>
      <c r="N16" s="122" t="s">
        <v>680</v>
      </c>
      <c r="O16" s="124"/>
      <c r="P16" s="124"/>
      <c r="Q16" s="124"/>
      <c r="R16" s="244">
        <v>1</v>
      </c>
      <c r="S16" s="124"/>
      <c r="T16" s="235" t="s">
        <v>433</v>
      </c>
      <c r="U16" s="122" t="s">
        <v>681</v>
      </c>
      <c r="V16" s="357"/>
      <c r="W16" s="357"/>
      <c r="X16" s="357">
        <v>0.25</v>
      </c>
      <c r="Y16" s="357"/>
      <c r="Z16" s="357"/>
      <c r="AA16" s="357">
        <v>0.25</v>
      </c>
      <c r="AB16" s="491"/>
      <c r="AC16" s="491"/>
      <c r="AD16" s="491">
        <v>0.25</v>
      </c>
      <c r="AE16" s="491"/>
      <c r="AF16" s="491"/>
      <c r="AG16" s="491">
        <v>0.25</v>
      </c>
      <c r="AH16" s="470"/>
      <c r="AI16" s="470"/>
      <c r="AJ16" s="468">
        <v>0.25</v>
      </c>
      <c r="AK16" s="470"/>
      <c r="AL16" s="470"/>
      <c r="AM16" s="468">
        <v>0.25</v>
      </c>
      <c r="AN16" s="470"/>
      <c r="AO16" s="470"/>
      <c r="AP16" s="469">
        <v>0.25</v>
      </c>
      <c r="AQ16" s="124"/>
      <c r="AR16" s="124"/>
      <c r="AS16" s="467">
        <v>0.25</v>
      </c>
      <c r="AT16" s="127">
        <f t="shared" si="0"/>
        <v>1</v>
      </c>
      <c r="AU16" s="127">
        <f>+AT16/R16</f>
        <v>1</v>
      </c>
      <c r="AV16" s="536" t="s">
        <v>959</v>
      </c>
      <c r="AW16" s="536" t="s">
        <v>960</v>
      </c>
      <c r="AX16" s="551" t="s">
        <v>961</v>
      </c>
      <c r="AY16" s="503"/>
    </row>
    <row r="17" spans="1:51" ht="168.75" customHeight="1">
      <c r="A17" s="121"/>
      <c r="B17" s="121"/>
      <c r="C17" s="121"/>
      <c r="D17" s="121"/>
      <c r="E17" s="450" t="s">
        <v>425</v>
      </c>
      <c r="F17" s="121"/>
      <c r="G17" s="122" t="s">
        <v>666</v>
      </c>
      <c r="H17" s="122" t="s">
        <v>837</v>
      </c>
      <c r="I17" s="308" t="s">
        <v>682</v>
      </c>
      <c r="J17" s="308" t="s">
        <v>683</v>
      </c>
      <c r="K17" s="121" t="s">
        <v>453</v>
      </c>
      <c r="L17" s="124"/>
      <c r="M17" s="122" t="s">
        <v>431</v>
      </c>
      <c r="N17" s="308" t="s">
        <v>684</v>
      </c>
      <c r="O17" s="124"/>
      <c r="P17" s="124"/>
      <c r="Q17" s="124"/>
      <c r="R17" s="244">
        <v>1</v>
      </c>
      <c r="S17" s="124"/>
      <c r="T17" s="235" t="s">
        <v>460</v>
      </c>
      <c r="U17" s="122" t="s">
        <v>685</v>
      </c>
      <c r="V17" s="357">
        <f>(100/100)*100%</f>
        <v>1</v>
      </c>
      <c r="W17" s="357">
        <f aca="true" t="shared" si="2" ref="W17:AG17">(100/100)*100%</f>
        <v>1</v>
      </c>
      <c r="X17" s="357">
        <f t="shared" si="2"/>
        <v>1</v>
      </c>
      <c r="Y17" s="357">
        <f t="shared" si="2"/>
        <v>1</v>
      </c>
      <c r="Z17" s="357">
        <f t="shared" si="2"/>
        <v>1</v>
      </c>
      <c r="AA17" s="357">
        <f t="shared" si="2"/>
        <v>1</v>
      </c>
      <c r="AB17" s="491">
        <f t="shared" si="2"/>
        <v>1</v>
      </c>
      <c r="AC17" s="491">
        <f t="shared" si="2"/>
        <v>1</v>
      </c>
      <c r="AD17" s="491">
        <f t="shared" si="2"/>
        <v>1</v>
      </c>
      <c r="AE17" s="491">
        <f t="shared" si="2"/>
        <v>1</v>
      </c>
      <c r="AF17" s="491">
        <f t="shared" si="2"/>
        <v>1</v>
      </c>
      <c r="AG17" s="491">
        <f t="shared" si="2"/>
        <v>1</v>
      </c>
      <c r="AH17" s="468">
        <v>0.71</v>
      </c>
      <c r="AI17" s="468">
        <v>0.8212634822804314</v>
      </c>
      <c r="AJ17" s="468">
        <v>0.823394495412844</v>
      </c>
      <c r="AK17" s="468">
        <v>0.84</v>
      </c>
      <c r="AL17" s="468">
        <v>0.7701149425287356</v>
      </c>
      <c r="AM17" s="468">
        <v>0.8154859967051071</v>
      </c>
      <c r="AN17" s="468">
        <v>0.7202680067001676</v>
      </c>
      <c r="AO17" s="468">
        <v>0.87</v>
      </c>
      <c r="AP17" s="468">
        <f>570/692</f>
        <v>0.8236994219653179</v>
      </c>
      <c r="AQ17" s="468">
        <v>0.73</v>
      </c>
      <c r="AR17" s="124"/>
      <c r="AS17" s="467">
        <v>0.87</v>
      </c>
      <c r="AT17" s="127">
        <f>AVERAGE(AH17:AS17)</f>
        <v>0.7994751223266001</v>
      </c>
      <c r="AU17" s="127">
        <f>+(SUM(AH17:AS17)/+SUM(V17:AG17))</f>
        <v>0.7328521954660502</v>
      </c>
      <c r="AV17" s="473" t="s">
        <v>962</v>
      </c>
      <c r="AW17" s="490" t="s">
        <v>963</v>
      </c>
      <c r="AX17" s="551" t="s">
        <v>964</v>
      </c>
      <c r="AY17" s="503" t="s">
        <v>965</v>
      </c>
    </row>
    <row r="18" spans="1:51" ht="168.75" customHeight="1">
      <c r="A18" s="121"/>
      <c r="B18" s="121"/>
      <c r="C18" s="121"/>
      <c r="D18" s="121"/>
      <c r="E18" s="450" t="s">
        <v>425</v>
      </c>
      <c r="F18" s="121"/>
      <c r="G18" s="122" t="s">
        <v>666</v>
      </c>
      <c r="H18" s="122" t="s">
        <v>837</v>
      </c>
      <c r="I18" s="308" t="s">
        <v>686</v>
      </c>
      <c r="J18" s="308" t="s">
        <v>687</v>
      </c>
      <c r="K18" s="121" t="s">
        <v>430</v>
      </c>
      <c r="L18" s="124"/>
      <c r="M18" s="122" t="s">
        <v>431</v>
      </c>
      <c r="N18" s="308" t="s">
        <v>688</v>
      </c>
      <c r="O18" s="124"/>
      <c r="P18" s="124"/>
      <c r="Q18" s="124"/>
      <c r="R18" s="244">
        <v>1</v>
      </c>
      <c r="S18" s="124"/>
      <c r="T18" s="235" t="s">
        <v>455</v>
      </c>
      <c r="U18" s="122" t="s">
        <v>689</v>
      </c>
      <c r="V18" s="357"/>
      <c r="W18" s="357"/>
      <c r="X18" s="357"/>
      <c r="Y18" s="357"/>
      <c r="Z18" s="357"/>
      <c r="AA18" s="357">
        <v>0.5</v>
      </c>
      <c r="AB18" s="491"/>
      <c r="AC18" s="491"/>
      <c r="AD18" s="491"/>
      <c r="AE18" s="491"/>
      <c r="AF18" s="491"/>
      <c r="AG18" s="491">
        <v>0.5</v>
      </c>
      <c r="AH18" s="470"/>
      <c r="AI18" s="470"/>
      <c r="AJ18" s="470"/>
      <c r="AK18" s="470"/>
      <c r="AL18" s="470"/>
      <c r="AM18" s="491">
        <v>0.5</v>
      </c>
      <c r="AN18" s="470"/>
      <c r="AO18" s="470"/>
      <c r="AP18" s="470"/>
      <c r="AQ18" s="124"/>
      <c r="AR18" s="124"/>
      <c r="AS18" s="467">
        <v>0.5</v>
      </c>
      <c r="AT18" s="463">
        <f t="shared" si="0"/>
        <v>1</v>
      </c>
      <c r="AU18" s="127">
        <f t="shared" si="1"/>
        <v>1</v>
      </c>
      <c r="AV18" s="472" t="s">
        <v>966</v>
      </c>
      <c r="AW18" s="536" t="s">
        <v>967</v>
      </c>
      <c r="AX18" s="411" t="s">
        <v>450</v>
      </c>
      <c r="AY18" s="411" t="s">
        <v>450</v>
      </c>
    </row>
    <row r="19" spans="1:51" ht="212.25" customHeight="1">
      <c r="A19" s="121"/>
      <c r="B19" s="121"/>
      <c r="C19" s="121"/>
      <c r="D19" s="121"/>
      <c r="E19" s="450" t="s">
        <v>425</v>
      </c>
      <c r="F19" s="121"/>
      <c r="G19" s="122" t="s">
        <v>666</v>
      </c>
      <c r="H19" s="122" t="s">
        <v>837</v>
      </c>
      <c r="I19" s="308" t="s">
        <v>690</v>
      </c>
      <c r="J19" s="308" t="s">
        <v>691</v>
      </c>
      <c r="K19" s="121" t="s">
        <v>430</v>
      </c>
      <c r="L19" s="124"/>
      <c r="M19" s="122" t="s">
        <v>431</v>
      </c>
      <c r="N19" s="308" t="s">
        <v>688</v>
      </c>
      <c r="O19" s="124"/>
      <c r="P19" s="124"/>
      <c r="Q19" s="124"/>
      <c r="R19" s="244">
        <v>1</v>
      </c>
      <c r="S19" s="124"/>
      <c r="T19" s="235" t="s">
        <v>455</v>
      </c>
      <c r="U19" s="122" t="s">
        <v>692</v>
      </c>
      <c r="V19" s="357"/>
      <c r="W19" s="357"/>
      <c r="X19" s="357"/>
      <c r="Y19" s="357"/>
      <c r="Z19" s="357"/>
      <c r="AA19" s="357">
        <v>0.5</v>
      </c>
      <c r="AB19" s="491"/>
      <c r="AC19" s="491"/>
      <c r="AD19" s="491"/>
      <c r="AE19" s="491"/>
      <c r="AF19" s="491"/>
      <c r="AG19" s="491">
        <v>0.5</v>
      </c>
      <c r="AH19" s="470"/>
      <c r="AI19" s="470"/>
      <c r="AJ19" s="470"/>
      <c r="AK19" s="470"/>
      <c r="AL19" s="470"/>
      <c r="AM19" s="491">
        <v>0.5</v>
      </c>
      <c r="AN19" s="470"/>
      <c r="AO19" s="470"/>
      <c r="AP19" s="470"/>
      <c r="AQ19" s="124"/>
      <c r="AR19" s="124"/>
      <c r="AS19" s="467">
        <v>0.5</v>
      </c>
      <c r="AT19" s="463">
        <f t="shared" si="0"/>
        <v>1</v>
      </c>
      <c r="AU19" s="127">
        <f t="shared" si="1"/>
        <v>1</v>
      </c>
      <c r="AV19" s="472" t="s">
        <v>968</v>
      </c>
      <c r="AW19" s="537" t="s">
        <v>969</v>
      </c>
      <c r="AX19" s="552" t="s">
        <v>970</v>
      </c>
      <c r="AY19" s="411" t="s">
        <v>450</v>
      </c>
    </row>
    <row r="20" spans="1:51" ht="219.75" customHeight="1">
      <c r="A20" s="121"/>
      <c r="B20" s="121"/>
      <c r="C20" s="121"/>
      <c r="D20" s="121"/>
      <c r="E20" s="450" t="s">
        <v>425</v>
      </c>
      <c r="F20" s="121"/>
      <c r="G20" s="122" t="s">
        <v>666</v>
      </c>
      <c r="H20" s="122" t="s">
        <v>837</v>
      </c>
      <c r="I20" s="308" t="s">
        <v>693</v>
      </c>
      <c r="J20" s="308" t="s">
        <v>694</v>
      </c>
      <c r="K20" s="121" t="s">
        <v>453</v>
      </c>
      <c r="L20" s="124"/>
      <c r="M20" s="122" t="s">
        <v>431</v>
      </c>
      <c r="N20" s="364" t="s">
        <v>695</v>
      </c>
      <c r="O20" s="124"/>
      <c r="P20" s="124"/>
      <c r="Q20" s="124"/>
      <c r="R20" s="244">
        <v>1</v>
      </c>
      <c r="S20" s="124"/>
      <c r="T20" s="235" t="s">
        <v>455</v>
      </c>
      <c r="U20" s="122" t="s">
        <v>696</v>
      </c>
      <c r="V20" s="357"/>
      <c r="W20" s="357"/>
      <c r="X20" s="357"/>
      <c r="Y20" s="357"/>
      <c r="Z20" s="357"/>
      <c r="AA20" s="357">
        <v>1</v>
      </c>
      <c r="AB20" s="491"/>
      <c r="AC20" s="491"/>
      <c r="AD20" s="491"/>
      <c r="AE20" s="491"/>
      <c r="AF20" s="491"/>
      <c r="AG20" s="491">
        <v>1</v>
      </c>
      <c r="AH20" s="470"/>
      <c r="AI20" s="470"/>
      <c r="AJ20" s="470"/>
      <c r="AK20" s="470"/>
      <c r="AL20" s="470"/>
      <c r="AM20" s="491">
        <v>1</v>
      </c>
      <c r="AN20" s="470"/>
      <c r="AO20" s="470"/>
      <c r="AP20" s="470"/>
      <c r="AQ20" s="124"/>
      <c r="AR20" s="124"/>
      <c r="AS20" s="467">
        <v>1</v>
      </c>
      <c r="AT20" s="463">
        <f>AVERAGE(AH20:AS20)</f>
        <v>1</v>
      </c>
      <c r="AU20" s="127">
        <f t="shared" si="1"/>
        <v>1</v>
      </c>
      <c r="AV20" s="537" t="s">
        <v>971</v>
      </c>
      <c r="AW20" s="472" t="s">
        <v>972</v>
      </c>
      <c r="AX20" s="411" t="s">
        <v>450</v>
      </c>
      <c r="AY20" s="411" t="s">
        <v>450</v>
      </c>
    </row>
    <row r="21" spans="1:51" ht="54" customHeight="1">
      <c r="A21" s="1150" t="s">
        <v>64</v>
      </c>
      <c r="B21" s="1151"/>
      <c r="C21" s="1152"/>
      <c r="D21" s="1131" t="s">
        <v>66</v>
      </c>
      <c r="E21" s="1132"/>
      <c r="F21" s="1132"/>
      <c r="G21" s="1132"/>
      <c r="H21" s="1132"/>
      <c r="I21" s="1133"/>
      <c r="J21" s="1159" t="s">
        <v>300</v>
      </c>
      <c r="K21" s="1160"/>
      <c r="L21" s="1160"/>
      <c r="M21" s="1160"/>
      <c r="N21" s="1160"/>
      <c r="O21" s="1161"/>
      <c r="P21" s="1131" t="s">
        <v>66</v>
      </c>
      <c r="Q21" s="1132"/>
      <c r="R21" s="1132"/>
      <c r="S21" s="1132"/>
      <c r="T21" s="1132"/>
      <c r="U21" s="1133"/>
      <c r="V21" s="1131" t="s">
        <v>66</v>
      </c>
      <c r="W21" s="1132"/>
      <c r="X21" s="1132"/>
      <c r="Y21" s="1132"/>
      <c r="Z21" s="1132"/>
      <c r="AA21" s="1132"/>
      <c r="AB21" s="1132"/>
      <c r="AC21" s="1133"/>
      <c r="AD21" s="1131" t="s">
        <v>66</v>
      </c>
      <c r="AE21" s="1132"/>
      <c r="AF21" s="1132"/>
      <c r="AG21" s="1132"/>
      <c r="AH21" s="1132"/>
      <c r="AI21" s="1132"/>
      <c r="AJ21" s="1132"/>
      <c r="AK21" s="1132"/>
      <c r="AL21" s="1132"/>
      <c r="AM21" s="1132"/>
      <c r="AN21" s="1132"/>
      <c r="AO21" s="1133"/>
      <c r="AP21" s="1159" t="s">
        <v>318</v>
      </c>
      <c r="AQ21" s="1160"/>
      <c r="AR21" s="1160"/>
      <c r="AS21" s="1161"/>
      <c r="AT21" s="1131" t="s">
        <v>13</v>
      </c>
      <c r="AU21" s="1132"/>
      <c r="AV21" s="1132"/>
      <c r="AW21" s="1132"/>
      <c r="AX21" s="1132"/>
      <c r="AY21" s="1133"/>
    </row>
    <row r="22" spans="1:51" ht="30" customHeight="1">
      <c r="A22" s="1153"/>
      <c r="B22" s="1154"/>
      <c r="C22" s="1155"/>
      <c r="D22" s="1131" t="s">
        <v>770</v>
      </c>
      <c r="E22" s="1132"/>
      <c r="F22" s="1132"/>
      <c r="G22" s="1132"/>
      <c r="H22" s="1132"/>
      <c r="I22" s="1133"/>
      <c r="J22" s="1162"/>
      <c r="K22" s="1163"/>
      <c r="L22" s="1163"/>
      <c r="M22" s="1163"/>
      <c r="N22" s="1163"/>
      <c r="O22" s="1164"/>
      <c r="P22" s="1131" t="s">
        <v>769</v>
      </c>
      <c r="Q22" s="1132"/>
      <c r="R22" s="1132"/>
      <c r="S22" s="1132"/>
      <c r="T22" s="1132"/>
      <c r="U22" s="1133"/>
      <c r="V22" s="1131" t="s">
        <v>65</v>
      </c>
      <c r="W22" s="1132"/>
      <c r="X22" s="1132"/>
      <c r="Y22" s="1132"/>
      <c r="Z22" s="1132"/>
      <c r="AA22" s="1132"/>
      <c r="AB22" s="1132"/>
      <c r="AC22" s="1133"/>
      <c r="AD22" s="1131" t="s">
        <v>65</v>
      </c>
      <c r="AE22" s="1132"/>
      <c r="AF22" s="1132"/>
      <c r="AG22" s="1132"/>
      <c r="AH22" s="1132"/>
      <c r="AI22" s="1132"/>
      <c r="AJ22" s="1132"/>
      <c r="AK22" s="1132"/>
      <c r="AL22" s="1132"/>
      <c r="AM22" s="1132"/>
      <c r="AN22" s="1132"/>
      <c r="AO22" s="1133"/>
      <c r="AP22" s="1162"/>
      <c r="AQ22" s="1163"/>
      <c r="AR22" s="1163"/>
      <c r="AS22" s="1164"/>
      <c r="AT22" s="1131" t="s">
        <v>769</v>
      </c>
      <c r="AU22" s="1132"/>
      <c r="AV22" s="1132"/>
      <c r="AW22" s="1132"/>
      <c r="AX22" s="1132"/>
      <c r="AY22" s="1133"/>
    </row>
    <row r="23" spans="1:51" ht="30" customHeight="1">
      <c r="A23" s="1156"/>
      <c r="B23" s="1157"/>
      <c r="C23" s="1158"/>
      <c r="D23" s="1131" t="s">
        <v>771</v>
      </c>
      <c r="E23" s="1132"/>
      <c r="F23" s="1132"/>
      <c r="G23" s="1132"/>
      <c r="H23" s="1132"/>
      <c r="I23" s="1133"/>
      <c r="J23" s="1165"/>
      <c r="K23" s="1166"/>
      <c r="L23" s="1166"/>
      <c r="M23" s="1166"/>
      <c r="N23" s="1166"/>
      <c r="O23" s="1167"/>
      <c r="P23" s="1131" t="s">
        <v>773</v>
      </c>
      <c r="Q23" s="1132"/>
      <c r="R23" s="1132"/>
      <c r="S23" s="1132"/>
      <c r="T23" s="1132"/>
      <c r="U23" s="1133"/>
      <c r="V23" s="1131" t="s">
        <v>297</v>
      </c>
      <c r="W23" s="1132"/>
      <c r="X23" s="1132"/>
      <c r="Y23" s="1132"/>
      <c r="Z23" s="1132"/>
      <c r="AA23" s="1132"/>
      <c r="AB23" s="1132"/>
      <c r="AC23" s="1133"/>
      <c r="AD23" s="1131" t="s">
        <v>297</v>
      </c>
      <c r="AE23" s="1132"/>
      <c r="AF23" s="1132"/>
      <c r="AG23" s="1132"/>
      <c r="AH23" s="1132"/>
      <c r="AI23" s="1132"/>
      <c r="AJ23" s="1132"/>
      <c r="AK23" s="1132"/>
      <c r="AL23" s="1132"/>
      <c r="AM23" s="1132"/>
      <c r="AN23" s="1132"/>
      <c r="AO23" s="1133"/>
      <c r="AP23" s="1165"/>
      <c r="AQ23" s="1166"/>
      <c r="AR23" s="1166"/>
      <c r="AS23" s="1167"/>
      <c r="AT23" s="1131" t="s">
        <v>75</v>
      </c>
      <c r="AU23" s="1132"/>
      <c r="AV23" s="1132"/>
      <c r="AW23" s="1132"/>
      <c r="AX23" s="1132"/>
      <c r="AY23" s="1133"/>
    </row>
  </sheetData>
  <sheetProtection/>
  <mergeCells count="56">
    <mergeCell ref="AX4:AY4"/>
    <mergeCell ref="AX3:AY3"/>
    <mergeCell ref="A3:AW4"/>
    <mergeCell ref="AX2:AY2"/>
    <mergeCell ref="A2:AW2"/>
    <mergeCell ref="D23:I23"/>
    <mergeCell ref="P23:U23"/>
    <mergeCell ref="V23:AC23"/>
    <mergeCell ref="AD23:AO23"/>
    <mergeCell ref="AT23:AY23"/>
    <mergeCell ref="AT21:AY21"/>
    <mergeCell ref="D22:I22"/>
    <mergeCell ref="P22:U22"/>
    <mergeCell ref="V22:AC22"/>
    <mergeCell ref="AD22:AO22"/>
    <mergeCell ref="AT22:AY22"/>
    <mergeCell ref="AH11:AS11"/>
    <mergeCell ref="AT11:AU11"/>
    <mergeCell ref="A21:C23"/>
    <mergeCell ref="D21:I21"/>
    <mergeCell ref="J21:O23"/>
    <mergeCell ref="P21:U21"/>
    <mergeCell ref="V21:AC21"/>
    <mergeCell ref="AD21:AO21"/>
    <mergeCell ref="AP21:AS23"/>
    <mergeCell ref="M11:M12"/>
    <mergeCell ref="A9:C9"/>
    <mergeCell ref="D9:AG9"/>
    <mergeCell ref="A10:C10"/>
    <mergeCell ref="D10:AG10"/>
    <mergeCell ref="N11:N12"/>
    <mergeCell ref="O11:S11"/>
    <mergeCell ref="T11:T12"/>
    <mergeCell ref="U11:U12"/>
    <mergeCell ref="V11:AG11"/>
    <mergeCell ref="A11:F11"/>
    <mergeCell ref="F6:G8"/>
    <mergeCell ref="H6:I6"/>
    <mergeCell ref="L11:L12"/>
    <mergeCell ref="K6:U8"/>
    <mergeCell ref="H7:I7"/>
    <mergeCell ref="H8:I8"/>
    <mergeCell ref="G11:H11"/>
    <mergeCell ref="I11:I12"/>
    <mergeCell ref="J11:J12"/>
    <mergeCell ref="K11:K12"/>
    <mergeCell ref="A1:AW1"/>
    <mergeCell ref="AX1:AY1"/>
    <mergeCell ref="A5:AG5"/>
    <mergeCell ref="AH5:AU10"/>
    <mergeCell ref="AV5:AV12"/>
    <mergeCell ref="AW5:AW12"/>
    <mergeCell ref="AX5:AX12"/>
    <mergeCell ref="AY5:AY12"/>
    <mergeCell ref="A6:C8"/>
    <mergeCell ref="D6:E8"/>
  </mergeCells>
  <printOptions/>
  <pageMargins left="0.7" right="0.7" top="0.75" bottom="0.75" header="0.3" footer="0.3"/>
  <pageSetup fitToHeight="1" fitToWidth="1" horizontalDpi="600" verticalDpi="600" orientation="landscape" scale="15" r:id="rId4"/>
  <drawing r:id="rId3"/>
  <legacyDrawing r:id="rId2"/>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AY21"/>
  <sheetViews>
    <sheetView view="pageBreakPreview" zoomScale="60" zoomScaleNormal="55" zoomScalePageLayoutView="0" workbookViewId="0" topLeftCell="AE14">
      <selection activeCell="AX13" sqref="AX13"/>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7109375" style="113" customWidth="1"/>
    <col min="24" max="24" width="7.7109375" style="305" customWidth="1"/>
    <col min="25" max="26" width="7.7109375" style="131" customWidth="1"/>
    <col min="27" max="27" width="7.7109375" style="305" customWidth="1"/>
    <col min="28" max="29" width="7.7109375" style="131" customWidth="1"/>
    <col min="30" max="30" width="7.7109375" style="305" customWidth="1"/>
    <col min="31" max="32" width="7.7109375" style="131" customWidth="1"/>
    <col min="33" max="33" width="7.7109375" style="305" customWidth="1"/>
    <col min="34" max="38" width="7.7109375" style="113" customWidth="1"/>
    <col min="39" max="39" width="7.7109375" style="131" customWidth="1"/>
    <col min="40" max="44" width="7.7109375" style="113" customWidth="1"/>
    <col min="45" max="45" width="7.7109375" style="217" customWidth="1"/>
    <col min="46" max="46" width="17.7109375" style="113" customWidth="1"/>
    <col min="47" max="47" width="14.140625" style="217" bestFit="1" customWidth="1"/>
    <col min="48" max="48" width="93.8515625" style="113" customWidth="1"/>
    <col min="49" max="49" width="107.7109375" style="113" customWidth="1"/>
    <col min="50" max="51" width="36.14062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423</v>
      </c>
      <c r="AY1" s="1147"/>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424</v>
      </c>
      <c r="AY3" s="1193"/>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780</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89">
        <v>45300</v>
      </c>
      <c r="E6" s="890"/>
      <c r="F6" s="830" t="s">
        <v>67</v>
      </c>
      <c r="G6" s="832"/>
      <c r="H6" s="1192" t="s">
        <v>70</v>
      </c>
      <c r="I6" s="1192"/>
      <c r="J6" s="121"/>
      <c r="K6" s="830"/>
      <c r="L6" s="831"/>
      <c r="M6" s="831"/>
      <c r="N6" s="831"/>
      <c r="O6" s="831"/>
      <c r="P6" s="831"/>
      <c r="Q6" s="831"/>
      <c r="R6" s="831"/>
      <c r="S6" s="831"/>
      <c r="T6" s="831"/>
      <c r="U6" s="831"/>
      <c r="V6" s="114"/>
      <c r="W6" s="114"/>
      <c r="X6" s="295"/>
      <c r="Y6" s="226"/>
      <c r="Z6" s="226"/>
      <c r="AA6" s="295"/>
      <c r="AB6" s="226"/>
      <c r="AC6" s="226"/>
      <c r="AD6" s="295"/>
      <c r="AE6" s="226"/>
      <c r="AF6" s="226"/>
      <c r="AG6" s="296"/>
      <c r="AH6" s="833"/>
      <c r="AI6" s="1191"/>
      <c r="AJ6" s="1191"/>
      <c r="AK6" s="1191"/>
      <c r="AL6" s="1191"/>
      <c r="AM6" s="1191"/>
      <c r="AN6" s="1191"/>
      <c r="AO6" s="1191"/>
      <c r="AP6" s="1191"/>
      <c r="AQ6" s="1191"/>
      <c r="AR6" s="1191"/>
      <c r="AS6" s="1191"/>
      <c r="AT6" s="1191"/>
      <c r="AU6" s="835"/>
      <c r="AV6" s="828"/>
      <c r="AW6" s="828"/>
      <c r="AX6" s="828"/>
      <c r="AY6" s="828"/>
    </row>
    <row r="7" spans="1:51" ht="15" customHeight="1">
      <c r="A7" s="839"/>
      <c r="B7" s="839"/>
      <c r="C7" s="839"/>
      <c r="D7" s="891"/>
      <c r="E7" s="892"/>
      <c r="F7" s="833"/>
      <c r="G7" s="835"/>
      <c r="H7" s="1192" t="s">
        <v>68</v>
      </c>
      <c r="I7" s="1192"/>
      <c r="J7" s="121"/>
      <c r="K7" s="833"/>
      <c r="L7" s="1191"/>
      <c r="M7" s="1191"/>
      <c r="N7" s="1191"/>
      <c r="O7" s="1191"/>
      <c r="P7" s="1191"/>
      <c r="Q7" s="1191"/>
      <c r="R7" s="1191"/>
      <c r="S7" s="1191"/>
      <c r="T7" s="1191"/>
      <c r="U7" s="1191"/>
      <c r="V7" s="231"/>
      <c r="W7" s="231"/>
      <c r="X7" s="297"/>
      <c r="Y7" s="298"/>
      <c r="Z7" s="298"/>
      <c r="AA7" s="297"/>
      <c r="AB7" s="298"/>
      <c r="AC7" s="298"/>
      <c r="AD7" s="297"/>
      <c r="AE7" s="298"/>
      <c r="AF7" s="298"/>
      <c r="AG7" s="299"/>
      <c r="AH7" s="833"/>
      <c r="AI7" s="1191"/>
      <c r="AJ7" s="1191"/>
      <c r="AK7" s="1191"/>
      <c r="AL7" s="1191"/>
      <c r="AM7" s="1191"/>
      <c r="AN7" s="1191"/>
      <c r="AO7" s="1191"/>
      <c r="AP7" s="1191"/>
      <c r="AQ7" s="1191"/>
      <c r="AR7" s="1191"/>
      <c r="AS7" s="1191"/>
      <c r="AT7" s="1191"/>
      <c r="AU7" s="835"/>
      <c r="AV7" s="828"/>
      <c r="AW7" s="828"/>
      <c r="AX7" s="828"/>
      <c r="AY7" s="828"/>
    </row>
    <row r="8" spans="1:51" ht="15" customHeight="1">
      <c r="A8" s="839"/>
      <c r="B8" s="839"/>
      <c r="C8" s="839"/>
      <c r="D8" s="893"/>
      <c r="E8" s="894"/>
      <c r="F8" s="836"/>
      <c r="G8" s="838"/>
      <c r="H8" s="1192" t="s">
        <v>69</v>
      </c>
      <c r="I8" s="1192"/>
      <c r="J8" s="121" t="s">
        <v>425</v>
      </c>
      <c r="K8" s="836"/>
      <c r="L8" s="837"/>
      <c r="M8" s="837"/>
      <c r="N8" s="837"/>
      <c r="O8" s="837"/>
      <c r="P8" s="837"/>
      <c r="Q8" s="837"/>
      <c r="R8" s="837"/>
      <c r="S8" s="837"/>
      <c r="T8" s="837"/>
      <c r="U8" s="837"/>
      <c r="V8" s="118"/>
      <c r="W8" s="118"/>
      <c r="X8" s="300"/>
      <c r="Y8" s="227"/>
      <c r="Z8" s="227"/>
      <c r="AA8" s="300"/>
      <c r="AB8" s="227"/>
      <c r="AC8" s="227"/>
      <c r="AD8" s="300"/>
      <c r="AE8" s="227"/>
      <c r="AF8" s="227"/>
      <c r="AG8" s="301"/>
      <c r="AH8" s="833"/>
      <c r="AI8" s="1191"/>
      <c r="AJ8" s="1191"/>
      <c r="AK8" s="1191"/>
      <c r="AL8" s="1191"/>
      <c r="AM8" s="1191"/>
      <c r="AN8" s="1191"/>
      <c r="AO8" s="1191"/>
      <c r="AP8" s="1191"/>
      <c r="AQ8" s="1191"/>
      <c r="AR8" s="1191"/>
      <c r="AS8" s="1191"/>
      <c r="AT8" s="1191"/>
      <c r="AU8" s="835"/>
      <c r="AV8" s="828"/>
      <c r="AW8" s="828"/>
      <c r="AX8" s="828"/>
      <c r="AY8" s="828"/>
    </row>
    <row r="9" spans="1:51" ht="15" customHeight="1">
      <c r="A9" s="841" t="s">
        <v>399</v>
      </c>
      <c r="B9" s="842"/>
      <c r="C9" s="843"/>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1191"/>
      <c r="AJ9" s="1191"/>
      <c r="AK9" s="1191"/>
      <c r="AL9" s="1191"/>
      <c r="AM9" s="1191"/>
      <c r="AN9" s="1191"/>
      <c r="AO9" s="1191"/>
      <c r="AP9" s="1191"/>
      <c r="AQ9" s="1191"/>
      <c r="AR9" s="1191"/>
      <c r="AS9" s="1191"/>
      <c r="AT9" s="1191"/>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37.5" customHeight="1">
      <c r="A12" s="120" t="s">
        <v>169</v>
      </c>
      <c r="B12" s="120" t="s">
        <v>170</v>
      </c>
      <c r="C12" s="120" t="s">
        <v>171</v>
      </c>
      <c r="D12" s="120" t="s">
        <v>178</v>
      </c>
      <c r="E12" s="120" t="s">
        <v>185</v>
      </c>
      <c r="F12" s="120" t="s">
        <v>186</v>
      </c>
      <c r="G12" s="120" t="s">
        <v>277</v>
      </c>
      <c r="H12" s="120" t="s">
        <v>184</v>
      </c>
      <c r="I12" s="821"/>
      <c r="J12" s="821"/>
      <c r="K12" s="821"/>
      <c r="L12" s="821"/>
      <c r="M12" s="821"/>
      <c r="N12" s="821"/>
      <c r="O12" s="120">
        <v>2020</v>
      </c>
      <c r="P12" s="120">
        <v>2021</v>
      </c>
      <c r="Q12" s="120">
        <v>2022</v>
      </c>
      <c r="R12" s="120">
        <v>2023</v>
      </c>
      <c r="S12" s="120">
        <v>2024</v>
      </c>
      <c r="T12" s="821"/>
      <c r="U12" s="821"/>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461" t="s">
        <v>44</v>
      </c>
      <c r="AN12" s="229" t="s">
        <v>45</v>
      </c>
      <c r="AO12" s="229" t="s">
        <v>46</v>
      </c>
      <c r="AP12" s="229" t="s">
        <v>47</v>
      </c>
      <c r="AQ12" s="229" t="s">
        <v>48</v>
      </c>
      <c r="AR12" s="229" t="s">
        <v>49</v>
      </c>
      <c r="AS12" s="302" t="s">
        <v>50</v>
      </c>
      <c r="AT12" s="120" t="s">
        <v>413</v>
      </c>
      <c r="AU12" s="216" t="s">
        <v>88</v>
      </c>
      <c r="AV12" s="821"/>
      <c r="AW12" s="821"/>
      <c r="AX12" s="821"/>
      <c r="AY12" s="821"/>
    </row>
    <row r="13" spans="1:51" ht="409.5" customHeight="1">
      <c r="A13" s="121"/>
      <c r="B13" s="121"/>
      <c r="C13" s="121"/>
      <c r="D13" s="121"/>
      <c r="E13" s="121" t="s">
        <v>425</v>
      </c>
      <c r="F13" s="121"/>
      <c r="G13" s="122" t="s">
        <v>534</v>
      </c>
      <c r="H13" s="122" t="s">
        <v>839</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464"/>
      <c r="AD13" s="244">
        <v>0.3</v>
      </c>
      <c r="AE13" s="464"/>
      <c r="AF13" s="464"/>
      <c r="AG13" s="244">
        <v>0.27</v>
      </c>
      <c r="AH13" s="470"/>
      <c r="AI13" s="470"/>
      <c r="AJ13" s="244">
        <v>0.07</v>
      </c>
      <c r="AK13" s="470"/>
      <c r="AL13" s="470"/>
      <c r="AM13" s="244">
        <v>0.26</v>
      </c>
      <c r="AN13" s="470"/>
      <c r="AO13" s="470"/>
      <c r="AP13" s="451">
        <v>0.29</v>
      </c>
      <c r="AQ13" s="124"/>
      <c r="AR13" s="124"/>
      <c r="AS13" s="463">
        <v>0.38</v>
      </c>
      <c r="AT13" s="451">
        <f>SUM(AH13:AS13)</f>
        <v>1</v>
      </c>
      <c r="AU13" s="304">
        <f>+AT13/R13</f>
        <v>1.1111111111111112</v>
      </c>
      <c r="AV13" s="544" t="s">
        <v>911</v>
      </c>
      <c r="AW13" s="544" t="s">
        <v>912</v>
      </c>
      <c r="AX13" s="543" t="s">
        <v>480</v>
      </c>
      <c r="AY13" s="543" t="s">
        <v>480</v>
      </c>
    </row>
    <row r="14" spans="1:51" ht="277.5" customHeight="1">
      <c r="A14" s="1175"/>
      <c r="B14" s="1175"/>
      <c r="C14" s="1175"/>
      <c r="D14" s="1175"/>
      <c r="E14" s="1175" t="s">
        <v>425</v>
      </c>
      <c r="F14" s="1175"/>
      <c r="G14" s="1175" t="s">
        <v>534</v>
      </c>
      <c r="H14" s="1175" t="s">
        <v>540</v>
      </c>
      <c r="I14" s="1175" t="s">
        <v>541</v>
      </c>
      <c r="J14" s="1175" t="s">
        <v>542</v>
      </c>
      <c r="K14" s="1175" t="s">
        <v>522</v>
      </c>
      <c r="L14" s="1175" t="s">
        <v>480</v>
      </c>
      <c r="M14" s="1175" t="s">
        <v>431</v>
      </c>
      <c r="N14" s="1175" t="s">
        <v>543</v>
      </c>
      <c r="O14" s="1175"/>
      <c r="P14" s="1175"/>
      <c r="Q14" s="1175"/>
      <c r="R14" s="1179">
        <v>0.9</v>
      </c>
      <c r="S14" s="1175"/>
      <c r="T14" s="1175" t="s">
        <v>538</v>
      </c>
      <c r="U14" s="1175" t="s">
        <v>539</v>
      </c>
      <c r="V14" s="1181"/>
      <c r="W14" s="1181"/>
      <c r="X14" s="1181">
        <v>0.2</v>
      </c>
      <c r="Y14" s="1181"/>
      <c r="Z14" s="1181"/>
      <c r="AA14" s="1181">
        <v>0.35</v>
      </c>
      <c r="AB14" s="1181"/>
      <c r="AC14" s="1183"/>
      <c r="AD14" s="1183">
        <v>0.25</v>
      </c>
      <c r="AE14" s="1183"/>
      <c r="AF14" s="1183"/>
      <c r="AG14" s="1183">
        <v>0.1</v>
      </c>
      <c r="AH14" s="1183"/>
      <c r="AI14" s="1183"/>
      <c r="AJ14" s="1183">
        <v>0.2</v>
      </c>
      <c r="AK14" s="1183"/>
      <c r="AL14" s="1183"/>
      <c r="AM14" s="1183">
        <v>0.34</v>
      </c>
      <c r="AN14" s="1183"/>
      <c r="AO14" s="1183"/>
      <c r="AP14" s="1183">
        <v>0.26</v>
      </c>
      <c r="AQ14" s="1181"/>
      <c r="AR14" s="1181"/>
      <c r="AS14" s="1181">
        <v>0.2</v>
      </c>
      <c r="AT14" s="1181">
        <f>SUM(AH14:AS14)</f>
        <v>1</v>
      </c>
      <c r="AU14" s="1181">
        <f>+AT14/R14</f>
        <v>1.1111111111111112</v>
      </c>
      <c r="AV14" s="1185" t="s">
        <v>913</v>
      </c>
      <c r="AW14" s="1185" t="s">
        <v>914</v>
      </c>
      <c r="AX14" s="1187" t="s">
        <v>480</v>
      </c>
      <c r="AY14" s="1187" t="s">
        <v>480</v>
      </c>
    </row>
    <row r="15" spans="1:51" ht="409.5" customHeight="1">
      <c r="A15" s="1176"/>
      <c r="B15" s="1176"/>
      <c r="C15" s="1176"/>
      <c r="D15" s="1176"/>
      <c r="E15" s="1176"/>
      <c r="F15" s="1176"/>
      <c r="G15" s="1176"/>
      <c r="H15" s="1176"/>
      <c r="I15" s="1176"/>
      <c r="J15" s="1176"/>
      <c r="K15" s="1176"/>
      <c r="L15" s="1176"/>
      <c r="M15" s="1176"/>
      <c r="N15" s="1176"/>
      <c r="O15" s="1176"/>
      <c r="P15" s="1176"/>
      <c r="Q15" s="1176"/>
      <c r="R15" s="1180"/>
      <c r="S15" s="1176"/>
      <c r="T15" s="1176"/>
      <c r="U15" s="1176"/>
      <c r="V15" s="1182"/>
      <c r="W15" s="1182"/>
      <c r="X15" s="1182"/>
      <c r="Y15" s="1182"/>
      <c r="Z15" s="1182"/>
      <c r="AA15" s="1182"/>
      <c r="AB15" s="1182"/>
      <c r="AC15" s="1184"/>
      <c r="AD15" s="1184"/>
      <c r="AE15" s="1184"/>
      <c r="AF15" s="1184"/>
      <c r="AG15" s="1184"/>
      <c r="AH15" s="1184"/>
      <c r="AI15" s="1184"/>
      <c r="AJ15" s="1184"/>
      <c r="AK15" s="1184"/>
      <c r="AL15" s="1184"/>
      <c r="AM15" s="1184"/>
      <c r="AN15" s="1184"/>
      <c r="AO15" s="1184"/>
      <c r="AP15" s="1184"/>
      <c r="AQ15" s="1182"/>
      <c r="AR15" s="1182"/>
      <c r="AS15" s="1182"/>
      <c r="AT15" s="1182"/>
      <c r="AU15" s="1182"/>
      <c r="AV15" s="1189"/>
      <c r="AW15" s="1189"/>
      <c r="AX15" s="1190"/>
      <c r="AY15" s="1190"/>
    </row>
    <row r="16" spans="1:51" ht="264.75" customHeight="1">
      <c r="A16" s="1175"/>
      <c r="B16" s="1175"/>
      <c r="C16" s="1175"/>
      <c r="D16" s="1175"/>
      <c r="E16" s="1175" t="s">
        <v>425</v>
      </c>
      <c r="F16" s="1175"/>
      <c r="G16" s="1175" t="s">
        <v>534</v>
      </c>
      <c r="H16" s="1175" t="s">
        <v>544</v>
      </c>
      <c r="I16" s="1175" t="s">
        <v>545</v>
      </c>
      <c r="J16" s="1175" t="s">
        <v>546</v>
      </c>
      <c r="K16" s="1175" t="s">
        <v>522</v>
      </c>
      <c r="L16" s="1175" t="s">
        <v>480</v>
      </c>
      <c r="M16" s="1175" t="s">
        <v>431</v>
      </c>
      <c r="N16" s="1175" t="s">
        <v>547</v>
      </c>
      <c r="O16" s="1175"/>
      <c r="P16" s="1175"/>
      <c r="Q16" s="1175"/>
      <c r="R16" s="1179">
        <v>0.9</v>
      </c>
      <c r="S16" s="1175"/>
      <c r="T16" s="1177" t="s">
        <v>538</v>
      </c>
      <c r="U16" s="1175" t="s">
        <v>539</v>
      </c>
      <c r="V16" s="1181"/>
      <c r="W16" s="1181"/>
      <c r="X16" s="1181">
        <v>0.17</v>
      </c>
      <c r="Y16" s="1181"/>
      <c r="Z16" s="1181"/>
      <c r="AA16" s="1181">
        <v>0.25</v>
      </c>
      <c r="AB16" s="1181"/>
      <c r="AC16" s="1183"/>
      <c r="AD16" s="1183">
        <v>0.28</v>
      </c>
      <c r="AE16" s="1183"/>
      <c r="AF16" s="1183"/>
      <c r="AG16" s="1183">
        <v>0.2</v>
      </c>
      <c r="AH16" s="1183"/>
      <c r="AI16" s="1183"/>
      <c r="AJ16" s="1183">
        <v>0.16</v>
      </c>
      <c r="AK16" s="1183"/>
      <c r="AL16" s="1183"/>
      <c r="AM16" s="1183">
        <v>0.24</v>
      </c>
      <c r="AN16" s="1183"/>
      <c r="AO16" s="1183"/>
      <c r="AP16" s="1181">
        <v>0.27</v>
      </c>
      <c r="AQ16" s="1181"/>
      <c r="AR16" s="1181"/>
      <c r="AS16" s="1181">
        <v>0.33</v>
      </c>
      <c r="AT16" s="1181">
        <f>SUM(AH16:AS16)</f>
        <v>1</v>
      </c>
      <c r="AU16" s="1181">
        <f>+AT16/R16</f>
        <v>1.1111111111111112</v>
      </c>
      <c r="AV16" s="1185" t="s">
        <v>915</v>
      </c>
      <c r="AW16" s="1185" t="s">
        <v>916</v>
      </c>
      <c r="AX16" s="1187" t="s">
        <v>480</v>
      </c>
      <c r="AY16" s="1187" t="s">
        <v>480</v>
      </c>
    </row>
    <row r="17" spans="1:51" ht="303.75" customHeight="1">
      <c r="A17" s="1176"/>
      <c r="B17" s="1176"/>
      <c r="C17" s="1176"/>
      <c r="D17" s="1176"/>
      <c r="E17" s="1176"/>
      <c r="F17" s="1176"/>
      <c r="G17" s="1176"/>
      <c r="H17" s="1176"/>
      <c r="I17" s="1176"/>
      <c r="J17" s="1176"/>
      <c r="K17" s="1176"/>
      <c r="L17" s="1176"/>
      <c r="M17" s="1176"/>
      <c r="N17" s="1176"/>
      <c r="O17" s="1176"/>
      <c r="P17" s="1176"/>
      <c r="Q17" s="1176"/>
      <c r="R17" s="1180"/>
      <c r="S17" s="1176"/>
      <c r="T17" s="1178"/>
      <c r="U17" s="1176"/>
      <c r="V17" s="1182"/>
      <c r="W17" s="1182"/>
      <c r="X17" s="1182"/>
      <c r="Y17" s="1182"/>
      <c r="Z17" s="1182"/>
      <c r="AA17" s="1182"/>
      <c r="AB17" s="1182"/>
      <c r="AC17" s="1184"/>
      <c r="AD17" s="1184"/>
      <c r="AE17" s="1184"/>
      <c r="AF17" s="1184"/>
      <c r="AG17" s="1184"/>
      <c r="AH17" s="1184"/>
      <c r="AI17" s="1184"/>
      <c r="AJ17" s="1184"/>
      <c r="AK17" s="1184"/>
      <c r="AL17" s="1184"/>
      <c r="AM17" s="1184"/>
      <c r="AN17" s="1184"/>
      <c r="AO17" s="1184"/>
      <c r="AP17" s="1182"/>
      <c r="AQ17" s="1182"/>
      <c r="AR17" s="1182"/>
      <c r="AS17" s="1182"/>
      <c r="AT17" s="1182"/>
      <c r="AU17" s="1182"/>
      <c r="AV17" s="1186"/>
      <c r="AW17" s="1186"/>
      <c r="AX17" s="1188"/>
      <c r="AY17" s="1188"/>
    </row>
    <row r="18" spans="1:51" ht="409.5" customHeight="1">
      <c r="A18" s="121"/>
      <c r="B18" s="121"/>
      <c r="C18" s="121"/>
      <c r="D18" s="121"/>
      <c r="E18" s="450" t="s">
        <v>425</v>
      </c>
      <c r="F18" s="121"/>
      <c r="G18" s="122" t="s">
        <v>534</v>
      </c>
      <c r="H18" s="122" t="s">
        <v>840</v>
      </c>
      <c r="I18" s="122" t="s">
        <v>548</v>
      </c>
      <c r="J18" s="122" t="s">
        <v>549</v>
      </c>
      <c r="K18" s="121" t="s">
        <v>522</v>
      </c>
      <c r="L18" s="121" t="s">
        <v>480</v>
      </c>
      <c r="M18" s="121" t="s">
        <v>431</v>
      </c>
      <c r="N18" s="122" t="s">
        <v>550</v>
      </c>
      <c r="O18" s="124"/>
      <c r="P18" s="124"/>
      <c r="Q18" s="124"/>
      <c r="R18" s="293">
        <v>1</v>
      </c>
      <c r="S18" s="124"/>
      <c r="T18" s="121" t="s">
        <v>551</v>
      </c>
      <c r="U18" s="303" t="s">
        <v>552</v>
      </c>
      <c r="V18" s="304"/>
      <c r="W18" s="304"/>
      <c r="X18" s="304"/>
      <c r="Y18" s="304">
        <v>0.3</v>
      </c>
      <c r="Z18" s="304"/>
      <c r="AA18" s="304"/>
      <c r="AB18" s="304"/>
      <c r="AC18" s="244">
        <v>0.2</v>
      </c>
      <c r="AD18" s="244"/>
      <c r="AE18" s="244"/>
      <c r="AF18" s="244"/>
      <c r="AG18" s="244">
        <v>0.5</v>
      </c>
      <c r="AH18" s="244"/>
      <c r="AI18" s="244"/>
      <c r="AJ18" s="244"/>
      <c r="AK18" s="244">
        <v>0.3</v>
      </c>
      <c r="AL18" s="244"/>
      <c r="AM18" s="244"/>
      <c r="AN18" s="244"/>
      <c r="AO18" s="244">
        <v>0.2</v>
      </c>
      <c r="AP18" s="451"/>
      <c r="AQ18" s="304"/>
      <c r="AR18" s="304"/>
      <c r="AS18" s="463">
        <v>0.5</v>
      </c>
      <c r="AT18" s="451">
        <f>SUM(AH18:AS18)</f>
        <v>1</v>
      </c>
      <c r="AU18" s="304">
        <f>+AT18/R18</f>
        <v>1</v>
      </c>
      <c r="AV18" s="542" t="s">
        <v>917</v>
      </c>
      <c r="AW18" s="542" t="s">
        <v>918</v>
      </c>
      <c r="AX18" s="545" t="s">
        <v>480</v>
      </c>
      <c r="AY18" s="545" t="s">
        <v>480</v>
      </c>
    </row>
    <row r="19" spans="1:51" ht="54" customHeight="1">
      <c r="A19" s="823" t="s">
        <v>64</v>
      </c>
      <c r="B19" s="823"/>
      <c r="C19" s="823"/>
      <c r="D19" s="819" t="s">
        <v>66</v>
      </c>
      <c r="E19" s="819"/>
      <c r="F19" s="819"/>
      <c r="G19" s="819"/>
      <c r="H19" s="819"/>
      <c r="I19" s="819"/>
      <c r="J19" s="824" t="s">
        <v>300</v>
      </c>
      <c r="K19" s="824"/>
      <c r="L19" s="824"/>
      <c r="M19" s="824"/>
      <c r="N19" s="824"/>
      <c r="O19" s="824"/>
      <c r="P19" s="819" t="s">
        <v>66</v>
      </c>
      <c r="Q19" s="819"/>
      <c r="R19" s="819"/>
      <c r="S19" s="819"/>
      <c r="T19" s="819"/>
      <c r="U19" s="819"/>
      <c r="V19" s="819" t="s">
        <v>66</v>
      </c>
      <c r="W19" s="819"/>
      <c r="X19" s="819"/>
      <c r="Y19" s="819"/>
      <c r="Z19" s="819"/>
      <c r="AA19" s="819"/>
      <c r="AB19" s="819"/>
      <c r="AC19" s="819"/>
      <c r="AD19" s="819" t="s">
        <v>66</v>
      </c>
      <c r="AE19" s="819"/>
      <c r="AF19" s="819"/>
      <c r="AG19" s="819"/>
      <c r="AH19" s="819"/>
      <c r="AI19" s="819"/>
      <c r="AJ19" s="819"/>
      <c r="AK19" s="819"/>
      <c r="AL19" s="819"/>
      <c r="AM19" s="819"/>
      <c r="AN19" s="819"/>
      <c r="AO19" s="819"/>
      <c r="AP19" s="824" t="s">
        <v>318</v>
      </c>
      <c r="AQ19" s="824"/>
      <c r="AR19" s="824"/>
      <c r="AS19" s="824"/>
      <c r="AT19" s="819" t="s">
        <v>13</v>
      </c>
      <c r="AU19" s="819"/>
      <c r="AV19" s="819"/>
      <c r="AW19" s="819"/>
      <c r="AX19" s="819"/>
      <c r="AY19" s="819"/>
    </row>
    <row r="20" spans="1:51" ht="30" customHeight="1">
      <c r="A20" s="823"/>
      <c r="B20" s="823"/>
      <c r="C20" s="823"/>
      <c r="D20" s="819" t="s">
        <v>843</v>
      </c>
      <c r="E20" s="819"/>
      <c r="F20" s="819"/>
      <c r="G20" s="819"/>
      <c r="H20" s="819"/>
      <c r="I20" s="819"/>
      <c r="J20" s="824"/>
      <c r="K20" s="824"/>
      <c r="L20" s="824"/>
      <c r="M20" s="824"/>
      <c r="N20" s="824"/>
      <c r="O20" s="824"/>
      <c r="P20" s="819" t="s">
        <v>810</v>
      </c>
      <c r="Q20" s="819"/>
      <c r="R20" s="819"/>
      <c r="S20" s="819"/>
      <c r="T20" s="819"/>
      <c r="U20" s="819"/>
      <c r="V20" s="819" t="s">
        <v>65</v>
      </c>
      <c r="W20" s="819"/>
      <c r="X20" s="819"/>
      <c r="Y20" s="819"/>
      <c r="Z20" s="819"/>
      <c r="AA20" s="819"/>
      <c r="AB20" s="819"/>
      <c r="AC20" s="819"/>
      <c r="AD20" s="819" t="s">
        <v>65</v>
      </c>
      <c r="AE20" s="819"/>
      <c r="AF20" s="819"/>
      <c r="AG20" s="819"/>
      <c r="AH20" s="819"/>
      <c r="AI20" s="819"/>
      <c r="AJ20" s="819"/>
      <c r="AK20" s="819"/>
      <c r="AL20" s="819"/>
      <c r="AM20" s="819"/>
      <c r="AN20" s="819"/>
      <c r="AO20" s="819"/>
      <c r="AP20" s="824"/>
      <c r="AQ20" s="824"/>
      <c r="AR20" s="824"/>
      <c r="AS20" s="824"/>
      <c r="AT20" s="819" t="s">
        <v>769</v>
      </c>
      <c r="AU20" s="819"/>
      <c r="AV20" s="819"/>
      <c r="AW20" s="819"/>
      <c r="AX20" s="819"/>
      <c r="AY20" s="819"/>
    </row>
    <row r="21" spans="1:51" ht="30" customHeight="1">
      <c r="A21" s="823"/>
      <c r="B21" s="823"/>
      <c r="C21" s="823"/>
      <c r="D21" s="819" t="s">
        <v>844</v>
      </c>
      <c r="E21" s="819"/>
      <c r="F21" s="819"/>
      <c r="G21" s="819"/>
      <c r="H21" s="819"/>
      <c r="I21" s="819"/>
      <c r="J21" s="824"/>
      <c r="K21" s="824"/>
      <c r="L21" s="824"/>
      <c r="M21" s="824"/>
      <c r="N21" s="824"/>
      <c r="O21" s="824"/>
      <c r="P21" s="819" t="s">
        <v>811</v>
      </c>
      <c r="Q21" s="819"/>
      <c r="R21" s="819"/>
      <c r="S21" s="819"/>
      <c r="T21" s="819"/>
      <c r="U21" s="819"/>
      <c r="V21" s="819" t="s">
        <v>297</v>
      </c>
      <c r="W21" s="819"/>
      <c r="X21" s="819"/>
      <c r="Y21" s="819"/>
      <c r="Z21" s="819"/>
      <c r="AA21" s="819"/>
      <c r="AB21" s="819"/>
      <c r="AC21" s="819"/>
      <c r="AD21" s="819" t="s">
        <v>297</v>
      </c>
      <c r="AE21" s="819"/>
      <c r="AF21" s="819"/>
      <c r="AG21" s="819"/>
      <c r="AH21" s="819"/>
      <c r="AI21" s="819"/>
      <c r="AJ21" s="819"/>
      <c r="AK21" s="819"/>
      <c r="AL21" s="819"/>
      <c r="AM21" s="819"/>
      <c r="AN21" s="819"/>
      <c r="AO21" s="819"/>
      <c r="AP21" s="824"/>
      <c r="AQ21" s="824"/>
      <c r="AR21" s="824"/>
      <c r="AS21" s="824"/>
      <c r="AT21" s="819" t="s">
        <v>75</v>
      </c>
      <c r="AU21" s="819"/>
      <c r="AV21" s="819"/>
      <c r="AW21" s="819"/>
      <c r="AX21" s="819"/>
      <c r="AY21" s="819"/>
    </row>
  </sheetData>
  <sheetProtection/>
  <mergeCells count="158">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20:AY20"/>
    <mergeCell ref="AH11:AS11"/>
    <mergeCell ref="AT11:AU11"/>
    <mergeCell ref="A19:C21"/>
    <mergeCell ref="D19:I19"/>
    <mergeCell ref="J19:O21"/>
    <mergeCell ref="P19:U19"/>
    <mergeCell ref="V19:AC19"/>
    <mergeCell ref="AD19:AO19"/>
    <mergeCell ref="AP19:AS21"/>
    <mergeCell ref="D21:I21"/>
    <mergeCell ref="P21:U21"/>
    <mergeCell ref="V21:AC21"/>
    <mergeCell ref="AD21:AO21"/>
    <mergeCell ref="AT21:AY21"/>
    <mergeCell ref="AT19:AY19"/>
    <mergeCell ref="D20:I20"/>
    <mergeCell ref="P20:U20"/>
    <mergeCell ref="V20:AC20"/>
    <mergeCell ref="AD20:AO20"/>
    <mergeCell ref="AW14:AW15"/>
    <mergeCell ref="AV14:AV15"/>
    <mergeCell ref="AX14:AX15"/>
    <mergeCell ref="AY14:AY15"/>
    <mergeCell ref="AU14:A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U14:U1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W16:AW17"/>
    <mergeCell ref="AV16:AV17"/>
    <mergeCell ref="AX16:AX17"/>
    <mergeCell ref="AY16:AY17"/>
    <mergeCell ref="AU16:A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U16:U17"/>
    <mergeCell ref="A16:A17"/>
    <mergeCell ref="B16:B17"/>
    <mergeCell ref="C16:C17"/>
    <mergeCell ref="D16:D17"/>
    <mergeCell ref="E16:E17"/>
    <mergeCell ref="F16:F17"/>
    <mergeCell ref="G16:G17"/>
    <mergeCell ref="H16:H17"/>
    <mergeCell ref="I16:I17"/>
    <mergeCell ref="J16:J17"/>
    <mergeCell ref="K16:K17"/>
    <mergeCell ref="L16:L17"/>
    <mergeCell ref="S16:S17"/>
    <mergeCell ref="T16:T17"/>
    <mergeCell ref="M16:M17"/>
    <mergeCell ref="N16:N17"/>
    <mergeCell ref="O16:O17"/>
    <mergeCell ref="P16:P17"/>
    <mergeCell ref="Q16:Q17"/>
    <mergeCell ref="R16:R17"/>
  </mergeCells>
  <printOptions/>
  <pageMargins left="0.7" right="0.7" top="0.75" bottom="0.75" header="0.3" footer="0.3"/>
  <pageSetup fitToHeight="0" fitToWidth="1" horizontalDpi="600" verticalDpi="600" orientation="landscape" scale="15" r:id="rId3"/>
  <legacyDrawing r:id="rId2"/>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AY22"/>
  <sheetViews>
    <sheetView view="pageBreakPreview" zoomScale="60" zoomScaleNormal="70" zoomScalePageLayoutView="0" workbookViewId="0" topLeftCell="AA18">
      <selection activeCell="AX13" sqref="AX13"/>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7109375" style="113" customWidth="1"/>
    <col min="46" max="46" width="17.140625" style="113" customWidth="1"/>
    <col min="47" max="47" width="15.8515625" style="217" customWidth="1"/>
    <col min="48" max="48" width="102.57421875" style="113" customWidth="1"/>
    <col min="49" max="49" width="93.57421875" style="113" customWidth="1"/>
    <col min="50" max="51" width="33.5742187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18</v>
      </c>
      <c r="AY1" s="1147"/>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478</v>
      </c>
      <c r="AY3" s="1193"/>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781</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89">
        <v>45300</v>
      </c>
      <c r="E6" s="890"/>
      <c r="F6" s="830" t="s">
        <v>67</v>
      </c>
      <c r="G6" s="832"/>
      <c r="H6" s="1192" t="s">
        <v>70</v>
      </c>
      <c r="I6" s="1192"/>
      <c r="J6" s="228"/>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1191"/>
      <c r="AJ6" s="1191"/>
      <c r="AK6" s="1191"/>
      <c r="AL6" s="1191"/>
      <c r="AM6" s="1191"/>
      <c r="AN6" s="1191"/>
      <c r="AO6" s="1191"/>
      <c r="AP6" s="1191"/>
      <c r="AQ6" s="1191"/>
      <c r="AR6" s="1191"/>
      <c r="AS6" s="1191"/>
      <c r="AT6" s="1191"/>
      <c r="AU6" s="835"/>
      <c r="AV6" s="828"/>
      <c r="AW6" s="828"/>
      <c r="AX6" s="828"/>
      <c r="AY6" s="828"/>
    </row>
    <row r="7" spans="1:51" ht="15" customHeight="1">
      <c r="A7" s="839"/>
      <c r="B7" s="839"/>
      <c r="C7" s="839"/>
      <c r="D7" s="891"/>
      <c r="E7" s="892"/>
      <c r="F7" s="833"/>
      <c r="G7" s="835"/>
      <c r="H7" s="1192" t="s">
        <v>68</v>
      </c>
      <c r="I7" s="1192"/>
      <c r="J7" s="121"/>
      <c r="K7" s="833"/>
      <c r="L7" s="1191"/>
      <c r="M7" s="1191"/>
      <c r="N7" s="1191"/>
      <c r="O7" s="1191"/>
      <c r="P7" s="1191"/>
      <c r="Q7" s="1191"/>
      <c r="R7" s="1191"/>
      <c r="S7" s="1191"/>
      <c r="T7" s="1191"/>
      <c r="U7" s="1191"/>
      <c r="V7" s="231"/>
      <c r="W7" s="231"/>
      <c r="X7" s="231"/>
      <c r="Y7" s="231"/>
      <c r="Z7" s="231"/>
      <c r="AA7" s="231"/>
      <c r="AB7" s="231"/>
      <c r="AC7" s="231"/>
      <c r="AD7" s="231"/>
      <c r="AE7" s="231"/>
      <c r="AF7" s="231"/>
      <c r="AG7" s="117"/>
      <c r="AH7" s="833"/>
      <c r="AI7" s="1191"/>
      <c r="AJ7" s="1191"/>
      <c r="AK7" s="1191"/>
      <c r="AL7" s="1191"/>
      <c r="AM7" s="1191"/>
      <c r="AN7" s="1191"/>
      <c r="AO7" s="1191"/>
      <c r="AP7" s="1191"/>
      <c r="AQ7" s="1191"/>
      <c r="AR7" s="1191"/>
      <c r="AS7" s="1191"/>
      <c r="AT7" s="1191"/>
      <c r="AU7" s="835"/>
      <c r="AV7" s="828"/>
      <c r="AW7" s="828"/>
      <c r="AX7" s="828"/>
      <c r="AY7" s="828"/>
    </row>
    <row r="8" spans="1:51" ht="15" customHeight="1">
      <c r="A8" s="839"/>
      <c r="B8" s="839"/>
      <c r="C8" s="839"/>
      <c r="D8" s="893"/>
      <c r="E8" s="894"/>
      <c r="F8" s="836"/>
      <c r="G8" s="838"/>
      <c r="H8" s="1192" t="s">
        <v>69</v>
      </c>
      <c r="I8" s="1192"/>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1191"/>
      <c r="AJ8" s="1191"/>
      <c r="AK8" s="1191"/>
      <c r="AL8" s="1191"/>
      <c r="AM8" s="1191"/>
      <c r="AN8" s="1191"/>
      <c r="AO8" s="1191"/>
      <c r="AP8" s="1191"/>
      <c r="AQ8" s="1191"/>
      <c r="AR8" s="1191"/>
      <c r="AS8" s="1191"/>
      <c r="AT8" s="1191"/>
      <c r="AU8" s="835"/>
      <c r="AV8" s="828"/>
      <c r="AW8" s="828"/>
      <c r="AX8" s="828"/>
      <c r="AY8" s="828"/>
    </row>
    <row r="9" spans="1:51" ht="15" customHeight="1">
      <c r="A9" s="808" t="s">
        <v>399</v>
      </c>
      <c r="B9" s="809"/>
      <c r="C9" s="810"/>
      <c r="D9" s="802"/>
      <c r="E9" s="803"/>
      <c r="F9" s="803"/>
      <c r="G9" s="803"/>
      <c r="H9" s="803"/>
      <c r="I9" s="803"/>
      <c r="J9" s="803"/>
      <c r="K9" s="1173"/>
      <c r="L9" s="1173"/>
      <c r="M9" s="1173"/>
      <c r="N9" s="1173"/>
      <c r="O9" s="1173"/>
      <c r="P9" s="1173"/>
      <c r="Q9" s="1173"/>
      <c r="R9" s="1173"/>
      <c r="S9" s="1173"/>
      <c r="T9" s="1173"/>
      <c r="U9" s="1173"/>
      <c r="V9" s="1173"/>
      <c r="W9" s="1173"/>
      <c r="X9" s="1173"/>
      <c r="Y9" s="1173"/>
      <c r="Z9" s="1173"/>
      <c r="AA9" s="1173"/>
      <c r="AB9" s="1173"/>
      <c r="AC9" s="1173"/>
      <c r="AD9" s="1173"/>
      <c r="AE9" s="1173"/>
      <c r="AF9" s="1173"/>
      <c r="AG9" s="1174"/>
      <c r="AH9" s="833"/>
      <c r="AI9" s="1191"/>
      <c r="AJ9" s="1191"/>
      <c r="AK9" s="1191"/>
      <c r="AL9" s="1191"/>
      <c r="AM9" s="1191"/>
      <c r="AN9" s="1191"/>
      <c r="AO9" s="1191"/>
      <c r="AP9" s="1191"/>
      <c r="AQ9" s="1191"/>
      <c r="AR9" s="1191"/>
      <c r="AS9" s="1191"/>
      <c r="AT9" s="1191"/>
      <c r="AU9" s="835"/>
      <c r="AV9" s="828"/>
      <c r="AW9" s="828"/>
      <c r="AX9" s="828"/>
      <c r="AY9" s="828"/>
    </row>
    <row r="10" spans="1:51" ht="15" customHeight="1">
      <c r="A10" s="841" t="s">
        <v>287</v>
      </c>
      <c r="B10" s="842"/>
      <c r="C10" s="843"/>
      <c r="D10" s="1172" t="s">
        <v>500</v>
      </c>
      <c r="E10" s="1173"/>
      <c r="F10" s="1173"/>
      <c r="G10" s="1173"/>
      <c r="H10" s="1173"/>
      <c r="I10" s="1173"/>
      <c r="J10" s="1173"/>
      <c r="K10" s="1173"/>
      <c r="L10" s="1173"/>
      <c r="M10" s="1173"/>
      <c r="N10" s="1173"/>
      <c r="O10" s="1173"/>
      <c r="P10" s="1173"/>
      <c r="Q10" s="1173"/>
      <c r="R10" s="1173"/>
      <c r="S10" s="1173"/>
      <c r="T10" s="1173"/>
      <c r="U10" s="1173"/>
      <c r="V10" s="1173"/>
      <c r="W10" s="1173"/>
      <c r="X10" s="1173"/>
      <c r="Y10" s="1173"/>
      <c r="Z10" s="1173"/>
      <c r="AA10" s="1173"/>
      <c r="AB10" s="1173"/>
      <c r="AC10" s="1173"/>
      <c r="AD10" s="1173"/>
      <c r="AE10" s="1173"/>
      <c r="AF10" s="1173"/>
      <c r="AG10" s="1174"/>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120" t="s">
        <v>169</v>
      </c>
      <c r="B12" s="120" t="s">
        <v>170</v>
      </c>
      <c r="C12" s="120" t="s">
        <v>171</v>
      </c>
      <c r="D12" s="120" t="s">
        <v>178</v>
      </c>
      <c r="E12" s="120" t="s">
        <v>185</v>
      </c>
      <c r="F12" s="120" t="s">
        <v>186</v>
      </c>
      <c r="G12" s="120" t="s">
        <v>277</v>
      </c>
      <c r="H12" s="120" t="s">
        <v>184</v>
      </c>
      <c r="I12" s="821"/>
      <c r="J12" s="821"/>
      <c r="K12" s="821"/>
      <c r="L12" s="821"/>
      <c r="M12" s="821"/>
      <c r="N12" s="821"/>
      <c r="O12" s="120">
        <v>2020</v>
      </c>
      <c r="P12" s="120">
        <v>2021</v>
      </c>
      <c r="Q12" s="120">
        <v>2022</v>
      </c>
      <c r="R12" s="120">
        <v>2023</v>
      </c>
      <c r="S12" s="120">
        <v>2024</v>
      </c>
      <c r="T12" s="821"/>
      <c r="U12" s="821"/>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821"/>
      <c r="AW12" s="821"/>
      <c r="AX12" s="821"/>
      <c r="AY12" s="821"/>
    </row>
    <row r="13" spans="1:51" ht="136.5" customHeight="1">
      <c r="A13" s="128"/>
      <c r="B13" s="121"/>
      <c r="C13" s="121"/>
      <c r="D13" s="121"/>
      <c r="E13" s="121" t="s">
        <v>425</v>
      </c>
      <c r="F13" s="121"/>
      <c r="G13" s="242" t="s">
        <v>479</v>
      </c>
      <c r="H13" s="121" t="s">
        <v>480</v>
      </c>
      <c r="I13" s="122" t="s">
        <v>481</v>
      </c>
      <c r="J13" s="122" t="s">
        <v>758</v>
      </c>
      <c r="K13" s="122" t="s">
        <v>430</v>
      </c>
      <c r="L13" s="121"/>
      <c r="M13" s="243" t="s">
        <v>431</v>
      </c>
      <c r="N13" s="122" t="s">
        <v>482</v>
      </c>
      <c r="O13" s="123"/>
      <c r="P13" s="123"/>
      <c r="Q13" s="123"/>
      <c r="R13" s="244">
        <v>1</v>
      </c>
      <c r="S13" s="244"/>
      <c r="T13" s="235" t="s">
        <v>433</v>
      </c>
      <c r="U13" s="235" t="s">
        <v>483</v>
      </c>
      <c r="V13" s="124"/>
      <c r="W13" s="124"/>
      <c r="X13" s="365">
        <v>0.21</v>
      </c>
      <c r="Y13" s="365"/>
      <c r="Z13" s="365"/>
      <c r="AA13" s="365">
        <v>0.26</v>
      </c>
      <c r="AB13" s="492"/>
      <c r="AC13" s="492"/>
      <c r="AD13" s="492">
        <v>0.28</v>
      </c>
      <c r="AE13" s="492"/>
      <c r="AF13" s="492"/>
      <c r="AG13" s="492">
        <v>0.25</v>
      </c>
      <c r="AH13" s="470"/>
      <c r="AI13" s="470"/>
      <c r="AJ13" s="469">
        <v>0.21</v>
      </c>
      <c r="AK13" s="470"/>
      <c r="AL13" s="470"/>
      <c r="AM13" s="469">
        <v>0.24</v>
      </c>
      <c r="AN13" s="470"/>
      <c r="AO13" s="470"/>
      <c r="AP13" s="463">
        <v>0.3</v>
      </c>
      <c r="AQ13" s="124"/>
      <c r="AR13" s="124"/>
      <c r="AS13" s="467">
        <v>0.25</v>
      </c>
      <c r="AT13" s="127">
        <f>SUM(AH13:AS13)</f>
        <v>1</v>
      </c>
      <c r="AU13" s="127">
        <f aca="true" t="shared" si="0" ref="AU13:AU18">+AT13/R13</f>
        <v>1</v>
      </c>
      <c r="AV13" s="485" t="s">
        <v>875</v>
      </c>
      <c r="AW13" s="485" t="s">
        <v>876</v>
      </c>
      <c r="AX13" s="485" t="s">
        <v>877</v>
      </c>
      <c r="AY13" s="485" t="s">
        <v>878</v>
      </c>
    </row>
    <row r="14" spans="1:51" ht="76.5" customHeight="1">
      <c r="A14" s="128"/>
      <c r="B14" s="121"/>
      <c r="C14" s="121"/>
      <c r="D14" s="121"/>
      <c r="E14" s="449" t="s">
        <v>425</v>
      </c>
      <c r="F14" s="121"/>
      <c r="G14" s="242" t="s">
        <v>479</v>
      </c>
      <c r="H14" s="121" t="s">
        <v>480</v>
      </c>
      <c r="I14" s="122" t="s">
        <v>484</v>
      </c>
      <c r="J14" s="122" t="s">
        <v>759</v>
      </c>
      <c r="K14" s="121" t="s">
        <v>453</v>
      </c>
      <c r="L14" s="121"/>
      <c r="M14" s="243" t="s">
        <v>431</v>
      </c>
      <c r="N14" s="122" t="s">
        <v>485</v>
      </c>
      <c r="O14" s="124"/>
      <c r="P14" s="124"/>
      <c r="Q14" s="124"/>
      <c r="R14" s="244">
        <v>1</v>
      </c>
      <c r="S14" s="244"/>
      <c r="T14" s="121" t="s">
        <v>460</v>
      </c>
      <c r="U14" s="122" t="s">
        <v>697</v>
      </c>
      <c r="V14" s="365">
        <v>1</v>
      </c>
      <c r="W14" s="365">
        <v>1</v>
      </c>
      <c r="X14" s="365">
        <v>1</v>
      </c>
      <c r="Y14" s="365">
        <v>1</v>
      </c>
      <c r="Z14" s="365">
        <v>1</v>
      </c>
      <c r="AA14" s="365">
        <v>1</v>
      </c>
      <c r="AB14" s="492">
        <v>1</v>
      </c>
      <c r="AC14" s="492">
        <v>1</v>
      </c>
      <c r="AD14" s="492">
        <v>1</v>
      </c>
      <c r="AE14" s="492">
        <v>1</v>
      </c>
      <c r="AF14" s="492">
        <v>1</v>
      </c>
      <c r="AG14" s="492">
        <v>1</v>
      </c>
      <c r="AH14" s="469">
        <v>1</v>
      </c>
      <c r="AI14" s="469">
        <v>1</v>
      </c>
      <c r="AJ14" s="469">
        <v>1</v>
      </c>
      <c r="AK14" s="469">
        <v>1</v>
      </c>
      <c r="AL14" s="469">
        <v>1</v>
      </c>
      <c r="AM14" s="469">
        <v>1</v>
      </c>
      <c r="AN14" s="469">
        <v>1</v>
      </c>
      <c r="AO14" s="492">
        <v>1</v>
      </c>
      <c r="AP14" s="492">
        <v>1</v>
      </c>
      <c r="AQ14" s="467">
        <v>1</v>
      </c>
      <c r="AR14" s="467">
        <v>1</v>
      </c>
      <c r="AS14" s="467">
        <v>1</v>
      </c>
      <c r="AT14" s="307">
        <f>AVERAGE(AH14:AS14)</f>
        <v>1</v>
      </c>
      <c r="AU14" s="127">
        <f t="shared" si="0"/>
        <v>1</v>
      </c>
      <c r="AV14" s="321" t="s">
        <v>879</v>
      </c>
      <c r="AW14" s="321" t="s">
        <v>880</v>
      </c>
      <c r="AX14" s="232" t="s">
        <v>881</v>
      </c>
      <c r="AY14" s="232" t="s">
        <v>450</v>
      </c>
    </row>
    <row r="15" spans="1:51" ht="117" customHeight="1">
      <c r="A15" s="121"/>
      <c r="B15" s="121"/>
      <c r="C15" s="121"/>
      <c r="D15" s="121"/>
      <c r="E15" s="449" t="s">
        <v>425</v>
      </c>
      <c r="F15" s="121"/>
      <c r="G15" s="242" t="s">
        <v>479</v>
      </c>
      <c r="H15" s="121" t="s">
        <v>480</v>
      </c>
      <c r="I15" s="122" t="s">
        <v>486</v>
      </c>
      <c r="J15" s="122" t="s">
        <v>760</v>
      </c>
      <c r="K15" s="121" t="s">
        <v>453</v>
      </c>
      <c r="L15" s="121"/>
      <c r="M15" s="243" t="s">
        <v>431</v>
      </c>
      <c r="N15" s="122" t="s">
        <v>487</v>
      </c>
      <c r="O15" s="124"/>
      <c r="P15" s="124"/>
      <c r="Q15" s="124"/>
      <c r="R15" s="244">
        <v>1</v>
      </c>
      <c r="S15" s="244"/>
      <c r="T15" s="121" t="s">
        <v>460</v>
      </c>
      <c r="U15" s="122" t="s">
        <v>697</v>
      </c>
      <c r="V15" s="365">
        <v>1</v>
      </c>
      <c r="W15" s="365">
        <v>1</v>
      </c>
      <c r="X15" s="365">
        <v>1</v>
      </c>
      <c r="Y15" s="365">
        <v>1</v>
      </c>
      <c r="Z15" s="365">
        <v>1</v>
      </c>
      <c r="AA15" s="365">
        <v>1</v>
      </c>
      <c r="AB15" s="492">
        <v>1</v>
      </c>
      <c r="AC15" s="492">
        <v>1</v>
      </c>
      <c r="AD15" s="492">
        <v>1</v>
      </c>
      <c r="AE15" s="492">
        <v>1</v>
      </c>
      <c r="AF15" s="492">
        <v>1</v>
      </c>
      <c r="AG15" s="492">
        <v>1</v>
      </c>
      <c r="AH15" s="469">
        <v>1</v>
      </c>
      <c r="AI15" s="469">
        <v>1</v>
      </c>
      <c r="AJ15" s="469">
        <v>1</v>
      </c>
      <c r="AK15" s="469">
        <v>1</v>
      </c>
      <c r="AL15" s="469">
        <v>1</v>
      </c>
      <c r="AM15" s="469">
        <v>1</v>
      </c>
      <c r="AN15" s="469">
        <v>1</v>
      </c>
      <c r="AO15" s="492">
        <v>1</v>
      </c>
      <c r="AP15" s="492">
        <v>1</v>
      </c>
      <c r="AQ15" s="467">
        <v>1</v>
      </c>
      <c r="AR15" s="467">
        <v>1</v>
      </c>
      <c r="AS15" s="467">
        <v>1</v>
      </c>
      <c r="AT15" s="307">
        <f>AVERAGE(AH15:AS15)</f>
        <v>1</v>
      </c>
      <c r="AU15" s="127">
        <f t="shared" si="0"/>
        <v>1</v>
      </c>
      <c r="AV15" s="321" t="s">
        <v>882</v>
      </c>
      <c r="AW15" s="321" t="s">
        <v>883</v>
      </c>
      <c r="AX15" s="232" t="s">
        <v>881</v>
      </c>
      <c r="AY15" s="232" t="s">
        <v>450</v>
      </c>
    </row>
    <row r="16" spans="1:51" ht="273.75" customHeight="1">
      <c r="A16" s="121"/>
      <c r="B16" s="121"/>
      <c r="C16" s="121"/>
      <c r="D16" s="121"/>
      <c r="E16" s="449" t="s">
        <v>425</v>
      </c>
      <c r="F16" s="121"/>
      <c r="G16" s="242" t="s">
        <v>479</v>
      </c>
      <c r="H16" s="121" t="s">
        <v>480</v>
      </c>
      <c r="I16" s="122" t="s">
        <v>488</v>
      </c>
      <c r="J16" s="122" t="s">
        <v>761</v>
      </c>
      <c r="K16" s="121" t="s">
        <v>430</v>
      </c>
      <c r="L16" s="124"/>
      <c r="M16" s="243" t="s">
        <v>431</v>
      </c>
      <c r="N16" s="122" t="s">
        <v>489</v>
      </c>
      <c r="O16" s="124"/>
      <c r="P16" s="124"/>
      <c r="Q16" s="124"/>
      <c r="R16" s="244">
        <v>1</v>
      </c>
      <c r="S16" s="244"/>
      <c r="T16" s="121" t="s">
        <v>460</v>
      </c>
      <c r="U16" s="122" t="s">
        <v>490</v>
      </c>
      <c r="V16" s="365">
        <v>1</v>
      </c>
      <c r="W16" s="365">
        <v>1</v>
      </c>
      <c r="X16" s="365">
        <v>1</v>
      </c>
      <c r="Y16" s="365">
        <v>1</v>
      </c>
      <c r="Z16" s="365">
        <v>1</v>
      </c>
      <c r="AA16" s="365">
        <v>1</v>
      </c>
      <c r="AB16" s="492">
        <v>1</v>
      </c>
      <c r="AC16" s="492">
        <v>1</v>
      </c>
      <c r="AD16" s="492">
        <v>1</v>
      </c>
      <c r="AE16" s="492">
        <v>1</v>
      </c>
      <c r="AF16" s="492">
        <v>1</v>
      </c>
      <c r="AG16" s="492">
        <v>1</v>
      </c>
      <c r="AH16" s="469">
        <v>1</v>
      </c>
      <c r="AI16" s="469">
        <v>1</v>
      </c>
      <c r="AJ16" s="469">
        <v>1</v>
      </c>
      <c r="AK16" s="469">
        <v>1</v>
      </c>
      <c r="AL16" s="469">
        <v>1</v>
      </c>
      <c r="AM16" s="469">
        <v>1</v>
      </c>
      <c r="AN16" s="469">
        <v>1</v>
      </c>
      <c r="AO16" s="492">
        <v>1</v>
      </c>
      <c r="AP16" s="492">
        <v>1</v>
      </c>
      <c r="AQ16" s="467">
        <v>1</v>
      </c>
      <c r="AR16" s="467">
        <v>1</v>
      </c>
      <c r="AS16" s="467">
        <v>1</v>
      </c>
      <c r="AT16" s="307">
        <f>AVERAGE(AH16:AS16)</f>
        <v>1</v>
      </c>
      <c r="AU16" s="127">
        <f t="shared" si="0"/>
        <v>1</v>
      </c>
      <c r="AV16" s="504" t="s">
        <v>884</v>
      </c>
      <c r="AW16" s="504" t="s">
        <v>885</v>
      </c>
      <c r="AX16" s="444" t="s">
        <v>886</v>
      </c>
      <c r="AY16" s="444" t="s">
        <v>886</v>
      </c>
    </row>
    <row r="17" spans="1:51" ht="93" customHeight="1">
      <c r="A17" s="121"/>
      <c r="B17" s="121"/>
      <c r="C17" s="121"/>
      <c r="D17" s="121"/>
      <c r="E17" s="449" t="s">
        <v>425</v>
      </c>
      <c r="F17" s="121"/>
      <c r="G17" s="242" t="s">
        <v>479</v>
      </c>
      <c r="H17" s="122" t="s">
        <v>841</v>
      </c>
      <c r="I17" s="122" t="s">
        <v>491</v>
      </c>
      <c r="J17" s="122" t="s">
        <v>762</v>
      </c>
      <c r="K17" s="121" t="s">
        <v>453</v>
      </c>
      <c r="L17" s="124"/>
      <c r="M17" s="243" t="s">
        <v>431</v>
      </c>
      <c r="N17" s="122" t="s">
        <v>492</v>
      </c>
      <c r="O17" s="124"/>
      <c r="P17" s="124"/>
      <c r="Q17" s="124"/>
      <c r="R17" s="244">
        <v>1</v>
      </c>
      <c r="S17" s="244"/>
      <c r="T17" s="121" t="s">
        <v>444</v>
      </c>
      <c r="U17" s="122" t="s">
        <v>493</v>
      </c>
      <c r="V17" s="365"/>
      <c r="W17" s="365"/>
      <c r="X17" s="365"/>
      <c r="Y17" s="365">
        <v>1</v>
      </c>
      <c r="Z17" s="365"/>
      <c r="AA17" s="365"/>
      <c r="AB17" s="492"/>
      <c r="AC17" s="492">
        <v>1</v>
      </c>
      <c r="AD17" s="492"/>
      <c r="AE17" s="492"/>
      <c r="AF17" s="492"/>
      <c r="AG17" s="492">
        <v>1</v>
      </c>
      <c r="AH17" s="492"/>
      <c r="AI17" s="470"/>
      <c r="AJ17" s="470"/>
      <c r="AK17" s="469">
        <v>1</v>
      </c>
      <c r="AL17" s="470"/>
      <c r="AM17" s="470"/>
      <c r="AN17" s="470"/>
      <c r="AO17" s="492">
        <v>1</v>
      </c>
      <c r="AP17" s="124"/>
      <c r="AQ17" s="124"/>
      <c r="AR17" s="124"/>
      <c r="AS17" s="467">
        <v>1</v>
      </c>
      <c r="AT17" s="307">
        <f>AVERAGE(AH17:AS17)</f>
        <v>1</v>
      </c>
      <c r="AU17" s="127">
        <f t="shared" si="0"/>
        <v>1</v>
      </c>
      <c r="AV17" s="504" t="s">
        <v>887</v>
      </c>
      <c r="AW17" s="504" t="s">
        <v>888</v>
      </c>
      <c r="AX17" s="232" t="s">
        <v>881</v>
      </c>
      <c r="AY17" s="232" t="s">
        <v>450</v>
      </c>
    </row>
    <row r="18" spans="1:51" ht="309" customHeight="1">
      <c r="A18" s="1177"/>
      <c r="B18" s="1177"/>
      <c r="C18" s="1177"/>
      <c r="D18" s="1177"/>
      <c r="E18" s="1177" t="s">
        <v>425</v>
      </c>
      <c r="F18" s="1177"/>
      <c r="G18" s="1196" t="s">
        <v>479</v>
      </c>
      <c r="H18" s="1196" t="s">
        <v>841</v>
      </c>
      <c r="I18" s="1196" t="s">
        <v>494</v>
      </c>
      <c r="J18" s="1196" t="s">
        <v>763</v>
      </c>
      <c r="K18" s="1196" t="s">
        <v>453</v>
      </c>
      <c r="L18" s="1196"/>
      <c r="M18" s="1196" t="s">
        <v>431</v>
      </c>
      <c r="N18" s="1196" t="s">
        <v>495</v>
      </c>
      <c r="O18" s="1177"/>
      <c r="P18" s="1177"/>
      <c r="Q18" s="1177"/>
      <c r="R18" s="1181">
        <v>1</v>
      </c>
      <c r="S18" s="1177"/>
      <c r="T18" s="1177" t="s">
        <v>460</v>
      </c>
      <c r="U18" s="1196" t="s">
        <v>496</v>
      </c>
      <c r="V18" s="1061">
        <v>1</v>
      </c>
      <c r="W18" s="1061">
        <v>1</v>
      </c>
      <c r="X18" s="1061">
        <v>1</v>
      </c>
      <c r="Y18" s="1061">
        <v>1</v>
      </c>
      <c r="Z18" s="1061">
        <v>1</v>
      </c>
      <c r="AA18" s="1061">
        <v>1</v>
      </c>
      <c r="AB18" s="1201">
        <v>1</v>
      </c>
      <c r="AC18" s="1201">
        <v>1</v>
      </c>
      <c r="AD18" s="1201">
        <v>1</v>
      </c>
      <c r="AE18" s="1201">
        <v>1</v>
      </c>
      <c r="AF18" s="1201">
        <v>1</v>
      </c>
      <c r="AG18" s="1201">
        <v>1</v>
      </c>
      <c r="AH18" s="1201">
        <v>1</v>
      </c>
      <c r="AI18" s="1201">
        <v>1</v>
      </c>
      <c r="AJ18" s="1201">
        <v>1</v>
      </c>
      <c r="AK18" s="1201">
        <v>1</v>
      </c>
      <c r="AL18" s="1201">
        <v>1</v>
      </c>
      <c r="AM18" s="1201">
        <v>1</v>
      </c>
      <c r="AN18" s="1201">
        <v>1</v>
      </c>
      <c r="AO18" s="1201">
        <v>1</v>
      </c>
      <c r="AP18" s="1201">
        <v>1</v>
      </c>
      <c r="AQ18" s="1061">
        <v>1</v>
      </c>
      <c r="AR18" s="1061">
        <v>1</v>
      </c>
      <c r="AS18" s="1061">
        <v>1</v>
      </c>
      <c r="AT18" s="1198">
        <f>AVERAGE(AH18:AS18)</f>
        <v>1</v>
      </c>
      <c r="AU18" s="1181">
        <f t="shared" si="0"/>
        <v>1</v>
      </c>
      <c r="AV18" s="1194" t="s">
        <v>889</v>
      </c>
      <c r="AW18" s="1194" t="s">
        <v>890</v>
      </c>
      <c r="AX18" s="1072" t="s">
        <v>881</v>
      </c>
      <c r="AY18" s="1072" t="s">
        <v>450</v>
      </c>
    </row>
    <row r="19" spans="1:51" ht="409.5" customHeight="1">
      <c r="A19" s="1178"/>
      <c r="B19" s="1178"/>
      <c r="C19" s="1178"/>
      <c r="D19" s="1178"/>
      <c r="E19" s="1178"/>
      <c r="F19" s="1178"/>
      <c r="G19" s="1197"/>
      <c r="H19" s="1197"/>
      <c r="I19" s="1197"/>
      <c r="J19" s="1197"/>
      <c r="K19" s="1197"/>
      <c r="L19" s="1197"/>
      <c r="M19" s="1197"/>
      <c r="N19" s="1197"/>
      <c r="O19" s="1178"/>
      <c r="P19" s="1178"/>
      <c r="Q19" s="1178"/>
      <c r="R19" s="1182"/>
      <c r="S19" s="1178"/>
      <c r="T19" s="1178"/>
      <c r="U19" s="1197"/>
      <c r="V19" s="1200"/>
      <c r="W19" s="1200"/>
      <c r="X19" s="1200"/>
      <c r="Y19" s="1200"/>
      <c r="Z19" s="1200"/>
      <c r="AA19" s="1200"/>
      <c r="AB19" s="1202"/>
      <c r="AC19" s="1202"/>
      <c r="AD19" s="1202"/>
      <c r="AE19" s="1202"/>
      <c r="AF19" s="1202"/>
      <c r="AG19" s="1202"/>
      <c r="AH19" s="1202"/>
      <c r="AI19" s="1202"/>
      <c r="AJ19" s="1202"/>
      <c r="AK19" s="1202"/>
      <c r="AL19" s="1202"/>
      <c r="AM19" s="1202"/>
      <c r="AN19" s="1202"/>
      <c r="AO19" s="1202"/>
      <c r="AP19" s="1202"/>
      <c r="AQ19" s="1200"/>
      <c r="AR19" s="1200"/>
      <c r="AS19" s="1200"/>
      <c r="AT19" s="1199"/>
      <c r="AU19" s="1182"/>
      <c r="AV19" s="1195"/>
      <c r="AW19" s="1195"/>
      <c r="AX19" s="1058"/>
      <c r="AY19" s="1058"/>
    </row>
    <row r="20" spans="1:51" ht="54" customHeight="1">
      <c r="A20" s="823" t="s">
        <v>64</v>
      </c>
      <c r="B20" s="823"/>
      <c r="C20" s="823"/>
      <c r="D20" s="819" t="s">
        <v>66</v>
      </c>
      <c r="E20" s="819"/>
      <c r="F20" s="819"/>
      <c r="G20" s="819"/>
      <c r="H20" s="819"/>
      <c r="I20" s="819"/>
      <c r="J20" s="824" t="s">
        <v>300</v>
      </c>
      <c r="K20" s="824"/>
      <c r="L20" s="824"/>
      <c r="M20" s="824"/>
      <c r="N20" s="824"/>
      <c r="O20" s="824"/>
      <c r="P20" s="819" t="s">
        <v>66</v>
      </c>
      <c r="Q20" s="819"/>
      <c r="R20" s="819"/>
      <c r="S20" s="819"/>
      <c r="T20" s="819"/>
      <c r="U20" s="819"/>
      <c r="V20" s="819" t="s">
        <v>66</v>
      </c>
      <c r="W20" s="819"/>
      <c r="X20" s="819"/>
      <c r="Y20" s="819"/>
      <c r="Z20" s="819"/>
      <c r="AA20" s="819"/>
      <c r="AB20" s="819"/>
      <c r="AC20" s="819"/>
      <c r="AD20" s="819" t="s">
        <v>66</v>
      </c>
      <c r="AE20" s="819"/>
      <c r="AF20" s="819"/>
      <c r="AG20" s="819"/>
      <c r="AH20" s="819"/>
      <c r="AI20" s="819"/>
      <c r="AJ20" s="819"/>
      <c r="AK20" s="819"/>
      <c r="AL20" s="819"/>
      <c r="AM20" s="819"/>
      <c r="AN20" s="819"/>
      <c r="AO20" s="819"/>
      <c r="AP20" s="824" t="s">
        <v>318</v>
      </c>
      <c r="AQ20" s="824"/>
      <c r="AR20" s="824"/>
      <c r="AS20" s="824"/>
      <c r="AT20" s="819" t="s">
        <v>13</v>
      </c>
      <c r="AU20" s="819"/>
      <c r="AV20" s="819"/>
      <c r="AW20" s="819"/>
      <c r="AX20" s="819"/>
      <c r="AY20" s="819"/>
    </row>
    <row r="21" spans="1:51" ht="30" customHeight="1">
      <c r="A21" s="823"/>
      <c r="B21" s="823"/>
      <c r="C21" s="823"/>
      <c r="D21" s="819" t="s">
        <v>860</v>
      </c>
      <c r="E21" s="819"/>
      <c r="F21" s="819"/>
      <c r="G21" s="819"/>
      <c r="H21" s="819"/>
      <c r="I21" s="819"/>
      <c r="J21" s="824"/>
      <c r="K21" s="824"/>
      <c r="L21" s="824"/>
      <c r="M21" s="824"/>
      <c r="N21" s="824"/>
      <c r="O21" s="824"/>
      <c r="P21" s="819" t="s">
        <v>769</v>
      </c>
      <c r="Q21" s="819"/>
      <c r="R21" s="819"/>
      <c r="S21" s="819"/>
      <c r="T21" s="819"/>
      <c r="U21" s="819"/>
      <c r="V21" s="819" t="s">
        <v>65</v>
      </c>
      <c r="W21" s="819"/>
      <c r="X21" s="819"/>
      <c r="Y21" s="819"/>
      <c r="Z21" s="819"/>
      <c r="AA21" s="819"/>
      <c r="AB21" s="819"/>
      <c r="AC21" s="819"/>
      <c r="AD21" s="819" t="s">
        <v>65</v>
      </c>
      <c r="AE21" s="819"/>
      <c r="AF21" s="819"/>
      <c r="AG21" s="819"/>
      <c r="AH21" s="819"/>
      <c r="AI21" s="819"/>
      <c r="AJ21" s="819"/>
      <c r="AK21" s="819"/>
      <c r="AL21" s="819"/>
      <c r="AM21" s="819"/>
      <c r="AN21" s="819"/>
      <c r="AO21" s="819"/>
      <c r="AP21" s="824"/>
      <c r="AQ21" s="824"/>
      <c r="AR21" s="824"/>
      <c r="AS21" s="824"/>
      <c r="AT21" s="819" t="s">
        <v>769</v>
      </c>
      <c r="AU21" s="819"/>
      <c r="AV21" s="819"/>
      <c r="AW21" s="819"/>
      <c r="AX21" s="819"/>
      <c r="AY21" s="819"/>
    </row>
    <row r="22" spans="1:51" ht="30" customHeight="1">
      <c r="A22" s="823"/>
      <c r="B22" s="823"/>
      <c r="C22" s="823"/>
      <c r="D22" s="819" t="s">
        <v>805</v>
      </c>
      <c r="E22" s="819"/>
      <c r="F22" s="819"/>
      <c r="G22" s="819"/>
      <c r="H22" s="819"/>
      <c r="I22" s="819"/>
      <c r="J22" s="824"/>
      <c r="K22" s="824"/>
      <c r="L22" s="824"/>
      <c r="M22" s="824"/>
      <c r="N22" s="824"/>
      <c r="O22" s="824"/>
      <c r="P22" s="819" t="s">
        <v>773</v>
      </c>
      <c r="Q22" s="819"/>
      <c r="R22" s="819"/>
      <c r="S22" s="819"/>
      <c r="T22" s="819"/>
      <c r="U22" s="819"/>
      <c r="V22" s="819" t="s">
        <v>297</v>
      </c>
      <c r="W22" s="819"/>
      <c r="X22" s="819"/>
      <c r="Y22" s="819"/>
      <c r="Z22" s="819"/>
      <c r="AA22" s="819"/>
      <c r="AB22" s="819"/>
      <c r="AC22" s="819"/>
      <c r="AD22" s="819" t="s">
        <v>297</v>
      </c>
      <c r="AE22" s="819"/>
      <c r="AF22" s="819"/>
      <c r="AG22" s="819"/>
      <c r="AH22" s="819"/>
      <c r="AI22" s="819"/>
      <c r="AJ22" s="819"/>
      <c r="AK22" s="819"/>
      <c r="AL22" s="819"/>
      <c r="AM22" s="819"/>
      <c r="AN22" s="819"/>
      <c r="AO22" s="819"/>
      <c r="AP22" s="824"/>
      <c r="AQ22" s="824"/>
      <c r="AR22" s="824"/>
      <c r="AS22" s="824"/>
      <c r="AT22" s="819" t="s">
        <v>75</v>
      </c>
      <c r="AU22" s="819"/>
      <c r="AV22" s="819"/>
      <c r="AW22" s="819"/>
      <c r="AX22" s="819"/>
      <c r="AY22" s="819"/>
    </row>
  </sheetData>
  <sheetProtection/>
  <mergeCells count="107">
    <mergeCell ref="AS18:AS19"/>
    <mergeCell ref="AM18:AM19"/>
    <mergeCell ref="AN18:AN19"/>
    <mergeCell ref="AO18:AO19"/>
    <mergeCell ref="AP18:AP19"/>
    <mergeCell ref="AQ18:AQ19"/>
    <mergeCell ref="AR18:AR19"/>
    <mergeCell ref="AG18:AG19"/>
    <mergeCell ref="AH18:AH19"/>
    <mergeCell ref="AI18:AI19"/>
    <mergeCell ref="AJ18:AJ19"/>
    <mergeCell ref="AK18:AK19"/>
    <mergeCell ref="AL18:AL19"/>
    <mergeCell ref="AA18:AA19"/>
    <mergeCell ref="AB18:AB19"/>
    <mergeCell ref="AC18:AC19"/>
    <mergeCell ref="AD18:AD19"/>
    <mergeCell ref="AE18:AE19"/>
    <mergeCell ref="AF18:AF19"/>
    <mergeCell ref="S18:S19"/>
    <mergeCell ref="T18:T19"/>
    <mergeCell ref="U18:U19"/>
    <mergeCell ref="AU18:AU19"/>
    <mergeCell ref="AT18:AT19"/>
    <mergeCell ref="V18:V19"/>
    <mergeCell ref="W18:W19"/>
    <mergeCell ref="X18:X19"/>
    <mergeCell ref="Y18:Y19"/>
    <mergeCell ref="Z18:Z19"/>
    <mergeCell ref="M18:M19"/>
    <mergeCell ref="N18:N19"/>
    <mergeCell ref="O18:O19"/>
    <mergeCell ref="P18:P19"/>
    <mergeCell ref="Q18:Q19"/>
    <mergeCell ref="R18:R19"/>
    <mergeCell ref="G18:G19"/>
    <mergeCell ref="H18:H19"/>
    <mergeCell ref="I18:I19"/>
    <mergeCell ref="J18:J19"/>
    <mergeCell ref="K18:K19"/>
    <mergeCell ref="L18:L19"/>
    <mergeCell ref="AV18:AV19"/>
    <mergeCell ref="AW18:AW19"/>
    <mergeCell ref="AX18:AX19"/>
    <mergeCell ref="AY18:AY19"/>
    <mergeCell ref="A18:A19"/>
    <mergeCell ref="B18:B19"/>
    <mergeCell ref="C18:C19"/>
    <mergeCell ref="D18:D19"/>
    <mergeCell ref="E18:E19"/>
    <mergeCell ref="F18:F19"/>
    <mergeCell ref="AH5:AU10"/>
    <mergeCell ref="H7:I7"/>
    <mergeCell ref="A1:AW1"/>
    <mergeCell ref="AX1:AY1"/>
    <mergeCell ref="A2:AW2"/>
    <mergeCell ref="AX2:AY2"/>
    <mergeCell ref="A3:AW4"/>
    <mergeCell ref="AX3:AY3"/>
    <mergeCell ref="AX4:AY4"/>
    <mergeCell ref="A5:AG5"/>
    <mergeCell ref="K11:K12"/>
    <mergeCell ref="AV5:AV12"/>
    <mergeCell ref="AW5:AW12"/>
    <mergeCell ref="AX5:AX12"/>
    <mergeCell ref="AY5:AY12"/>
    <mergeCell ref="A6:C8"/>
    <mergeCell ref="D6:E8"/>
    <mergeCell ref="F6:G8"/>
    <mergeCell ref="H6:I6"/>
    <mergeCell ref="K6:U8"/>
    <mergeCell ref="V22:AC22"/>
    <mergeCell ref="H8:I8"/>
    <mergeCell ref="A9:C9"/>
    <mergeCell ref="D9:AG9"/>
    <mergeCell ref="A10:C10"/>
    <mergeCell ref="D10:AG10"/>
    <mergeCell ref="A11:F11"/>
    <mergeCell ref="G11:H11"/>
    <mergeCell ref="I11:I12"/>
    <mergeCell ref="J11:J12"/>
    <mergeCell ref="M11:M12"/>
    <mergeCell ref="N11:N12"/>
    <mergeCell ref="O11:S11"/>
    <mergeCell ref="T11:T12"/>
    <mergeCell ref="U11:U12"/>
    <mergeCell ref="L11:L12"/>
    <mergeCell ref="V11:AG11"/>
    <mergeCell ref="AH11:AS11"/>
    <mergeCell ref="AT11:AU11"/>
    <mergeCell ref="A20:C22"/>
    <mergeCell ref="D20:I20"/>
    <mergeCell ref="J20:O22"/>
    <mergeCell ref="P20:U20"/>
    <mergeCell ref="V20:AC20"/>
    <mergeCell ref="AD20:AO20"/>
    <mergeCell ref="D22:I22"/>
    <mergeCell ref="AD22:AO22"/>
    <mergeCell ref="AT22:AY22"/>
    <mergeCell ref="AT20:AY20"/>
    <mergeCell ref="D21:I21"/>
    <mergeCell ref="P21:U21"/>
    <mergeCell ref="V21:AC21"/>
    <mergeCell ref="AD21:AO21"/>
    <mergeCell ref="AT21:AY21"/>
    <mergeCell ref="AP20:AS22"/>
    <mergeCell ref="P22:U22"/>
  </mergeCells>
  <printOptions/>
  <pageMargins left="0.7" right="0.7" top="0.75" bottom="0.75" header="0.3" footer="0.3"/>
  <pageSetup fitToHeight="0" fitToWidth="1" horizontalDpi="600" verticalDpi="600" orientation="landscape" scale="15" r:id="rId4"/>
  <drawing r:id="rId3"/>
  <legacyDrawing r:id="rId2"/>
</worksheet>
</file>

<file path=xl/worksheets/sheet18.xml><?xml version="1.0" encoding="utf-8"?>
<worksheet xmlns="http://schemas.openxmlformats.org/spreadsheetml/2006/main" xmlns:r="http://schemas.openxmlformats.org/officeDocument/2006/relationships">
  <sheetPr>
    <tabColor rgb="FF00B050"/>
  </sheetPr>
  <dimension ref="A1:AY19"/>
  <sheetViews>
    <sheetView view="pageBreakPreview" zoomScale="61" zoomScaleNormal="61" zoomScaleSheetLayoutView="61" zoomScalePageLayoutView="0" workbookViewId="0" topLeftCell="V9">
      <selection activeCell="AX13" sqref="AX13"/>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7109375" style="113" customWidth="1"/>
    <col min="46" max="46" width="18.28125" style="113" customWidth="1"/>
    <col min="47" max="47" width="12.57421875" style="217" customWidth="1"/>
    <col min="48" max="49" width="62.140625" style="113" customWidth="1"/>
    <col min="50" max="50" width="26.7109375" style="113" customWidth="1"/>
    <col min="51" max="51" width="30.28125" style="113" customWidth="1"/>
    <col min="52" max="16384" width="10.8515625" style="113" customWidth="1"/>
  </cols>
  <sheetData>
    <row r="1" spans="1:51" ht="15.75" customHeight="1">
      <c r="A1" s="852" t="s">
        <v>16</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1146" t="s">
        <v>423</v>
      </c>
      <c r="AY1" s="1147"/>
    </row>
    <row r="2" spans="1:51" ht="15.75" customHeight="1">
      <c r="A2" s="852" t="s">
        <v>17</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1171" t="s">
        <v>418</v>
      </c>
      <c r="AY2" s="1193"/>
    </row>
    <row r="3" spans="1:51" ht="15" customHeight="1">
      <c r="A3" s="852" t="s">
        <v>195</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1171" t="s">
        <v>424</v>
      </c>
      <c r="AY3" s="1193"/>
    </row>
    <row r="4" spans="1:51" ht="15.75" customHeight="1">
      <c r="A4" s="852"/>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01" t="s">
        <v>782</v>
      </c>
      <c r="AY4" s="801"/>
    </row>
    <row r="5" spans="1:51" ht="15" customHeight="1">
      <c r="A5" s="839" t="s">
        <v>174</v>
      </c>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t="s">
        <v>69</v>
      </c>
      <c r="AI5" s="839"/>
      <c r="AJ5" s="839"/>
      <c r="AK5" s="839"/>
      <c r="AL5" s="839"/>
      <c r="AM5" s="839"/>
      <c r="AN5" s="839"/>
      <c r="AO5" s="839"/>
      <c r="AP5" s="839"/>
      <c r="AQ5" s="839"/>
      <c r="AR5" s="839"/>
      <c r="AS5" s="839"/>
      <c r="AT5" s="839"/>
      <c r="AU5" s="839"/>
      <c r="AV5" s="1203" t="s">
        <v>409</v>
      </c>
      <c r="AW5" s="1203" t="s">
        <v>410</v>
      </c>
      <c r="AX5" s="820" t="s">
        <v>298</v>
      </c>
      <c r="AY5" s="820" t="s">
        <v>299</v>
      </c>
    </row>
    <row r="6" spans="1:51" ht="15" customHeight="1">
      <c r="A6" s="839" t="s">
        <v>71</v>
      </c>
      <c r="B6" s="839"/>
      <c r="C6" s="839"/>
      <c r="D6" s="889">
        <v>45300</v>
      </c>
      <c r="E6" s="890"/>
      <c r="F6" s="861" t="s">
        <v>67</v>
      </c>
      <c r="G6" s="861"/>
      <c r="H6" s="1205" t="s">
        <v>70</v>
      </c>
      <c r="I6" s="1205"/>
      <c r="J6" s="325"/>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1203"/>
      <c r="AW6" s="1203"/>
      <c r="AX6" s="828"/>
      <c r="AY6" s="828"/>
    </row>
    <row r="7" spans="1:51" ht="15" customHeight="1">
      <c r="A7" s="839"/>
      <c r="B7" s="839"/>
      <c r="C7" s="839"/>
      <c r="D7" s="891"/>
      <c r="E7" s="892"/>
      <c r="F7" s="861"/>
      <c r="G7" s="861"/>
      <c r="H7" s="1205" t="s">
        <v>68</v>
      </c>
      <c r="I7" s="1205"/>
      <c r="J7" s="325"/>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1203"/>
      <c r="AW7" s="1203"/>
      <c r="AX7" s="828"/>
      <c r="AY7" s="828"/>
    </row>
    <row r="8" spans="1:51" ht="15" customHeight="1">
      <c r="A8" s="839"/>
      <c r="B8" s="839"/>
      <c r="C8" s="839"/>
      <c r="D8" s="893"/>
      <c r="E8" s="894"/>
      <c r="F8" s="861"/>
      <c r="G8" s="861"/>
      <c r="H8" s="1205" t="s">
        <v>69</v>
      </c>
      <c r="I8" s="1205"/>
      <c r="J8" s="325" t="s">
        <v>425</v>
      </c>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1203"/>
      <c r="AW8" s="1203"/>
      <c r="AX8" s="828"/>
      <c r="AY8" s="828"/>
    </row>
    <row r="9" spans="1:51" ht="15" customHeight="1">
      <c r="A9" s="1206" t="s">
        <v>399</v>
      </c>
      <c r="B9" s="1206"/>
      <c r="C9" s="1206"/>
      <c r="D9" s="1207"/>
      <c r="E9" s="1207"/>
      <c r="F9" s="1207"/>
      <c r="G9" s="1207"/>
      <c r="H9" s="1207"/>
      <c r="I9" s="1207"/>
      <c r="J9" s="1207"/>
      <c r="K9" s="1207"/>
      <c r="L9" s="1207"/>
      <c r="M9" s="1207"/>
      <c r="N9" s="1207"/>
      <c r="O9" s="1207"/>
      <c r="P9" s="1207"/>
      <c r="Q9" s="1207"/>
      <c r="R9" s="1207"/>
      <c r="S9" s="1207"/>
      <c r="T9" s="1207"/>
      <c r="U9" s="1207"/>
      <c r="V9" s="1207"/>
      <c r="W9" s="1207"/>
      <c r="X9" s="1207"/>
      <c r="Y9" s="1207"/>
      <c r="Z9" s="1207"/>
      <c r="AA9" s="1207"/>
      <c r="AB9" s="1207"/>
      <c r="AC9" s="1207"/>
      <c r="AD9" s="1207"/>
      <c r="AE9" s="1207"/>
      <c r="AF9" s="1207"/>
      <c r="AG9" s="1207"/>
      <c r="AH9" s="839"/>
      <c r="AI9" s="839"/>
      <c r="AJ9" s="839"/>
      <c r="AK9" s="839"/>
      <c r="AL9" s="839"/>
      <c r="AM9" s="839"/>
      <c r="AN9" s="839"/>
      <c r="AO9" s="839"/>
      <c r="AP9" s="839"/>
      <c r="AQ9" s="839"/>
      <c r="AR9" s="839"/>
      <c r="AS9" s="839"/>
      <c r="AT9" s="839"/>
      <c r="AU9" s="839"/>
      <c r="AV9" s="1203"/>
      <c r="AW9" s="1203"/>
      <c r="AX9" s="828"/>
      <c r="AY9" s="828"/>
    </row>
    <row r="10" spans="1:51" ht="15" customHeight="1">
      <c r="A10" s="1206" t="s">
        <v>287</v>
      </c>
      <c r="B10" s="1206"/>
      <c r="C10" s="1206"/>
      <c r="D10" s="1207" t="s">
        <v>500</v>
      </c>
      <c r="E10" s="1207"/>
      <c r="F10" s="1207"/>
      <c r="G10" s="1207"/>
      <c r="H10" s="1207"/>
      <c r="I10" s="1207"/>
      <c r="J10" s="1207"/>
      <c r="K10" s="1207"/>
      <c r="L10" s="1207"/>
      <c r="M10" s="1207"/>
      <c r="N10" s="1207"/>
      <c r="O10" s="1207"/>
      <c r="P10" s="1207"/>
      <c r="Q10" s="1207"/>
      <c r="R10" s="1207"/>
      <c r="S10" s="1207"/>
      <c r="T10" s="1207"/>
      <c r="U10" s="1207"/>
      <c r="V10" s="1207"/>
      <c r="W10" s="1207"/>
      <c r="X10" s="1207"/>
      <c r="Y10" s="1207"/>
      <c r="Z10" s="1207"/>
      <c r="AA10" s="1207"/>
      <c r="AB10" s="1207"/>
      <c r="AC10" s="1207"/>
      <c r="AD10" s="1207"/>
      <c r="AE10" s="1207"/>
      <c r="AF10" s="1207"/>
      <c r="AG10" s="1207"/>
      <c r="AH10" s="839"/>
      <c r="AI10" s="839"/>
      <c r="AJ10" s="839"/>
      <c r="AK10" s="839"/>
      <c r="AL10" s="839"/>
      <c r="AM10" s="839"/>
      <c r="AN10" s="839"/>
      <c r="AO10" s="839"/>
      <c r="AP10" s="839"/>
      <c r="AQ10" s="839"/>
      <c r="AR10" s="839"/>
      <c r="AS10" s="839"/>
      <c r="AT10" s="839"/>
      <c r="AU10" s="839"/>
      <c r="AV10" s="1203"/>
      <c r="AW10" s="1203"/>
      <c r="AX10" s="828"/>
      <c r="AY10" s="828"/>
    </row>
    <row r="11" spans="1:51" ht="39.75" customHeight="1">
      <c r="A11" s="1203" t="s">
        <v>168</v>
      </c>
      <c r="B11" s="1203"/>
      <c r="C11" s="1203"/>
      <c r="D11" s="1203"/>
      <c r="E11" s="1203"/>
      <c r="F11" s="1203"/>
      <c r="G11" s="1203" t="s">
        <v>278</v>
      </c>
      <c r="H11" s="1203"/>
      <c r="I11" s="1203" t="s">
        <v>179</v>
      </c>
      <c r="J11" s="1203" t="s">
        <v>279</v>
      </c>
      <c r="K11" s="1203" t="s">
        <v>323</v>
      </c>
      <c r="L11" s="1203" t="s">
        <v>363</v>
      </c>
      <c r="M11" s="1203" t="s">
        <v>167</v>
      </c>
      <c r="N11" s="1203" t="s">
        <v>182</v>
      </c>
      <c r="O11" s="1203" t="s">
        <v>284</v>
      </c>
      <c r="P11" s="1203"/>
      <c r="Q11" s="1203"/>
      <c r="R11" s="1203"/>
      <c r="S11" s="1203"/>
      <c r="T11" s="1203" t="s">
        <v>173</v>
      </c>
      <c r="U11" s="1203" t="s">
        <v>285</v>
      </c>
      <c r="V11" s="839" t="s">
        <v>370</v>
      </c>
      <c r="W11" s="839"/>
      <c r="X11" s="839"/>
      <c r="Y11" s="839"/>
      <c r="Z11" s="839"/>
      <c r="AA11" s="839"/>
      <c r="AB11" s="839"/>
      <c r="AC11" s="839"/>
      <c r="AD11" s="839"/>
      <c r="AE11" s="839"/>
      <c r="AF11" s="839"/>
      <c r="AG11" s="839"/>
      <c r="AH11" s="839" t="s">
        <v>87</v>
      </c>
      <c r="AI11" s="839"/>
      <c r="AJ11" s="839"/>
      <c r="AK11" s="839"/>
      <c r="AL11" s="839"/>
      <c r="AM11" s="839"/>
      <c r="AN11" s="839"/>
      <c r="AO11" s="839"/>
      <c r="AP11" s="839"/>
      <c r="AQ11" s="839"/>
      <c r="AR11" s="839"/>
      <c r="AS11" s="839"/>
      <c r="AT11" s="1203" t="s">
        <v>8</v>
      </c>
      <c r="AU11" s="1203"/>
      <c r="AV11" s="1203"/>
      <c r="AW11" s="1203"/>
      <c r="AX11" s="828"/>
      <c r="AY11" s="828"/>
    </row>
    <row r="12" spans="1:51" ht="42.75">
      <c r="A12" s="487" t="s">
        <v>169</v>
      </c>
      <c r="B12" s="487" t="s">
        <v>170</v>
      </c>
      <c r="C12" s="487" t="s">
        <v>171</v>
      </c>
      <c r="D12" s="487" t="s">
        <v>178</v>
      </c>
      <c r="E12" s="487" t="s">
        <v>185</v>
      </c>
      <c r="F12" s="487" t="s">
        <v>186</v>
      </c>
      <c r="G12" s="487" t="s">
        <v>277</v>
      </c>
      <c r="H12" s="487" t="s">
        <v>184</v>
      </c>
      <c r="I12" s="1203"/>
      <c r="J12" s="1203"/>
      <c r="K12" s="1203"/>
      <c r="L12" s="1203"/>
      <c r="M12" s="1203"/>
      <c r="N12" s="1203"/>
      <c r="O12" s="487">
        <v>2020</v>
      </c>
      <c r="P12" s="487">
        <v>2021</v>
      </c>
      <c r="Q12" s="487">
        <v>2022</v>
      </c>
      <c r="R12" s="487">
        <v>2023</v>
      </c>
      <c r="S12" s="487">
        <v>2024</v>
      </c>
      <c r="T12" s="1203"/>
      <c r="U12" s="1203"/>
      <c r="V12" s="445" t="s">
        <v>39</v>
      </c>
      <c r="W12" s="445" t="s">
        <v>40</v>
      </c>
      <c r="X12" s="445" t="s">
        <v>41</v>
      </c>
      <c r="Y12" s="445" t="s">
        <v>42</v>
      </c>
      <c r="Z12" s="445" t="s">
        <v>43</v>
      </c>
      <c r="AA12" s="445" t="s">
        <v>44</v>
      </c>
      <c r="AB12" s="445" t="s">
        <v>45</v>
      </c>
      <c r="AC12" s="445" t="s">
        <v>46</v>
      </c>
      <c r="AD12" s="445" t="s">
        <v>47</v>
      </c>
      <c r="AE12" s="445" t="s">
        <v>48</v>
      </c>
      <c r="AF12" s="445" t="s">
        <v>49</v>
      </c>
      <c r="AG12" s="445" t="s">
        <v>50</v>
      </c>
      <c r="AH12" s="445" t="s">
        <v>39</v>
      </c>
      <c r="AI12" s="445" t="s">
        <v>40</v>
      </c>
      <c r="AJ12" s="445" t="s">
        <v>41</v>
      </c>
      <c r="AK12" s="445" t="s">
        <v>42</v>
      </c>
      <c r="AL12" s="445" t="s">
        <v>43</v>
      </c>
      <c r="AM12" s="445" t="s">
        <v>44</v>
      </c>
      <c r="AN12" s="445" t="s">
        <v>45</v>
      </c>
      <c r="AO12" s="445" t="s">
        <v>46</v>
      </c>
      <c r="AP12" s="445" t="s">
        <v>47</v>
      </c>
      <c r="AQ12" s="445" t="s">
        <v>48</v>
      </c>
      <c r="AR12" s="445" t="s">
        <v>49</v>
      </c>
      <c r="AS12" s="445" t="s">
        <v>50</v>
      </c>
      <c r="AT12" s="487" t="s">
        <v>413</v>
      </c>
      <c r="AU12" s="216" t="s">
        <v>88</v>
      </c>
      <c r="AV12" s="1203"/>
      <c r="AW12" s="1203"/>
      <c r="AX12" s="821"/>
      <c r="AY12" s="821"/>
    </row>
    <row r="13" spans="2:51" ht="137.25" customHeight="1">
      <c r="B13" s="458"/>
      <c r="C13" s="458"/>
      <c r="D13" s="458"/>
      <c r="E13" s="458" t="s">
        <v>425</v>
      </c>
      <c r="F13" s="458"/>
      <c r="G13" s="459" t="s">
        <v>501</v>
      </c>
      <c r="H13" s="458" t="s">
        <v>450</v>
      </c>
      <c r="I13" s="459" t="s">
        <v>502</v>
      </c>
      <c r="J13" s="459" t="s">
        <v>503</v>
      </c>
      <c r="K13" s="232" t="s">
        <v>430</v>
      </c>
      <c r="L13" s="124" t="s">
        <v>450</v>
      </c>
      <c r="M13" s="124" t="s">
        <v>504</v>
      </c>
      <c r="N13" s="459" t="s">
        <v>505</v>
      </c>
      <c r="O13" s="123"/>
      <c r="P13" s="123"/>
      <c r="Q13" s="123"/>
      <c r="R13" s="460">
        <v>1</v>
      </c>
      <c r="S13" s="123"/>
      <c r="T13" s="458" t="s">
        <v>433</v>
      </c>
      <c r="U13" s="459" t="s">
        <v>506</v>
      </c>
      <c r="V13" s="124"/>
      <c r="W13" s="319"/>
      <c r="X13" s="494">
        <v>0</v>
      </c>
      <c r="Y13" s="319"/>
      <c r="Z13" s="319"/>
      <c r="AA13" s="494">
        <v>0.33</v>
      </c>
      <c r="AB13" s="319"/>
      <c r="AC13" s="319"/>
      <c r="AD13" s="494">
        <v>0.5</v>
      </c>
      <c r="AE13" s="319"/>
      <c r="AF13" s="319"/>
      <c r="AG13" s="494">
        <v>0.17</v>
      </c>
      <c r="AH13" s="319"/>
      <c r="AI13" s="319"/>
      <c r="AJ13" s="494">
        <v>0</v>
      </c>
      <c r="AK13" s="319"/>
      <c r="AL13" s="319"/>
      <c r="AM13" s="495">
        <v>0.33</v>
      </c>
      <c r="AN13" s="319"/>
      <c r="AO13" s="319"/>
      <c r="AP13" s="494">
        <v>0.5</v>
      </c>
      <c r="AQ13" s="319"/>
      <c r="AR13" s="319"/>
      <c r="AS13" s="494">
        <v>0.17</v>
      </c>
      <c r="AT13" s="495">
        <f>SUM(AH13:AS13)</f>
        <v>1</v>
      </c>
      <c r="AU13" s="496">
        <f>+AT13/R13</f>
        <v>1</v>
      </c>
      <c r="AV13" s="522" t="s">
        <v>920</v>
      </c>
      <c r="AW13" s="522" t="s">
        <v>927</v>
      </c>
      <c r="AX13" s="411" t="s">
        <v>450</v>
      </c>
      <c r="AY13" s="411" t="s">
        <v>450</v>
      </c>
    </row>
    <row r="14" spans="1:51" ht="109.5" customHeight="1">
      <c r="A14" s="458"/>
      <c r="B14" s="458"/>
      <c r="C14" s="458"/>
      <c r="D14" s="458"/>
      <c r="E14" s="458" t="s">
        <v>425</v>
      </c>
      <c r="F14" s="458"/>
      <c r="G14" s="459" t="s">
        <v>501</v>
      </c>
      <c r="H14" s="458" t="s">
        <v>450</v>
      </c>
      <c r="I14" s="459" t="s">
        <v>507</v>
      </c>
      <c r="J14" s="459" t="s">
        <v>508</v>
      </c>
      <c r="K14" s="232" t="s">
        <v>430</v>
      </c>
      <c r="L14" s="124" t="s">
        <v>450</v>
      </c>
      <c r="M14" s="124" t="s">
        <v>504</v>
      </c>
      <c r="N14" s="459" t="s">
        <v>509</v>
      </c>
      <c r="O14" s="124"/>
      <c r="P14" s="124"/>
      <c r="Q14" s="124"/>
      <c r="R14" s="460">
        <v>1</v>
      </c>
      <c r="S14" s="124"/>
      <c r="T14" s="458" t="s">
        <v>433</v>
      </c>
      <c r="U14" s="459" t="s">
        <v>510</v>
      </c>
      <c r="V14" s="124"/>
      <c r="W14" s="319"/>
      <c r="X14" s="494">
        <v>0</v>
      </c>
      <c r="Y14" s="319"/>
      <c r="Z14" s="319"/>
      <c r="AA14" s="494">
        <v>0.2</v>
      </c>
      <c r="AB14" s="319"/>
      <c r="AC14" s="319"/>
      <c r="AD14" s="494">
        <v>0.13</v>
      </c>
      <c r="AE14" s="319"/>
      <c r="AF14" s="319"/>
      <c r="AG14" s="494">
        <v>0.67</v>
      </c>
      <c r="AH14" s="319"/>
      <c r="AI14" s="319"/>
      <c r="AJ14" s="494">
        <v>0</v>
      </c>
      <c r="AK14" s="319"/>
      <c r="AL14" s="319"/>
      <c r="AM14" s="495">
        <v>0.2</v>
      </c>
      <c r="AN14" s="319"/>
      <c r="AO14" s="319"/>
      <c r="AP14" s="494">
        <v>0.13</v>
      </c>
      <c r="AQ14" s="319"/>
      <c r="AR14" s="319"/>
      <c r="AS14" s="494">
        <v>0.67</v>
      </c>
      <c r="AT14" s="495">
        <f>SUM(AH14:AS14)</f>
        <v>1</v>
      </c>
      <c r="AU14" s="496">
        <f>+AT14/R14</f>
        <v>1</v>
      </c>
      <c r="AV14" s="546" t="s">
        <v>921</v>
      </c>
      <c r="AW14" s="523" t="s">
        <v>926</v>
      </c>
      <c r="AX14" s="411" t="s">
        <v>450</v>
      </c>
      <c r="AY14" s="411" t="s">
        <v>450</v>
      </c>
    </row>
    <row r="15" spans="1:51" ht="151.5" customHeight="1">
      <c r="A15" s="458"/>
      <c r="B15" s="458"/>
      <c r="C15" s="458"/>
      <c r="D15" s="458"/>
      <c r="E15" s="458" t="s">
        <v>425</v>
      </c>
      <c r="F15" s="458"/>
      <c r="G15" s="459" t="s">
        <v>501</v>
      </c>
      <c r="H15" s="458" t="s">
        <v>450</v>
      </c>
      <c r="I15" s="459" t="s">
        <v>511</v>
      </c>
      <c r="J15" s="459" t="s">
        <v>512</v>
      </c>
      <c r="K15" s="232" t="s">
        <v>430</v>
      </c>
      <c r="L15" s="458" t="s">
        <v>450</v>
      </c>
      <c r="M15" s="458" t="s">
        <v>504</v>
      </c>
      <c r="N15" s="459" t="s">
        <v>513</v>
      </c>
      <c r="O15" s="458"/>
      <c r="P15" s="458"/>
      <c r="Q15" s="458"/>
      <c r="R15" s="460">
        <v>1</v>
      </c>
      <c r="S15" s="458"/>
      <c r="T15" s="458" t="s">
        <v>433</v>
      </c>
      <c r="U15" s="459" t="s">
        <v>514</v>
      </c>
      <c r="V15" s="458"/>
      <c r="W15" s="325"/>
      <c r="X15" s="495">
        <v>0.5</v>
      </c>
      <c r="Y15" s="325"/>
      <c r="Z15" s="325"/>
      <c r="AA15" s="495">
        <v>0.11</v>
      </c>
      <c r="AB15" s="325"/>
      <c r="AC15" s="325"/>
      <c r="AD15" s="495">
        <v>0.25</v>
      </c>
      <c r="AE15" s="325"/>
      <c r="AF15" s="325"/>
      <c r="AG15" s="495">
        <v>0.14</v>
      </c>
      <c r="AH15" s="325"/>
      <c r="AI15" s="325"/>
      <c r="AJ15" s="495">
        <v>0.46</v>
      </c>
      <c r="AK15" s="325"/>
      <c r="AL15" s="325"/>
      <c r="AM15" s="495">
        <v>0.15</v>
      </c>
      <c r="AN15" s="325"/>
      <c r="AO15" s="325"/>
      <c r="AP15" s="495">
        <v>0.25</v>
      </c>
      <c r="AQ15" s="325"/>
      <c r="AR15" s="325"/>
      <c r="AS15" s="495">
        <v>0.14</v>
      </c>
      <c r="AT15" s="495">
        <f>SUM(AH15:AS15)</f>
        <v>1</v>
      </c>
      <c r="AU15" s="496">
        <f>+AT15/R15</f>
        <v>1</v>
      </c>
      <c r="AV15" s="546" t="s">
        <v>922</v>
      </c>
      <c r="AW15" s="523" t="s">
        <v>925</v>
      </c>
      <c r="AX15" s="411" t="s">
        <v>450</v>
      </c>
      <c r="AY15" s="411" t="s">
        <v>450</v>
      </c>
    </row>
    <row r="16" spans="1:51" ht="259.5" customHeight="1">
      <c r="A16" s="458"/>
      <c r="B16" s="458"/>
      <c r="C16" s="458"/>
      <c r="D16" s="458"/>
      <c r="E16" s="458" t="s">
        <v>425</v>
      </c>
      <c r="F16" s="458"/>
      <c r="G16" s="459" t="s">
        <v>501</v>
      </c>
      <c r="H16" s="458" t="s">
        <v>450</v>
      </c>
      <c r="I16" s="459" t="s">
        <v>515</v>
      </c>
      <c r="J16" s="459" t="s">
        <v>516</v>
      </c>
      <c r="K16" s="232" t="s">
        <v>430</v>
      </c>
      <c r="L16" s="124" t="s">
        <v>450</v>
      </c>
      <c r="M16" s="124" t="s">
        <v>504</v>
      </c>
      <c r="N16" s="459" t="s">
        <v>517</v>
      </c>
      <c r="O16" s="124"/>
      <c r="P16" s="124"/>
      <c r="Q16" s="124"/>
      <c r="R16" s="460">
        <v>1</v>
      </c>
      <c r="S16" s="124"/>
      <c r="T16" s="458" t="s">
        <v>433</v>
      </c>
      <c r="U16" s="459" t="s">
        <v>518</v>
      </c>
      <c r="V16" s="463"/>
      <c r="W16" s="443"/>
      <c r="X16" s="494">
        <v>0.18</v>
      </c>
      <c r="Y16" s="381"/>
      <c r="Z16" s="381"/>
      <c r="AA16" s="494">
        <v>0.27</v>
      </c>
      <c r="AB16" s="381"/>
      <c r="AC16" s="381"/>
      <c r="AD16" s="494">
        <v>0.27</v>
      </c>
      <c r="AE16" s="381"/>
      <c r="AF16" s="381"/>
      <c r="AG16" s="494">
        <v>0.28</v>
      </c>
      <c r="AH16" s="319"/>
      <c r="AI16" s="319"/>
      <c r="AJ16" s="494">
        <v>0.18</v>
      </c>
      <c r="AK16" s="319"/>
      <c r="AL16" s="319"/>
      <c r="AM16" s="495">
        <v>0.27</v>
      </c>
      <c r="AN16" s="319"/>
      <c r="AO16" s="319"/>
      <c r="AP16" s="494">
        <v>0.27</v>
      </c>
      <c r="AQ16" s="319"/>
      <c r="AR16" s="319"/>
      <c r="AS16" s="494">
        <v>0.28</v>
      </c>
      <c r="AT16" s="495">
        <f>SUM(AH16:AS16)</f>
        <v>1</v>
      </c>
      <c r="AU16" s="496">
        <f>+AT16/R16</f>
        <v>1</v>
      </c>
      <c r="AV16" s="546" t="s">
        <v>923</v>
      </c>
      <c r="AW16" s="546" t="s">
        <v>924</v>
      </c>
      <c r="AX16" s="411" t="s">
        <v>450</v>
      </c>
      <c r="AY16" s="411" t="s">
        <v>450</v>
      </c>
    </row>
    <row r="17" spans="1:51" ht="54" customHeight="1">
      <c r="A17" s="823" t="s">
        <v>64</v>
      </c>
      <c r="B17" s="823"/>
      <c r="C17" s="823"/>
      <c r="D17" s="819" t="s">
        <v>638</v>
      </c>
      <c r="E17" s="819"/>
      <c r="F17" s="819"/>
      <c r="G17" s="819"/>
      <c r="H17" s="819"/>
      <c r="I17" s="819"/>
      <c r="J17" s="824" t="s">
        <v>300</v>
      </c>
      <c r="K17" s="824"/>
      <c r="L17" s="824"/>
      <c r="M17" s="824"/>
      <c r="N17" s="824"/>
      <c r="O17" s="824"/>
      <c r="P17" s="819" t="s">
        <v>66</v>
      </c>
      <c r="Q17" s="819"/>
      <c r="R17" s="819"/>
      <c r="S17" s="819"/>
      <c r="T17" s="819"/>
      <c r="U17" s="819"/>
      <c r="V17" s="819" t="s">
        <v>66</v>
      </c>
      <c r="W17" s="819"/>
      <c r="X17" s="819"/>
      <c r="Y17" s="819"/>
      <c r="Z17" s="819"/>
      <c r="AA17" s="819"/>
      <c r="AB17" s="819"/>
      <c r="AC17" s="819"/>
      <c r="AD17" s="819" t="s">
        <v>66</v>
      </c>
      <c r="AE17" s="819"/>
      <c r="AF17" s="819"/>
      <c r="AG17" s="819"/>
      <c r="AH17" s="819"/>
      <c r="AI17" s="819"/>
      <c r="AJ17" s="819"/>
      <c r="AK17" s="819"/>
      <c r="AL17" s="819"/>
      <c r="AM17" s="1204"/>
      <c r="AN17" s="819"/>
      <c r="AO17" s="819"/>
      <c r="AP17" s="824" t="s">
        <v>318</v>
      </c>
      <c r="AQ17" s="824"/>
      <c r="AR17" s="824"/>
      <c r="AS17" s="824"/>
      <c r="AT17" s="819" t="s">
        <v>13</v>
      </c>
      <c r="AU17" s="819"/>
      <c r="AV17" s="819"/>
      <c r="AW17" s="819"/>
      <c r="AX17" s="819"/>
      <c r="AY17" s="819"/>
    </row>
    <row r="18" spans="1:51" ht="30" customHeight="1">
      <c r="A18" s="823"/>
      <c r="B18" s="823"/>
      <c r="C18" s="823"/>
      <c r="D18" s="819" t="s">
        <v>792</v>
      </c>
      <c r="E18" s="819"/>
      <c r="F18" s="819"/>
      <c r="G18" s="819"/>
      <c r="H18" s="819"/>
      <c r="I18" s="819"/>
      <c r="J18" s="824"/>
      <c r="K18" s="824"/>
      <c r="L18" s="824"/>
      <c r="M18" s="824"/>
      <c r="N18" s="824"/>
      <c r="O18" s="824"/>
      <c r="P18" s="819" t="s">
        <v>792</v>
      </c>
      <c r="Q18" s="819"/>
      <c r="R18" s="819"/>
      <c r="S18" s="819"/>
      <c r="T18" s="819"/>
      <c r="U18" s="819"/>
      <c r="V18" s="819" t="s">
        <v>65</v>
      </c>
      <c r="W18" s="819"/>
      <c r="X18" s="819"/>
      <c r="Y18" s="819"/>
      <c r="Z18" s="819"/>
      <c r="AA18" s="819"/>
      <c r="AB18" s="819"/>
      <c r="AC18" s="819"/>
      <c r="AD18" s="819" t="s">
        <v>65</v>
      </c>
      <c r="AE18" s="819"/>
      <c r="AF18" s="819"/>
      <c r="AG18" s="819"/>
      <c r="AH18" s="819"/>
      <c r="AI18" s="819"/>
      <c r="AJ18" s="819"/>
      <c r="AK18" s="819"/>
      <c r="AL18" s="819"/>
      <c r="AM18" s="819"/>
      <c r="AN18" s="819"/>
      <c r="AO18" s="819"/>
      <c r="AP18" s="824"/>
      <c r="AQ18" s="824"/>
      <c r="AR18" s="824"/>
      <c r="AS18" s="824"/>
      <c r="AT18" s="819" t="s">
        <v>769</v>
      </c>
      <c r="AU18" s="819"/>
      <c r="AV18" s="819"/>
      <c r="AW18" s="819"/>
      <c r="AX18" s="819"/>
      <c r="AY18" s="819"/>
    </row>
    <row r="19" spans="1:51" ht="30" customHeight="1">
      <c r="A19" s="823"/>
      <c r="B19" s="823"/>
      <c r="C19" s="823"/>
      <c r="D19" s="819" t="s">
        <v>793</v>
      </c>
      <c r="E19" s="819"/>
      <c r="F19" s="819"/>
      <c r="G19" s="819"/>
      <c r="H19" s="819"/>
      <c r="I19" s="819"/>
      <c r="J19" s="824"/>
      <c r="K19" s="824"/>
      <c r="L19" s="824"/>
      <c r="M19" s="824"/>
      <c r="N19" s="824"/>
      <c r="O19" s="824"/>
      <c r="P19" s="819" t="s">
        <v>793</v>
      </c>
      <c r="Q19" s="819"/>
      <c r="R19" s="819"/>
      <c r="S19" s="819"/>
      <c r="T19" s="819"/>
      <c r="U19" s="819"/>
      <c r="V19" s="819" t="s">
        <v>297</v>
      </c>
      <c r="W19" s="819"/>
      <c r="X19" s="819"/>
      <c r="Y19" s="819"/>
      <c r="Z19" s="819"/>
      <c r="AA19" s="819"/>
      <c r="AB19" s="819"/>
      <c r="AC19" s="819"/>
      <c r="AD19" s="819" t="s">
        <v>297</v>
      </c>
      <c r="AE19" s="819"/>
      <c r="AF19" s="819"/>
      <c r="AG19" s="819"/>
      <c r="AH19" s="819"/>
      <c r="AI19" s="819"/>
      <c r="AJ19" s="819"/>
      <c r="AK19" s="819"/>
      <c r="AL19" s="819"/>
      <c r="AM19" s="819"/>
      <c r="AN19" s="819"/>
      <c r="AO19" s="819"/>
      <c r="AP19" s="824"/>
      <c r="AQ19" s="824"/>
      <c r="AR19" s="824"/>
      <c r="AS19" s="824"/>
      <c r="AT19" s="819" t="s">
        <v>75</v>
      </c>
      <c r="AU19" s="819"/>
      <c r="AV19" s="819"/>
      <c r="AW19" s="819"/>
      <c r="AX19" s="819"/>
      <c r="AY19" s="819"/>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AG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AP17:AS19"/>
    <mergeCell ref="AT17:AY17"/>
    <mergeCell ref="D18:I18"/>
    <mergeCell ref="P18:U18"/>
    <mergeCell ref="V18:AC18"/>
    <mergeCell ref="AD18:AO18"/>
    <mergeCell ref="AT18:AY18"/>
    <mergeCell ref="D19:I19"/>
    <mergeCell ref="P19:U19"/>
    <mergeCell ref="V19:AC19"/>
    <mergeCell ref="AD19:AO19"/>
    <mergeCell ref="AT19:AY19"/>
  </mergeCells>
  <printOptions horizontalCentered="1"/>
  <pageMargins left="0.1968503937007874" right="0.1968503937007874" top="0.7480314960629921" bottom="0.7480314960629921" header="0.31496062992125984" footer="0.31496062992125984"/>
  <pageSetup horizontalDpi="600" verticalDpi="600" orientation="landscape" scale="20" r:id="rId4"/>
  <drawing r:id="rId3"/>
  <legacyDrawing r:id="rId2"/>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AY20"/>
  <sheetViews>
    <sheetView view="pageBreakPreview" zoomScale="60" zoomScaleNormal="61" zoomScalePageLayoutView="0" workbookViewId="0" topLeftCell="AC1">
      <selection activeCell="AX13" sqref="AX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54.140625" style="113" customWidth="1"/>
    <col min="49" max="49" width="79.7109375" style="113" bestFit="1" customWidth="1"/>
    <col min="50" max="51" width="25.0039062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751" t="s">
        <v>423</v>
      </c>
      <c r="AY1" s="752"/>
    </row>
    <row r="2" spans="1:51" ht="15.75" customHeight="1">
      <c r="A2" s="811" t="s">
        <v>17</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2"/>
      <c r="AV2" s="812"/>
      <c r="AW2" s="813"/>
      <c r="AX2" s="799" t="s">
        <v>418</v>
      </c>
      <c r="AY2" s="800"/>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799" t="s">
        <v>424</v>
      </c>
      <c r="AY3" s="800"/>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783</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89">
        <v>45300</v>
      </c>
      <c r="E6" s="890"/>
      <c r="F6" s="830" t="s">
        <v>67</v>
      </c>
      <c r="G6" s="832"/>
      <c r="H6" s="829" t="s">
        <v>70</v>
      </c>
      <c r="I6" s="829"/>
      <c r="J6" s="128"/>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834"/>
      <c r="AJ6" s="834"/>
      <c r="AK6" s="834"/>
      <c r="AL6" s="834"/>
      <c r="AM6" s="834"/>
      <c r="AN6" s="834"/>
      <c r="AO6" s="834"/>
      <c r="AP6" s="834"/>
      <c r="AQ6" s="834"/>
      <c r="AR6" s="834"/>
      <c r="AS6" s="834"/>
      <c r="AT6" s="834"/>
      <c r="AU6" s="835"/>
      <c r="AV6" s="828"/>
      <c r="AW6" s="828"/>
      <c r="AX6" s="828"/>
      <c r="AY6" s="828"/>
    </row>
    <row r="7" spans="1:51" ht="15" customHeight="1">
      <c r="A7" s="839"/>
      <c r="B7" s="839"/>
      <c r="C7" s="839"/>
      <c r="D7" s="891"/>
      <c r="E7" s="892"/>
      <c r="F7" s="833"/>
      <c r="G7" s="835"/>
      <c r="H7" s="829" t="s">
        <v>68</v>
      </c>
      <c r="I7" s="829"/>
      <c r="J7" s="128"/>
      <c r="K7" s="833"/>
      <c r="L7" s="834"/>
      <c r="M7" s="834"/>
      <c r="N7" s="834"/>
      <c r="O7" s="834"/>
      <c r="P7" s="834"/>
      <c r="Q7" s="834"/>
      <c r="R7" s="834"/>
      <c r="S7" s="834"/>
      <c r="T7" s="834"/>
      <c r="U7" s="834"/>
      <c r="V7" s="116"/>
      <c r="W7" s="116"/>
      <c r="X7" s="116"/>
      <c r="Y7" s="116"/>
      <c r="Z7" s="116"/>
      <c r="AA7" s="116"/>
      <c r="AB7" s="116"/>
      <c r="AC7" s="116"/>
      <c r="AD7" s="116"/>
      <c r="AE7" s="116"/>
      <c r="AF7" s="116"/>
      <c r="AG7" s="117"/>
      <c r="AH7" s="833"/>
      <c r="AI7" s="834"/>
      <c r="AJ7" s="834"/>
      <c r="AK7" s="834"/>
      <c r="AL7" s="834"/>
      <c r="AM7" s="834"/>
      <c r="AN7" s="834"/>
      <c r="AO7" s="834"/>
      <c r="AP7" s="834"/>
      <c r="AQ7" s="834"/>
      <c r="AR7" s="834"/>
      <c r="AS7" s="834"/>
      <c r="AT7" s="834"/>
      <c r="AU7" s="835"/>
      <c r="AV7" s="828"/>
      <c r="AW7" s="828"/>
      <c r="AX7" s="828"/>
      <c r="AY7" s="828"/>
    </row>
    <row r="8" spans="1:51" ht="15" customHeight="1">
      <c r="A8" s="839"/>
      <c r="B8" s="839"/>
      <c r="C8" s="839"/>
      <c r="D8" s="893"/>
      <c r="E8" s="894"/>
      <c r="F8" s="836"/>
      <c r="G8" s="838"/>
      <c r="H8" s="829" t="s">
        <v>69</v>
      </c>
      <c r="I8" s="829"/>
      <c r="J8" s="128"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834"/>
      <c r="AJ8" s="834"/>
      <c r="AK8" s="834"/>
      <c r="AL8" s="834"/>
      <c r="AM8" s="834"/>
      <c r="AN8" s="834"/>
      <c r="AO8" s="834"/>
      <c r="AP8" s="834"/>
      <c r="AQ8" s="834"/>
      <c r="AR8" s="834"/>
      <c r="AS8" s="834"/>
      <c r="AT8" s="834"/>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834"/>
      <c r="AJ9" s="834"/>
      <c r="AK9" s="834"/>
      <c r="AL9" s="834"/>
      <c r="AM9" s="834"/>
      <c r="AN9" s="834"/>
      <c r="AO9" s="834"/>
      <c r="AP9" s="834"/>
      <c r="AQ9" s="834"/>
      <c r="AR9" s="834"/>
      <c r="AS9" s="834"/>
      <c r="AT9" s="834"/>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292" t="s">
        <v>169</v>
      </c>
      <c r="B12" s="292" t="s">
        <v>170</v>
      </c>
      <c r="C12" s="292" t="s">
        <v>171</v>
      </c>
      <c r="D12" s="292" t="s">
        <v>178</v>
      </c>
      <c r="E12" s="292" t="s">
        <v>185</v>
      </c>
      <c r="F12" s="292" t="s">
        <v>186</v>
      </c>
      <c r="G12" s="292" t="s">
        <v>277</v>
      </c>
      <c r="H12" s="292" t="s">
        <v>184</v>
      </c>
      <c r="I12" s="821"/>
      <c r="J12" s="821"/>
      <c r="K12" s="821"/>
      <c r="L12" s="821"/>
      <c r="M12" s="821"/>
      <c r="N12" s="821"/>
      <c r="O12" s="292">
        <v>2020</v>
      </c>
      <c r="P12" s="292">
        <v>2021</v>
      </c>
      <c r="Q12" s="292">
        <v>2022</v>
      </c>
      <c r="R12" s="292">
        <v>2023</v>
      </c>
      <c r="S12" s="292">
        <v>2024</v>
      </c>
      <c r="T12" s="821"/>
      <c r="U12" s="821"/>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821"/>
      <c r="AW12" s="821"/>
      <c r="AX12" s="821"/>
      <c r="AY12" s="821"/>
    </row>
    <row r="13" spans="1:51" ht="231" customHeight="1">
      <c r="A13" s="121"/>
      <c r="B13" s="121"/>
      <c r="C13" s="121"/>
      <c r="D13" s="121"/>
      <c r="E13" s="121" t="s">
        <v>425</v>
      </c>
      <c r="F13" s="121"/>
      <c r="G13" s="152" t="s">
        <v>698</v>
      </c>
      <c r="H13" s="122" t="s">
        <v>842</v>
      </c>
      <c r="I13" s="313" t="s">
        <v>699</v>
      </c>
      <c r="J13" s="366" t="s">
        <v>700</v>
      </c>
      <c r="K13" s="122" t="s">
        <v>430</v>
      </c>
      <c r="L13" s="121" t="s">
        <v>450</v>
      </c>
      <c r="M13" s="122" t="s">
        <v>701</v>
      </c>
      <c r="N13" s="313" t="s">
        <v>702</v>
      </c>
      <c r="O13" s="367"/>
      <c r="P13" s="367"/>
      <c r="Q13" s="368"/>
      <c r="R13" s="368">
        <v>55</v>
      </c>
      <c r="S13" s="368"/>
      <c r="T13" s="369" t="s">
        <v>433</v>
      </c>
      <c r="U13" s="370" t="s">
        <v>703</v>
      </c>
      <c r="V13" s="375"/>
      <c r="W13" s="329"/>
      <c r="X13" s="376">
        <v>13</v>
      </c>
      <c r="Y13" s="376"/>
      <c r="Z13" s="376"/>
      <c r="AA13" s="376">
        <v>14</v>
      </c>
      <c r="AB13" s="376"/>
      <c r="AC13" s="376"/>
      <c r="AD13" s="376">
        <v>14</v>
      </c>
      <c r="AE13" s="376"/>
      <c r="AF13" s="376">
        <v>14</v>
      </c>
      <c r="AG13" s="376"/>
      <c r="AH13" s="124"/>
      <c r="AI13" s="124"/>
      <c r="AJ13" s="124">
        <v>1</v>
      </c>
      <c r="AK13" s="124"/>
      <c r="AL13" s="124"/>
      <c r="AM13" s="482">
        <v>26.75</v>
      </c>
      <c r="AN13" s="124"/>
      <c r="AO13" s="124"/>
      <c r="AP13" s="464">
        <v>14</v>
      </c>
      <c r="AQ13" s="458"/>
      <c r="AR13" s="458">
        <v>14</v>
      </c>
      <c r="AS13" s="458"/>
      <c r="AT13" s="481">
        <f>SUM(AH13:AS13)</f>
        <v>55.75</v>
      </c>
      <c r="AU13" s="127">
        <f>+AT13/R13</f>
        <v>1.0136363636363637</v>
      </c>
      <c r="AV13" s="493" t="s">
        <v>1006</v>
      </c>
      <c r="AW13" s="478" t="s">
        <v>1007</v>
      </c>
      <c r="AX13" s="444" t="s">
        <v>1008</v>
      </c>
      <c r="AY13" s="411" t="s">
        <v>1008</v>
      </c>
    </row>
    <row r="14" spans="1:51" ht="275.25" customHeight="1">
      <c r="A14" s="121"/>
      <c r="B14" s="121"/>
      <c r="C14" s="121"/>
      <c r="D14" s="121"/>
      <c r="E14" s="121" t="s">
        <v>425</v>
      </c>
      <c r="F14" s="121"/>
      <c r="G14" s="152" t="s">
        <v>698</v>
      </c>
      <c r="H14" s="122" t="s">
        <v>842</v>
      </c>
      <c r="I14" s="313" t="s">
        <v>699</v>
      </c>
      <c r="J14" s="313" t="s">
        <v>704</v>
      </c>
      <c r="K14" s="121" t="s">
        <v>430</v>
      </c>
      <c r="L14" s="121" t="s">
        <v>450</v>
      </c>
      <c r="M14" s="122" t="s">
        <v>705</v>
      </c>
      <c r="N14" s="313" t="s">
        <v>706</v>
      </c>
      <c r="O14" s="367"/>
      <c r="P14" s="367"/>
      <c r="Q14" s="368"/>
      <c r="R14" s="368">
        <v>150</v>
      </c>
      <c r="S14" s="368"/>
      <c r="T14" s="371" t="s">
        <v>433</v>
      </c>
      <c r="U14" s="245" t="s">
        <v>707</v>
      </c>
      <c r="V14" s="328"/>
      <c r="W14" s="328"/>
      <c r="X14" s="372">
        <v>22.5</v>
      </c>
      <c r="Y14" s="372"/>
      <c r="Z14" s="372"/>
      <c r="AA14" s="372">
        <v>52.5</v>
      </c>
      <c r="AB14" s="373"/>
      <c r="AC14" s="373"/>
      <c r="AD14" s="373">
        <v>45</v>
      </c>
      <c r="AE14" s="373"/>
      <c r="AF14" s="373"/>
      <c r="AG14" s="373">
        <v>30</v>
      </c>
      <c r="AH14" s="124"/>
      <c r="AI14" s="124"/>
      <c r="AJ14" s="124">
        <v>22.5</v>
      </c>
      <c r="AK14" s="124"/>
      <c r="AL14" s="124"/>
      <c r="AM14" s="483">
        <v>55.75</v>
      </c>
      <c r="AN14" s="124"/>
      <c r="AO14" s="124"/>
      <c r="AP14" s="470">
        <v>45</v>
      </c>
      <c r="AQ14" s="557"/>
      <c r="AR14" s="557"/>
      <c r="AS14" s="557">
        <v>39</v>
      </c>
      <c r="AT14" s="124">
        <f>SUM(AH14:AS14)</f>
        <v>162.25</v>
      </c>
      <c r="AU14" s="127">
        <f>+AT14/R14</f>
        <v>1.0816666666666668</v>
      </c>
      <c r="AV14" s="493" t="s">
        <v>1009</v>
      </c>
      <c r="AW14" s="478" t="s">
        <v>1010</v>
      </c>
      <c r="AX14" s="444" t="s">
        <v>1008</v>
      </c>
      <c r="AY14" s="411" t="s">
        <v>1008</v>
      </c>
    </row>
    <row r="15" spans="1:51" ht="378.75" customHeight="1">
      <c r="A15" s="121"/>
      <c r="B15" s="121"/>
      <c r="C15" s="121"/>
      <c r="D15" s="121"/>
      <c r="E15" s="121" t="s">
        <v>425</v>
      </c>
      <c r="F15" s="121"/>
      <c r="G15" s="152" t="s">
        <v>698</v>
      </c>
      <c r="H15" s="122" t="s">
        <v>842</v>
      </c>
      <c r="I15" s="313" t="s">
        <v>699</v>
      </c>
      <c r="J15" s="313" t="s">
        <v>708</v>
      </c>
      <c r="K15" s="121" t="s">
        <v>430</v>
      </c>
      <c r="L15" s="121" t="s">
        <v>450</v>
      </c>
      <c r="M15" s="122" t="s">
        <v>709</v>
      </c>
      <c r="N15" s="313" t="s">
        <v>710</v>
      </c>
      <c r="O15" s="124"/>
      <c r="P15" s="124"/>
      <c r="Q15" s="328"/>
      <c r="R15" s="328">
        <v>8</v>
      </c>
      <c r="S15" s="328"/>
      <c r="T15" s="371" t="s">
        <v>433</v>
      </c>
      <c r="U15" s="245" t="s">
        <v>711</v>
      </c>
      <c r="V15" s="328"/>
      <c r="W15" s="328"/>
      <c r="X15" s="328">
        <v>2</v>
      </c>
      <c r="Y15" s="328"/>
      <c r="Z15" s="328"/>
      <c r="AA15" s="328">
        <v>2</v>
      </c>
      <c r="AB15" s="328"/>
      <c r="AC15" s="328"/>
      <c r="AD15" s="328">
        <v>2</v>
      </c>
      <c r="AE15" s="328"/>
      <c r="AF15" s="328"/>
      <c r="AG15" s="328">
        <v>2</v>
      </c>
      <c r="AH15" s="124"/>
      <c r="AI15" s="124"/>
      <c r="AJ15" s="124">
        <v>3</v>
      </c>
      <c r="AK15" s="124"/>
      <c r="AL15" s="124"/>
      <c r="AM15" s="482">
        <v>2</v>
      </c>
      <c r="AN15" s="124"/>
      <c r="AO15" s="124"/>
      <c r="AP15" s="470">
        <v>2</v>
      </c>
      <c r="AQ15" s="124"/>
      <c r="AR15" s="124"/>
      <c r="AS15" s="124">
        <v>4</v>
      </c>
      <c r="AT15" s="124">
        <f>SUM(AH15:AS15)</f>
        <v>11</v>
      </c>
      <c r="AU15" s="127">
        <f>+AT15/R15</f>
        <v>1.375</v>
      </c>
      <c r="AV15" s="493" t="s">
        <v>1011</v>
      </c>
      <c r="AW15" s="479" t="s">
        <v>1012</v>
      </c>
      <c r="AX15" s="444" t="s">
        <v>1008</v>
      </c>
      <c r="AY15" s="411" t="s">
        <v>1008</v>
      </c>
    </row>
    <row r="16" spans="1:51" ht="309.75" customHeight="1">
      <c r="A16" s="121"/>
      <c r="B16" s="121"/>
      <c r="C16" s="121"/>
      <c r="D16" s="121"/>
      <c r="E16" s="121" t="s">
        <v>425</v>
      </c>
      <c r="F16" s="121"/>
      <c r="G16" s="152" t="s">
        <v>698</v>
      </c>
      <c r="H16" s="122" t="s">
        <v>842</v>
      </c>
      <c r="I16" s="313" t="s">
        <v>699</v>
      </c>
      <c r="J16" s="313" t="s">
        <v>712</v>
      </c>
      <c r="K16" s="121" t="s">
        <v>430</v>
      </c>
      <c r="L16" s="121" t="s">
        <v>450</v>
      </c>
      <c r="M16" s="122" t="s">
        <v>431</v>
      </c>
      <c r="N16" s="313" t="s">
        <v>713</v>
      </c>
      <c r="O16" s="124"/>
      <c r="P16" s="124"/>
      <c r="Q16" s="374"/>
      <c r="R16" s="374">
        <v>1</v>
      </c>
      <c r="S16" s="328"/>
      <c r="T16" s="371" t="s">
        <v>433</v>
      </c>
      <c r="U16" s="245" t="s">
        <v>714</v>
      </c>
      <c r="V16" s="328"/>
      <c r="W16" s="328"/>
      <c r="X16" s="327">
        <v>0.25</v>
      </c>
      <c r="Y16" s="328"/>
      <c r="Z16" s="328"/>
      <c r="AA16" s="327">
        <v>0.25</v>
      </c>
      <c r="AB16" s="328"/>
      <c r="AC16" s="328"/>
      <c r="AD16" s="327">
        <v>0.25</v>
      </c>
      <c r="AE16" s="328"/>
      <c r="AF16" s="328"/>
      <c r="AG16" s="327">
        <v>0.25</v>
      </c>
      <c r="AH16" s="124"/>
      <c r="AI16" s="124"/>
      <c r="AJ16" s="127">
        <v>0.25</v>
      </c>
      <c r="AK16" s="124"/>
      <c r="AL16" s="124"/>
      <c r="AM16" s="463">
        <v>0.25</v>
      </c>
      <c r="AN16" s="124"/>
      <c r="AO16" s="124"/>
      <c r="AP16" s="469">
        <v>0.25</v>
      </c>
      <c r="AQ16" s="132"/>
      <c r="AR16" s="132"/>
      <c r="AS16" s="558">
        <v>0.25</v>
      </c>
      <c r="AT16" s="127">
        <f>SUM(AH16:AS16)</f>
        <v>1</v>
      </c>
      <c r="AU16" s="127">
        <f>+AT16/R16</f>
        <v>1</v>
      </c>
      <c r="AV16" s="493" t="s">
        <v>1013</v>
      </c>
      <c r="AW16" s="559" t="s">
        <v>1014</v>
      </c>
      <c r="AX16" s="444" t="s">
        <v>1008</v>
      </c>
      <c r="AY16" s="411" t="s">
        <v>1008</v>
      </c>
    </row>
    <row r="17" spans="1:51" ht="409.5" customHeight="1">
      <c r="A17" s="121"/>
      <c r="B17" s="121"/>
      <c r="C17" s="121"/>
      <c r="D17" s="121"/>
      <c r="E17" s="121" t="s">
        <v>425</v>
      </c>
      <c r="F17" s="121"/>
      <c r="G17" s="152" t="s">
        <v>698</v>
      </c>
      <c r="H17" s="122" t="s">
        <v>842</v>
      </c>
      <c r="I17" s="313" t="s">
        <v>699</v>
      </c>
      <c r="J17" s="313" t="s">
        <v>715</v>
      </c>
      <c r="K17" s="122" t="s">
        <v>430</v>
      </c>
      <c r="L17" s="121" t="s">
        <v>450</v>
      </c>
      <c r="M17" s="122" t="s">
        <v>431</v>
      </c>
      <c r="N17" s="313" t="s">
        <v>716</v>
      </c>
      <c r="O17" s="124"/>
      <c r="P17" s="124"/>
      <c r="Q17" s="374"/>
      <c r="R17" s="374">
        <v>1</v>
      </c>
      <c r="S17" s="328"/>
      <c r="T17" s="371" t="s">
        <v>433</v>
      </c>
      <c r="U17" s="245" t="s">
        <v>714</v>
      </c>
      <c r="V17" s="328"/>
      <c r="W17" s="328"/>
      <c r="X17" s="327">
        <v>0.25</v>
      </c>
      <c r="Y17" s="328"/>
      <c r="Z17" s="328"/>
      <c r="AA17" s="327">
        <v>0.25</v>
      </c>
      <c r="AB17" s="328"/>
      <c r="AC17" s="328"/>
      <c r="AD17" s="327">
        <v>0.25</v>
      </c>
      <c r="AE17" s="328"/>
      <c r="AF17" s="328"/>
      <c r="AG17" s="327">
        <v>0.25</v>
      </c>
      <c r="AH17" s="124"/>
      <c r="AI17" s="124"/>
      <c r="AJ17" s="327">
        <v>0.25</v>
      </c>
      <c r="AK17" s="124"/>
      <c r="AL17" s="124"/>
      <c r="AM17" s="463">
        <v>0.25</v>
      </c>
      <c r="AN17" s="124"/>
      <c r="AO17" s="124"/>
      <c r="AP17" s="468">
        <v>0.25</v>
      </c>
      <c r="AQ17" s="132"/>
      <c r="AR17" s="132"/>
      <c r="AS17" s="558">
        <v>0.25</v>
      </c>
      <c r="AT17" s="127">
        <f>SUM(AH17:AS17)</f>
        <v>1</v>
      </c>
      <c r="AU17" s="127">
        <f>+AT17/R17</f>
        <v>1</v>
      </c>
      <c r="AV17" s="493" t="s">
        <v>1015</v>
      </c>
      <c r="AW17" s="480" t="s">
        <v>1016</v>
      </c>
      <c r="AX17" s="444" t="s">
        <v>1008</v>
      </c>
      <c r="AY17" s="411" t="s">
        <v>1008</v>
      </c>
    </row>
    <row r="18" spans="1:51" ht="54" customHeight="1">
      <c r="A18" s="823" t="s">
        <v>64</v>
      </c>
      <c r="B18" s="823"/>
      <c r="C18" s="823"/>
      <c r="D18" s="819" t="s">
        <v>66</v>
      </c>
      <c r="E18" s="819"/>
      <c r="F18" s="819"/>
      <c r="G18" s="819"/>
      <c r="H18" s="819"/>
      <c r="I18" s="819"/>
      <c r="J18" s="824" t="s">
        <v>300</v>
      </c>
      <c r="K18" s="824"/>
      <c r="L18" s="824"/>
      <c r="M18" s="824"/>
      <c r="N18" s="824"/>
      <c r="O18" s="824"/>
      <c r="P18" s="819" t="s">
        <v>66</v>
      </c>
      <c r="Q18" s="819"/>
      <c r="R18" s="819"/>
      <c r="S18" s="819"/>
      <c r="T18" s="819"/>
      <c r="U18" s="819"/>
      <c r="V18" s="819" t="s">
        <v>66</v>
      </c>
      <c r="W18" s="819"/>
      <c r="X18" s="819"/>
      <c r="Y18" s="819"/>
      <c r="Z18" s="819"/>
      <c r="AA18" s="819"/>
      <c r="AB18" s="819"/>
      <c r="AC18" s="819"/>
      <c r="AD18" s="819" t="s">
        <v>66</v>
      </c>
      <c r="AE18" s="819"/>
      <c r="AF18" s="819"/>
      <c r="AG18" s="819"/>
      <c r="AH18" s="819"/>
      <c r="AI18" s="819"/>
      <c r="AJ18" s="819"/>
      <c r="AK18" s="819"/>
      <c r="AL18" s="819"/>
      <c r="AM18" s="819"/>
      <c r="AN18" s="819"/>
      <c r="AO18" s="819"/>
      <c r="AP18" s="824" t="s">
        <v>318</v>
      </c>
      <c r="AQ18" s="824"/>
      <c r="AR18" s="824"/>
      <c r="AS18" s="824"/>
      <c r="AT18" s="819" t="s">
        <v>13</v>
      </c>
      <c r="AU18" s="819"/>
      <c r="AV18" s="819"/>
      <c r="AW18" s="819"/>
      <c r="AX18" s="819"/>
      <c r="AY18" s="819"/>
    </row>
    <row r="19" spans="1:51" ht="30" customHeight="1">
      <c r="A19" s="823"/>
      <c r="B19" s="823"/>
      <c r="C19" s="823"/>
      <c r="D19" s="819" t="s">
        <v>812</v>
      </c>
      <c r="E19" s="819"/>
      <c r="F19" s="819"/>
      <c r="G19" s="819"/>
      <c r="H19" s="819"/>
      <c r="I19" s="819"/>
      <c r="J19" s="824"/>
      <c r="K19" s="824"/>
      <c r="L19" s="824"/>
      <c r="M19" s="824"/>
      <c r="N19" s="824"/>
      <c r="O19" s="824"/>
      <c r="P19" s="819" t="s">
        <v>845</v>
      </c>
      <c r="Q19" s="819"/>
      <c r="R19" s="819"/>
      <c r="S19" s="819"/>
      <c r="T19" s="819"/>
      <c r="U19" s="819"/>
      <c r="V19" s="819" t="s">
        <v>65</v>
      </c>
      <c r="W19" s="819"/>
      <c r="X19" s="819"/>
      <c r="Y19" s="819"/>
      <c r="Z19" s="819"/>
      <c r="AA19" s="819"/>
      <c r="AB19" s="819"/>
      <c r="AC19" s="819"/>
      <c r="AD19" s="819" t="s">
        <v>65</v>
      </c>
      <c r="AE19" s="819"/>
      <c r="AF19" s="819"/>
      <c r="AG19" s="819"/>
      <c r="AH19" s="819"/>
      <c r="AI19" s="819"/>
      <c r="AJ19" s="819"/>
      <c r="AK19" s="819"/>
      <c r="AL19" s="819"/>
      <c r="AM19" s="819"/>
      <c r="AN19" s="819"/>
      <c r="AO19" s="819"/>
      <c r="AP19" s="824"/>
      <c r="AQ19" s="824"/>
      <c r="AR19" s="824"/>
      <c r="AS19" s="824"/>
      <c r="AT19" s="819" t="s">
        <v>769</v>
      </c>
      <c r="AU19" s="819"/>
      <c r="AV19" s="819"/>
      <c r="AW19" s="819"/>
      <c r="AX19" s="819"/>
      <c r="AY19" s="819"/>
    </row>
    <row r="20" spans="1:51" ht="30" customHeight="1">
      <c r="A20" s="823"/>
      <c r="B20" s="823"/>
      <c r="C20" s="823"/>
      <c r="D20" s="819" t="s">
        <v>813</v>
      </c>
      <c r="E20" s="819"/>
      <c r="F20" s="819"/>
      <c r="G20" s="819"/>
      <c r="H20" s="819"/>
      <c r="I20" s="819"/>
      <c r="J20" s="824"/>
      <c r="K20" s="824"/>
      <c r="L20" s="824"/>
      <c r="M20" s="824"/>
      <c r="N20" s="824"/>
      <c r="O20" s="824"/>
      <c r="P20" s="819" t="s">
        <v>814</v>
      </c>
      <c r="Q20" s="819"/>
      <c r="R20" s="819"/>
      <c r="S20" s="819"/>
      <c r="T20" s="819"/>
      <c r="U20" s="819"/>
      <c r="V20" s="819" t="s">
        <v>297</v>
      </c>
      <c r="W20" s="819"/>
      <c r="X20" s="819"/>
      <c r="Y20" s="819"/>
      <c r="Z20" s="819"/>
      <c r="AA20" s="819"/>
      <c r="AB20" s="819"/>
      <c r="AC20" s="819"/>
      <c r="AD20" s="819" t="s">
        <v>297</v>
      </c>
      <c r="AE20" s="819"/>
      <c r="AF20" s="819"/>
      <c r="AG20" s="819"/>
      <c r="AH20" s="819"/>
      <c r="AI20" s="819"/>
      <c r="AJ20" s="819"/>
      <c r="AK20" s="819"/>
      <c r="AL20" s="819"/>
      <c r="AM20" s="819"/>
      <c r="AN20" s="819"/>
      <c r="AO20" s="819"/>
      <c r="AP20" s="824"/>
      <c r="AQ20" s="824"/>
      <c r="AR20" s="824"/>
      <c r="AS20" s="824"/>
      <c r="AT20" s="819" t="s">
        <v>75</v>
      </c>
      <c r="AU20" s="819"/>
      <c r="AV20" s="819"/>
      <c r="AW20" s="819"/>
      <c r="AX20" s="819"/>
      <c r="AY20" s="819"/>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777"/>
      <c r="B1" s="754" t="s">
        <v>16</v>
      </c>
      <c r="C1" s="755"/>
      <c r="D1" s="755"/>
      <c r="E1" s="755"/>
      <c r="F1" s="755"/>
      <c r="G1" s="755"/>
      <c r="H1" s="755"/>
      <c r="I1" s="755"/>
      <c r="J1" s="755"/>
      <c r="K1" s="755"/>
      <c r="L1" s="755"/>
      <c r="M1" s="755"/>
      <c r="N1" s="755"/>
      <c r="O1" s="755"/>
      <c r="P1" s="755"/>
      <c r="Q1" s="755"/>
      <c r="R1" s="755"/>
      <c r="S1" s="755"/>
      <c r="T1" s="755"/>
      <c r="U1" s="755"/>
      <c r="V1" s="755"/>
      <c r="W1" s="755"/>
      <c r="X1" s="755"/>
      <c r="Y1" s="756"/>
      <c r="Z1" s="751" t="s">
        <v>18</v>
      </c>
      <c r="AA1" s="752"/>
      <c r="AB1" s="753"/>
    </row>
    <row r="2" spans="1:28" ht="30.75" customHeight="1">
      <c r="A2" s="778"/>
      <c r="B2" s="757" t="s">
        <v>17</v>
      </c>
      <c r="C2" s="758"/>
      <c r="D2" s="758"/>
      <c r="E2" s="758"/>
      <c r="F2" s="758"/>
      <c r="G2" s="758"/>
      <c r="H2" s="758"/>
      <c r="I2" s="758"/>
      <c r="J2" s="758"/>
      <c r="K2" s="758"/>
      <c r="L2" s="758"/>
      <c r="M2" s="758"/>
      <c r="N2" s="758"/>
      <c r="O2" s="758"/>
      <c r="P2" s="758"/>
      <c r="Q2" s="758"/>
      <c r="R2" s="758"/>
      <c r="S2" s="758"/>
      <c r="T2" s="758"/>
      <c r="U2" s="758"/>
      <c r="V2" s="758"/>
      <c r="W2" s="758"/>
      <c r="X2" s="758"/>
      <c r="Y2" s="759"/>
      <c r="Z2" s="780" t="s">
        <v>180</v>
      </c>
      <c r="AA2" s="781"/>
      <c r="AB2" s="782"/>
    </row>
    <row r="3" spans="1:28" ht="24" customHeight="1">
      <c r="A3" s="778"/>
      <c r="B3" s="760" t="s">
        <v>295</v>
      </c>
      <c r="C3" s="761"/>
      <c r="D3" s="761"/>
      <c r="E3" s="761"/>
      <c r="F3" s="761"/>
      <c r="G3" s="761"/>
      <c r="H3" s="761"/>
      <c r="I3" s="761"/>
      <c r="J3" s="761"/>
      <c r="K3" s="761"/>
      <c r="L3" s="761"/>
      <c r="M3" s="761"/>
      <c r="N3" s="761"/>
      <c r="O3" s="761"/>
      <c r="P3" s="761"/>
      <c r="Q3" s="761"/>
      <c r="R3" s="761"/>
      <c r="S3" s="761"/>
      <c r="T3" s="761"/>
      <c r="U3" s="761"/>
      <c r="V3" s="761"/>
      <c r="W3" s="761"/>
      <c r="X3" s="761"/>
      <c r="Y3" s="762"/>
      <c r="Z3" s="780" t="s">
        <v>181</v>
      </c>
      <c r="AA3" s="781"/>
      <c r="AB3" s="782"/>
    </row>
    <row r="4" spans="1:28" ht="15.75" customHeight="1" thickBot="1">
      <c r="A4" s="779"/>
      <c r="B4" s="763"/>
      <c r="C4" s="764"/>
      <c r="D4" s="764"/>
      <c r="E4" s="764"/>
      <c r="F4" s="764"/>
      <c r="G4" s="764"/>
      <c r="H4" s="764"/>
      <c r="I4" s="764"/>
      <c r="J4" s="764"/>
      <c r="K4" s="764"/>
      <c r="L4" s="764"/>
      <c r="M4" s="764"/>
      <c r="N4" s="764"/>
      <c r="O4" s="764"/>
      <c r="P4" s="764"/>
      <c r="Q4" s="764"/>
      <c r="R4" s="764"/>
      <c r="S4" s="764"/>
      <c r="T4" s="764"/>
      <c r="U4" s="764"/>
      <c r="V4" s="764"/>
      <c r="W4" s="764"/>
      <c r="X4" s="764"/>
      <c r="Y4" s="765"/>
      <c r="Z4" s="783" t="s">
        <v>175</v>
      </c>
      <c r="AA4" s="784"/>
      <c r="AB4" s="785"/>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672" t="s">
        <v>0</v>
      </c>
      <c r="B7" s="673"/>
      <c r="C7" s="703"/>
      <c r="D7" s="704"/>
      <c r="E7" s="704"/>
      <c r="F7" s="704"/>
      <c r="G7" s="704"/>
      <c r="H7" s="704"/>
      <c r="I7" s="704"/>
      <c r="J7" s="704"/>
      <c r="K7" s="705"/>
      <c r="L7" s="64"/>
      <c r="M7" s="65"/>
      <c r="N7" s="65"/>
      <c r="O7" s="65"/>
      <c r="P7" s="65"/>
      <c r="Q7" s="66"/>
      <c r="R7" s="736" t="s">
        <v>71</v>
      </c>
      <c r="S7" s="786"/>
      <c r="T7" s="737"/>
      <c r="U7" s="681" t="s">
        <v>74</v>
      </c>
      <c r="V7" s="682"/>
      <c r="W7" s="736" t="s">
        <v>67</v>
      </c>
      <c r="X7" s="737"/>
      <c r="Y7" s="648" t="s">
        <v>70</v>
      </c>
      <c r="Z7" s="649"/>
      <c r="AA7" s="687"/>
      <c r="AB7" s="688"/>
    </row>
    <row r="8" spans="1:28" ht="15" customHeight="1">
      <c r="A8" s="674"/>
      <c r="B8" s="675"/>
      <c r="C8" s="706"/>
      <c r="D8" s="707"/>
      <c r="E8" s="707"/>
      <c r="F8" s="707"/>
      <c r="G8" s="707"/>
      <c r="H8" s="707"/>
      <c r="I8" s="707"/>
      <c r="J8" s="707"/>
      <c r="K8" s="708"/>
      <c r="L8" s="64"/>
      <c r="M8" s="65"/>
      <c r="N8" s="65"/>
      <c r="O8" s="65"/>
      <c r="P8" s="65"/>
      <c r="Q8" s="66"/>
      <c r="R8" s="738"/>
      <c r="S8" s="787"/>
      <c r="T8" s="739"/>
      <c r="U8" s="683"/>
      <c r="V8" s="684"/>
      <c r="W8" s="738"/>
      <c r="X8" s="739"/>
      <c r="Y8" s="689" t="s">
        <v>68</v>
      </c>
      <c r="Z8" s="690"/>
      <c r="AA8" s="691"/>
      <c r="AB8" s="692"/>
    </row>
    <row r="9" spans="1:28" ht="15" customHeight="1" thickBot="1">
      <c r="A9" s="676"/>
      <c r="B9" s="677"/>
      <c r="C9" s="709"/>
      <c r="D9" s="710"/>
      <c r="E9" s="710"/>
      <c r="F9" s="710"/>
      <c r="G9" s="710"/>
      <c r="H9" s="710"/>
      <c r="I9" s="710"/>
      <c r="J9" s="710"/>
      <c r="K9" s="711"/>
      <c r="L9" s="64"/>
      <c r="M9" s="65"/>
      <c r="N9" s="65"/>
      <c r="O9" s="65"/>
      <c r="P9" s="65"/>
      <c r="Q9" s="66"/>
      <c r="R9" s="740"/>
      <c r="S9" s="788"/>
      <c r="T9" s="741"/>
      <c r="U9" s="685"/>
      <c r="V9" s="686"/>
      <c r="W9" s="740"/>
      <c r="X9" s="741"/>
      <c r="Y9" s="644" t="s">
        <v>69</v>
      </c>
      <c r="Z9" s="645"/>
      <c r="AA9" s="646"/>
      <c r="AB9" s="64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642" t="s">
        <v>77</v>
      </c>
      <c r="B11" s="643"/>
      <c r="C11" s="742"/>
      <c r="D11" s="743"/>
      <c r="E11" s="743"/>
      <c r="F11" s="743"/>
      <c r="G11" s="743"/>
      <c r="H11" s="743"/>
      <c r="I11" s="743"/>
      <c r="J11" s="743"/>
      <c r="K11" s="744"/>
      <c r="L11" s="74"/>
      <c r="M11" s="636" t="s">
        <v>73</v>
      </c>
      <c r="N11" s="712"/>
      <c r="O11" s="712"/>
      <c r="P11" s="712"/>
      <c r="Q11" s="637"/>
      <c r="R11" s="633"/>
      <c r="S11" s="634"/>
      <c r="T11" s="634"/>
      <c r="U11" s="634"/>
      <c r="V11" s="635"/>
      <c r="W11" s="636" t="s">
        <v>72</v>
      </c>
      <c r="X11" s="637"/>
      <c r="Y11" s="656"/>
      <c r="Z11" s="657"/>
      <c r="AA11" s="657"/>
      <c r="AB11" s="658"/>
    </row>
    <row r="12" spans="1:28" ht="9" customHeight="1" thickBot="1">
      <c r="A12" s="61"/>
      <c r="B12" s="56"/>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75"/>
      <c r="AB12" s="76"/>
    </row>
    <row r="13" spans="1:28" s="78" customFormat="1" ht="37.5" customHeight="1" thickBot="1">
      <c r="A13" s="642" t="s">
        <v>79</v>
      </c>
      <c r="B13" s="643"/>
      <c r="C13" s="660"/>
      <c r="D13" s="661"/>
      <c r="E13" s="661"/>
      <c r="F13" s="661"/>
      <c r="G13" s="661"/>
      <c r="H13" s="661"/>
      <c r="I13" s="661"/>
      <c r="J13" s="661"/>
      <c r="K13" s="661"/>
      <c r="L13" s="661"/>
      <c r="M13" s="661"/>
      <c r="N13" s="661"/>
      <c r="O13" s="661"/>
      <c r="P13" s="661"/>
      <c r="Q13" s="662"/>
      <c r="R13" s="56"/>
      <c r="S13" s="745" t="s">
        <v>14</v>
      </c>
      <c r="T13" s="745"/>
      <c r="U13" s="77"/>
      <c r="V13" s="769" t="s">
        <v>15</v>
      </c>
      <c r="W13" s="745"/>
      <c r="X13" s="745"/>
      <c r="Y13" s="745"/>
      <c r="Z13" s="56"/>
      <c r="AA13" s="731"/>
      <c r="AB13" s="73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693" t="s">
        <v>293</v>
      </c>
      <c r="B15" s="694"/>
      <c r="C15" s="775" t="s">
        <v>321</v>
      </c>
      <c r="D15" s="82"/>
      <c r="E15" s="82"/>
      <c r="F15" s="82"/>
      <c r="G15" s="82"/>
      <c r="H15" s="82"/>
      <c r="I15" s="82"/>
      <c r="J15" s="83"/>
      <c r="K15" s="84"/>
      <c r="L15" s="83"/>
      <c r="M15" s="62"/>
      <c r="N15" s="62"/>
      <c r="O15" s="62"/>
      <c r="P15" s="62"/>
      <c r="Q15" s="770" t="s">
        <v>1</v>
      </c>
      <c r="R15" s="771"/>
      <c r="S15" s="771"/>
      <c r="T15" s="771"/>
      <c r="U15" s="771"/>
      <c r="V15" s="771"/>
      <c r="W15" s="771"/>
      <c r="X15" s="771"/>
      <c r="Y15" s="771"/>
      <c r="Z15" s="771"/>
      <c r="AA15" s="771"/>
      <c r="AB15" s="772"/>
    </row>
    <row r="16" spans="1:28" ht="35.25" customHeight="1" thickBot="1">
      <c r="A16" s="697"/>
      <c r="B16" s="698"/>
      <c r="C16" s="776"/>
      <c r="D16" s="82"/>
      <c r="E16" s="82"/>
      <c r="F16" s="82"/>
      <c r="G16" s="82"/>
      <c r="H16" s="82"/>
      <c r="I16" s="82"/>
      <c r="J16" s="83"/>
      <c r="K16" s="83"/>
      <c r="L16" s="83"/>
      <c r="M16" s="62"/>
      <c r="N16" s="62"/>
      <c r="O16" s="62"/>
      <c r="P16" s="62"/>
      <c r="Q16" s="749" t="s">
        <v>2</v>
      </c>
      <c r="R16" s="734"/>
      <c r="S16" s="734"/>
      <c r="T16" s="734"/>
      <c r="U16" s="734"/>
      <c r="V16" s="750"/>
      <c r="W16" s="733" t="s">
        <v>3</v>
      </c>
      <c r="X16" s="734"/>
      <c r="Y16" s="734"/>
      <c r="Z16" s="734"/>
      <c r="AA16" s="734"/>
      <c r="AB16" s="735"/>
    </row>
    <row r="17" spans="1:30" ht="27" customHeight="1">
      <c r="A17" s="85"/>
      <c r="B17" s="62"/>
      <c r="C17" s="62"/>
      <c r="D17" s="82"/>
      <c r="E17" s="82"/>
      <c r="F17" s="82"/>
      <c r="G17" s="82"/>
      <c r="H17" s="82"/>
      <c r="I17" s="82"/>
      <c r="J17" s="82"/>
      <c r="K17" s="82"/>
      <c r="L17" s="82"/>
      <c r="M17" s="62"/>
      <c r="N17" s="62"/>
      <c r="O17" s="62"/>
      <c r="P17" s="62"/>
      <c r="Q17" s="795" t="s">
        <v>4</v>
      </c>
      <c r="R17" s="796"/>
      <c r="S17" s="792"/>
      <c r="T17" s="746" t="s">
        <v>188</v>
      </c>
      <c r="U17" s="747"/>
      <c r="V17" s="748"/>
      <c r="W17" s="791" t="s">
        <v>4</v>
      </c>
      <c r="X17" s="792"/>
      <c r="Y17" s="791" t="s">
        <v>5</v>
      </c>
      <c r="Z17" s="792"/>
      <c r="AA17" s="746" t="s">
        <v>89</v>
      </c>
      <c r="AB17" s="793"/>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746"/>
      <c r="U18" s="747"/>
      <c r="V18" s="748"/>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94"/>
      <c r="R19" s="767"/>
      <c r="S19" s="768"/>
      <c r="T19" s="766"/>
      <c r="U19" s="767"/>
      <c r="V19" s="768"/>
      <c r="W19" s="773"/>
      <c r="X19" s="774"/>
      <c r="Y19" s="789"/>
      <c r="Z19" s="790"/>
      <c r="AA19" s="797"/>
      <c r="AB19" s="798"/>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650" t="s">
        <v>76</v>
      </c>
      <c r="B21" s="651"/>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3"/>
    </row>
    <row r="22" spans="1:28" ht="15" customHeight="1">
      <c r="A22" s="628" t="s">
        <v>189</v>
      </c>
      <c r="B22" s="630" t="s">
        <v>6</v>
      </c>
      <c r="C22" s="631"/>
      <c r="D22" s="591" t="s">
        <v>7</v>
      </c>
      <c r="E22" s="592"/>
      <c r="F22" s="592"/>
      <c r="G22" s="592"/>
      <c r="H22" s="592"/>
      <c r="I22" s="592"/>
      <c r="J22" s="592"/>
      <c r="K22" s="592"/>
      <c r="L22" s="592"/>
      <c r="M22" s="592"/>
      <c r="N22" s="592"/>
      <c r="O22" s="632"/>
      <c r="P22" s="614" t="s">
        <v>8</v>
      </c>
      <c r="Q22" s="614" t="s">
        <v>84</v>
      </c>
      <c r="R22" s="614"/>
      <c r="S22" s="614"/>
      <c r="T22" s="614"/>
      <c r="U22" s="614"/>
      <c r="V22" s="614"/>
      <c r="W22" s="614"/>
      <c r="X22" s="614"/>
      <c r="Y22" s="614"/>
      <c r="Z22" s="614"/>
      <c r="AA22" s="614"/>
      <c r="AB22" s="623"/>
    </row>
    <row r="23" spans="1:28" ht="27" customHeight="1">
      <c r="A23" s="629"/>
      <c r="B23" s="624"/>
      <c r="C23" s="626"/>
      <c r="D23" s="156" t="s">
        <v>39</v>
      </c>
      <c r="E23" s="156" t="s">
        <v>40</v>
      </c>
      <c r="F23" s="156" t="s">
        <v>41</v>
      </c>
      <c r="G23" s="156" t="s">
        <v>42</v>
      </c>
      <c r="H23" s="156" t="s">
        <v>43</v>
      </c>
      <c r="I23" s="156" t="s">
        <v>44</v>
      </c>
      <c r="J23" s="156" t="s">
        <v>45</v>
      </c>
      <c r="K23" s="156" t="s">
        <v>46</v>
      </c>
      <c r="L23" s="156" t="s">
        <v>47</v>
      </c>
      <c r="M23" s="156" t="s">
        <v>48</v>
      </c>
      <c r="N23" s="156" t="s">
        <v>49</v>
      </c>
      <c r="O23" s="156" t="s">
        <v>50</v>
      </c>
      <c r="P23" s="632"/>
      <c r="Q23" s="614"/>
      <c r="R23" s="614"/>
      <c r="S23" s="614"/>
      <c r="T23" s="614"/>
      <c r="U23" s="614"/>
      <c r="V23" s="614"/>
      <c r="W23" s="614"/>
      <c r="X23" s="614"/>
      <c r="Y23" s="614"/>
      <c r="Z23" s="614"/>
      <c r="AA23" s="614"/>
      <c r="AB23" s="623"/>
    </row>
    <row r="24" spans="1:28" ht="42" customHeight="1" thickBot="1">
      <c r="A24" s="88"/>
      <c r="B24" s="615"/>
      <c r="C24" s="616"/>
      <c r="D24" s="92"/>
      <c r="E24" s="92"/>
      <c r="F24" s="92"/>
      <c r="G24" s="92"/>
      <c r="H24" s="92"/>
      <c r="I24" s="92"/>
      <c r="J24" s="92"/>
      <c r="K24" s="92"/>
      <c r="L24" s="92"/>
      <c r="M24" s="92"/>
      <c r="N24" s="92"/>
      <c r="O24" s="92"/>
      <c r="P24" s="89">
        <f>SUM(D24:O24)</f>
        <v>0</v>
      </c>
      <c r="Q24" s="617" t="s">
        <v>296</v>
      </c>
      <c r="R24" s="617"/>
      <c r="S24" s="617"/>
      <c r="T24" s="617"/>
      <c r="U24" s="617"/>
      <c r="V24" s="617"/>
      <c r="W24" s="617"/>
      <c r="X24" s="617"/>
      <c r="Y24" s="617"/>
      <c r="Z24" s="617"/>
      <c r="AA24" s="617"/>
      <c r="AB24" s="618"/>
    </row>
    <row r="25" spans="1:28" ht="21.75" customHeight="1">
      <c r="A25" s="619" t="s">
        <v>292</v>
      </c>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1"/>
    </row>
    <row r="26" spans="1:39" ht="22.5" customHeight="1">
      <c r="A26" s="584" t="s">
        <v>190</v>
      </c>
      <c r="B26" s="614" t="s">
        <v>62</v>
      </c>
      <c r="C26" s="614" t="s">
        <v>6</v>
      </c>
      <c r="D26" s="614" t="s">
        <v>60</v>
      </c>
      <c r="E26" s="614"/>
      <c r="F26" s="614"/>
      <c r="G26" s="614"/>
      <c r="H26" s="614"/>
      <c r="I26" s="614"/>
      <c r="J26" s="614"/>
      <c r="K26" s="614"/>
      <c r="L26" s="614"/>
      <c r="M26" s="614"/>
      <c r="N26" s="614"/>
      <c r="O26" s="614"/>
      <c r="P26" s="614"/>
      <c r="Q26" s="614" t="s">
        <v>85</v>
      </c>
      <c r="R26" s="614"/>
      <c r="S26" s="614"/>
      <c r="T26" s="614"/>
      <c r="U26" s="614"/>
      <c r="V26" s="614"/>
      <c r="W26" s="614"/>
      <c r="X26" s="614"/>
      <c r="Y26" s="614"/>
      <c r="Z26" s="614"/>
      <c r="AA26" s="614"/>
      <c r="AB26" s="623"/>
      <c r="AE26" s="90"/>
      <c r="AF26" s="90"/>
      <c r="AG26" s="90"/>
      <c r="AH26" s="90"/>
      <c r="AI26" s="90"/>
      <c r="AJ26" s="90"/>
      <c r="AK26" s="90"/>
      <c r="AL26" s="90"/>
      <c r="AM26" s="90"/>
    </row>
    <row r="27" spans="1:39" ht="22.5" customHeight="1">
      <c r="A27" s="584"/>
      <c r="B27" s="614"/>
      <c r="C27" s="622"/>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624" t="s">
        <v>80</v>
      </c>
      <c r="R27" s="625"/>
      <c r="S27" s="625"/>
      <c r="T27" s="626"/>
      <c r="U27" s="624" t="s">
        <v>81</v>
      </c>
      <c r="V27" s="625"/>
      <c r="W27" s="625"/>
      <c r="X27" s="626"/>
      <c r="Y27" s="624" t="s">
        <v>82</v>
      </c>
      <c r="Z27" s="625"/>
      <c r="AA27" s="625"/>
      <c r="AB27" s="627"/>
      <c r="AE27" s="90"/>
      <c r="AF27" s="90"/>
      <c r="AG27" s="90"/>
      <c r="AH27" s="90"/>
      <c r="AI27" s="90"/>
      <c r="AJ27" s="90"/>
      <c r="AK27" s="90"/>
      <c r="AL27" s="90"/>
      <c r="AM27" s="90"/>
    </row>
    <row r="28" spans="1:39" ht="33" customHeight="1">
      <c r="A28" s="602"/>
      <c r="B28" s="604"/>
      <c r="C28" s="93" t="s">
        <v>9</v>
      </c>
      <c r="D28" s="92"/>
      <c r="E28" s="92"/>
      <c r="F28" s="92"/>
      <c r="G28" s="92"/>
      <c r="H28" s="92"/>
      <c r="I28" s="92"/>
      <c r="J28" s="92"/>
      <c r="K28" s="92"/>
      <c r="L28" s="92"/>
      <c r="M28" s="92"/>
      <c r="N28" s="92"/>
      <c r="O28" s="92"/>
      <c r="P28" s="177">
        <f>SUM(D28:O28)</f>
        <v>0</v>
      </c>
      <c r="Q28" s="606" t="s">
        <v>192</v>
      </c>
      <c r="R28" s="607"/>
      <c r="S28" s="607"/>
      <c r="T28" s="608"/>
      <c r="U28" s="606" t="s">
        <v>193</v>
      </c>
      <c r="V28" s="607"/>
      <c r="W28" s="607"/>
      <c r="X28" s="608"/>
      <c r="Y28" s="606" t="s">
        <v>194</v>
      </c>
      <c r="Z28" s="607"/>
      <c r="AA28" s="607"/>
      <c r="AB28" s="612"/>
      <c r="AE28" s="90"/>
      <c r="AF28" s="90"/>
      <c r="AG28" s="90"/>
      <c r="AH28" s="90"/>
      <c r="AI28" s="90"/>
      <c r="AJ28" s="90"/>
      <c r="AK28" s="90"/>
      <c r="AL28" s="90"/>
      <c r="AM28" s="90"/>
    </row>
    <row r="29" spans="1:39" ht="33.75" customHeight="1" thickBot="1">
      <c r="A29" s="603"/>
      <c r="B29" s="605"/>
      <c r="C29" s="94" t="s">
        <v>10</v>
      </c>
      <c r="D29" s="95"/>
      <c r="E29" s="95"/>
      <c r="F29" s="95"/>
      <c r="G29" s="96"/>
      <c r="H29" s="96"/>
      <c r="I29" s="96"/>
      <c r="J29" s="96"/>
      <c r="K29" s="96"/>
      <c r="L29" s="96"/>
      <c r="M29" s="96"/>
      <c r="N29" s="96"/>
      <c r="O29" s="96"/>
      <c r="P29" s="178">
        <f>SUM(D29:O29)</f>
        <v>0</v>
      </c>
      <c r="Q29" s="609"/>
      <c r="R29" s="610"/>
      <c r="S29" s="610"/>
      <c r="T29" s="611"/>
      <c r="U29" s="609"/>
      <c r="V29" s="610"/>
      <c r="W29" s="610"/>
      <c r="X29" s="611"/>
      <c r="Y29" s="609"/>
      <c r="Z29" s="610"/>
      <c r="AA29" s="610"/>
      <c r="AB29" s="613"/>
      <c r="AC29" s="50"/>
      <c r="AD29" s="97"/>
      <c r="AE29" s="90"/>
      <c r="AF29" s="90"/>
      <c r="AG29" s="90"/>
      <c r="AH29" s="90"/>
      <c r="AI29" s="90"/>
      <c r="AJ29" s="90"/>
      <c r="AK29" s="90"/>
      <c r="AL29" s="90"/>
      <c r="AM29" s="90"/>
    </row>
    <row r="30" spans="1:39" ht="25.5" customHeight="1">
      <c r="A30" s="583" t="s">
        <v>191</v>
      </c>
      <c r="B30" s="585" t="s">
        <v>61</v>
      </c>
      <c r="C30" s="587" t="s">
        <v>11</v>
      </c>
      <c r="D30" s="587"/>
      <c r="E30" s="587"/>
      <c r="F30" s="587"/>
      <c r="G30" s="587"/>
      <c r="H30" s="587"/>
      <c r="I30" s="587"/>
      <c r="J30" s="587"/>
      <c r="K30" s="587"/>
      <c r="L30" s="587"/>
      <c r="M30" s="587"/>
      <c r="N30" s="587"/>
      <c r="O30" s="587"/>
      <c r="P30" s="587"/>
      <c r="Q30" s="588" t="s">
        <v>78</v>
      </c>
      <c r="R30" s="589"/>
      <c r="S30" s="589"/>
      <c r="T30" s="589"/>
      <c r="U30" s="589"/>
      <c r="V30" s="589"/>
      <c r="W30" s="589"/>
      <c r="X30" s="589"/>
      <c r="Y30" s="589"/>
      <c r="Z30" s="589"/>
      <c r="AA30" s="589"/>
      <c r="AB30" s="590"/>
      <c r="AE30" s="90"/>
      <c r="AF30" s="90"/>
      <c r="AG30" s="90"/>
      <c r="AH30" s="90"/>
      <c r="AI30" s="90"/>
      <c r="AJ30" s="90"/>
      <c r="AK30" s="90"/>
      <c r="AL30" s="90"/>
      <c r="AM30" s="90"/>
    </row>
    <row r="31" spans="1:39" ht="25.5" customHeight="1">
      <c r="A31" s="584"/>
      <c r="B31" s="586"/>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91" t="s">
        <v>83</v>
      </c>
      <c r="R31" s="592"/>
      <c r="S31" s="592"/>
      <c r="T31" s="592"/>
      <c r="U31" s="592"/>
      <c r="V31" s="592"/>
      <c r="W31" s="592"/>
      <c r="X31" s="592"/>
      <c r="Y31" s="592"/>
      <c r="Z31" s="592"/>
      <c r="AA31" s="592"/>
      <c r="AB31" s="593"/>
      <c r="AE31" s="98"/>
      <c r="AF31" s="98"/>
      <c r="AG31" s="98"/>
      <c r="AH31" s="98"/>
      <c r="AI31" s="98"/>
      <c r="AJ31" s="98"/>
      <c r="AK31" s="98"/>
      <c r="AL31" s="98"/>
      <c r="AM31" s="98"/>
    </row>
    <row r="32" spans="1:39" ht="28.5" customHeight="1">
      <c r="A32" s="594"/>
      <c r="B32" s="595"/>
      <c r="C32" s="93" t="s">
        <v>9</v>
      </c>
      <c r="D32" s="99"/>
      <c r="E32" s="99"/>
      <c r="F32" s="99"/>
      <c r="G32" s="99"/>
      <c r="H32" s="99"/>
      <c r="I32" s="99"/>
      <c r="J32" s="99"/>
      <c r="K32" s="99"/>
      <c r="L32" s="99"/>
      <c r="M32" s="99"/>
      <c r="N32" s="99"/>
      <c r="O32" s="99"/>
      <c r="P32" s="100">
        <f aca="true" t="shared" si="0" ref="P32:P39">SUM(D32:O32)</f>
        <v>0</v>
      </c>
      <c r="Q32" s="596" t="s">
        <v>286</v>
      </c>
      <c r="R32" s="597"/>
      <c r="S32" s="597"/>
      <c r="T32" s="597"/>
      <c r="U32" s="597"/>
      <c r="V32" s="597"/>
      <c r="W32" s="597"/>
      <c r="X32" s="597"/>
      <c r="Y32" s="597"/>
      <c r="Z32" s="597"/>
      <c r="AA32" s="597"/>
      <c r="AB32" s="598"/>
      <c r="AC32" s="101"/>
      <c r="AE32" s="102"/>
      <c r="AF32" s="102"/>
      <c r="AG32" s="102"/>
      <c r="AH32" s="102"/>
      <c r="AI32" s="102"/>
      <c r="AJ32" s="102"/>
      <c r="AK32" s="102"/>
      <c r="AL32" s="102"/>
      <c r="AM32" s="102"/>
    </row>
    <row r="33" spans="1:29" ht="28.5" customHeight="1">
      <c r="A33" s="576"/>
      <c r="B33" s="577"/>
      <c r="C33" s="103" t="s">
        <v>10</v>
      </c>
      <c r="D33" s="104"/>
      <c r="E33" s="104"/>
      <c r="F33" s="104"/>
      <c r="G33" s="104"/>
      <c r="H33" s="104"/>
      <c r="I33" s="104"/>
      <c r="J33" s="104"/>
      <c r="K33" s="104"/>
      <c r="L33" s="104"/>
      <c r="M33" s="104"/>
      <c r="N33" s="104"/>
      <c r="O33" s="104"/>
      <c r="P33" s="105">
        <f t="shared" si="0"/>
        <v>0</v>
      </c>
      <c r="Q33" s="599"/>
      <c r="R33" s="600"/>
      <c r="S33" s="600"/>
      <c r="T33" s="600"/>
      <c r="U33" s="600"/>
      <c r="V33" s="600"/>
      <c r="W33" s="600"/>
      <c r="X33" s="600"/>
      <c r="Y33" s="600"/>
      <c r="Z33" s="600"/>
      <c r="AA33" s="600"/>
      <c r="AB33" s="601"/>
      <c r="AC33" s="101"/>
    </row>
    <row r="34" spans="1:29" ht="28.5" customHeight="1">
      <c r="A34" s="576"/>
      <c r="B34" s="568"/>
      <c r="C34" s="106" t="s">
        <v>9</v>
      </c>
      <c r="D34" s="107"/>
      <c r="E34" s="107"/>
      <c r="F34" s="107"/>
      <c r="G34" s="107"/>
      <c r="H34" s="107"/>
      <c r="I34" s="107"/>
      <c r="J34" s="107"/>
      <c r="K34" s="107"/>
      <c r="L34" s="107"/>
      <c r="M34" s="107"/>
      <c r="N34" s="107"/>
      <c r="O34" s="107"/>
      <c r="P34" s="105">
        <f t="shared" si="0"/>
        <v>0</v>
      </c>
      <c r="Q34" s="570"/>
      <c r="R34" s="571"/>
      <c r="S34" s="571"/>
      <c r="T34" s="571"/>
      <c r="U34" s="571"/>
      <c r="V34" s="571"/>
      <c r="W34" s="571"/>
      <c r="X34" s="571"/>
      <c r="Y34" s="571"/>
      <c r="Z34" s="571"/>
      <c r="AA34" s="571"/>
      <c r="AB34" s="572"/>
      <c r="AC34" s="101"/>
    </row>
    <row r="35" spans="1:29" ht="28.5" customHeight="1">
      <c r="A35" s="576"/>
      <c r="B35" s="577"/>
      <c r="C35" s="103" t="s">
        <v>10</v>
      </c>
      <c r="D35" s="104"/>
      <c r="E35" s="104"/>
      <c r="F35" s="104"/>
      <c r="G35" s="104"/>
      <c r="H35" s="104"/>
      <c r="I35" s="104"/>
      <c r="J35" s="104"/>
      <c r="K35" s="104"/>
      <c r="L35" s="108"/>
      <c r="M35" s="108"/>
      <c r="N35" s="108"/>
      <c r="O35" s="108"/>
      <c r="P35" s="105">
        <f t="shared" si="0"/>
        <v>0</v>
      </c>
      <c r="Q35" s="578"/>
      <c r="R35" s="579"/>
      <c r="S35" s="579"/>
      <c r="T35" s="579"/>
      <c r="U35" s="579"/>
      <c r="V35" s="579"/>
      <c r="W35" s="579"/>
      <c r="X35" s="579"/>
      <c r="Y35" s="579"/>
      <c r="Z35" s="579"/>
      <c r="AA35" s="579"/>
      <c r="AB35" s="580"/>
      <c r="AC35" s="101"/>
    </row>
    <row r="36" spans="1:29" ht="28.5" customHeight="1">
      <c r="A36" s="581"/>
      <c r="B36" s="568"/>
      <c r="C36" s="106" t="s">
        <v>9</v>
      </c>
      <c r="D36" s="107"/>
      <c r="E36" s="107"/>
      <c r="F36" s="107"/>
      <c r="G36" s="107"/>
      <c r="H36" s="107"/>
      <c r="I36" s="107"/>
      <c r="J36" s="107"/>
      <c r="K36" s="107"/>
      <c r="L36" s="107"/>
      <c r="M36" s="107"/>
      <c r="N36" s="107"/>
      <c r="O36" s="107"/>
      <c r="P36" s="105">
        <f t="shared" si="0"/>
        <v>0</v>
      </c>
      <c r="Q36" s="570"/>
      <c r="R36" s="571"/>
      <c r="S36" s="571"/>
      <c r="T36" s="571"/>
      <c r="U36" s="571"/>
      <c r="V36" s="571"/>
      <c r="W36" s="571"/>
      <c r="X36" s="571"/>
      <c r="Y36" s="571"/>
      <c r="Z36" s="571"/>
      <c r="AA36" s="571"/>
      <c r="AB36" s="572"/>
      <c r="AC36" s="101"/>
    </row>
    <row r="37" spans="1:29" ht="28.5" customHeight="1">
      <c r="A37" s="582"/>
      <c r="B37" s="577"/>
      <c r="C37" s="103" t="s">
        <v>10</v>
      </c>
      <c r="D37" s="104"/>
      <c r="E37" s="104"/>
      <c r="F37" s="104"/>
      <c r="G37" s="109"/>
      <c r="H37" s="104"/>
      <c r="I37" s="104"/>
      <c r="J37" s="104"/>
      <c r="K37" s="104"/>
      <c r="L37" s="108"/>
      <c r="M37" s="108"/>
      <c r="N37" s="108"/>
      <c r="O37" s="108"/>
      <c r="P37" s="105">
        <f t="shared" si="0"/>
        <v>0</v>
      </c>
      <c r="Q37" s="578"/>
      <c r="R37" s="579"/>
      <c r="S37" s="579"/>
      <c r="T37" s="579"/>
      <c r="U37" s="579"/>
      <c r="V37" s="579"/>
      <c r="W37" s="579"/>
      <c r="X37" s="579"/>
      <c r="Y37" s="579"/>
      <c r="Z37" s="579"/>
      <c r="AA37" s="579"/>
      <c r="AB37" s="580"/>
      <c r="AC37" s="101"/>
    </row>
    <row r="38" spans="1:29" ht="28.5" customHeight="1">
      <c r="A38" s="566"/>
      <c r="B38" s="568"/>
      <c r="C38" s="106" t="s">
        <v>9</v>
      </c>
      <c r="D38" s="107"/>
      <c r="E38" s="107"/>
      <c r="F38" s="107"/>
      <c r="G38" s="107"/>
      <c r="H38" s="107"/>
      <c r="I38" s="107"/>
      <c r="J38" s="107"/>
      <c r="K38" s="107"/>
      <c r="L38" s="107"/>
      <c r="M38" s="107"/>
      <c r="N38" s="107"/>
      <c r="O38" s="107"/>
      <c r="P38" s="105">
        <f t="shared" si="0"/>
        <v>0</v>
      </c>
      <c r="Q38" s="570"/>
      <c r="R38" s="571"/>
      <c r="S38" s="571"/>
      <c r="T38" s="571"/>
      <c r="U38" s="571"/>
      <c r="V38" s="571"/>
      <c r="W38" s="571"/>
      <c r="X38" s="571"/>
      <c r="Y38" s="571"/>
      <c r="Z38" s="571"/>
      <c r="AA38" s="571"/>
      <c r="AB38" s="572"/>
      <c r="AC38" s="101"/>
    </row>
    <row r="39" spans="1:29" ht="28.5" customHeight="1" thickBot="1">
      <c r="A39" s="567"/>
      <c r="B39" s="569"/>
      <c r="C39" s="94" t="s">
        <v>10</v>
      </c>
      <c r="D39" s="110"/>
      <c r="E39" s="110"/>
      <c r="F39" s="110"/>
      <c r="G39" s="110"/>
      <c r="H39" s="110"/>
      <c r="I39" s="110"/>
      <c r="J39" s="110"/>
      <c r="K39" s="110"/>
      <c r="L39" s="111"/>
      <c r="M39" s="111"/>
      <c r="N39" s="111"/>
      <c r="O39" s="111"/>
      <c r="P39" s="112">
        <f t="shared" si="0"/>
        <v>0</v>
      </c>
      <c r="Q39" s="573"/>
      <c r="R39" s="574"/>
      <c r="S39" s="574"/>
      <c r="T39" s="574"/>
      <c r="U39" s="574"/>
      <c r="V39" s="574"/>
      <c r="W39" s="574"/>
      <c r="X39" s="574"/>
      <c r="Y39" s="574"/>
      <c r="Z39" s="574"/>
      <c r="AA39" s="574"/>
      <c r="AB39" s="575"/>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AY26"/>
  <sheetViews>
    <sheetView view="pageBreakPreview" zoomScale="60" zoomScaleNormal="70" zoomScalePageLayoutView="0" workbookViewId="0" topLeftCell="AD9">
      <selection activeCell="AX13" sqref="AX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163.57421875" style="113" customWidth="1"/>
    <col min="50" max="51" width="24.421875" style="113" customWidth="1"/>
    <col min="52" max="16384" width="10.8515625" style="113" customWidth="1"/>
  </cols>
  <sheetData>
    <row r="1" spans="1:51" ht="15.75" customHeight="1">
      <c r="A1" s="1172" t="s">
        <v>16</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c r="AC1" s="1173"/>
      <c r="AD1" s="1173"/>
      <c r="AE1" s="1173"/>
      <c r="AF1" s="1173"/>
      <c r="AG1" s="1173"/>
      <c r="AH1" s="1173"/>
      <c r="AI1" s="1173"/>
      <c r="AJ1" s="1173"/>
      <c r="AK1" s="1173"/>
      <c r="AL1" s="1173"/>
      <c r="AM1" s="1173"/>
      <c r="AN1" s="1173"/>
      <c r="AO1" s="1173"/>
      <c r="AP1" s="1173"/>
      <c r="AQ1" s="1173"/>
      <c r="AR1" s="1173"/>
      <c r="AS1" s="1173"/>
      <c r="AT1" s="1173"/>
      <c r="AU1" s="1173"/>
      <c r="AV1" s="1173"/>
      <c r="AW1" s="1174"/>
      <c r="AX1" s="1171" t="s">
        <v>423</v>
      </c>
      <c r="AY1" s="1193"/>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424</v>
      </c>
      <c r="AY3" s="1193"/>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784</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89">
        <v>45300</v>
      </c>
      <c r="E6" s="890"/>
      <c r="F6" s="830" t="s">
        <v>67</v>
      </c>
      <c r="G6" s="832"/>
      <c r="H6" s="1192" t="s">
        <v>70</v>
      </c>
      <c r="I6" s="1192"/>
      <c r="J6" s="121"/>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834"/>
      <c r="AJ6" s="834"/>
      <c r="AK6" s="834"/>
      <c r="AL6" s="834"/>
      <c r="AM6" s="834"/>
      <c r="AN6" s="834"/>
      <c r="AO6" s="834"/>
      <c r="AP6" s="834"/>
      <c r="AQ6" s="834"/>
      <c r="AR6" s="834"/>
      <c r="AS6" s="834"/>
      <c r="AT6" s="834"/>
      <c r="AU6" s="835"/>
      <c r="AV6" s="828"/>
      <c r="AW6" s="828"/>
      <c r="AX6" s="828"/>
      <c r="AY6" s="828"/>
    </row>
    <row r="7" spans="1:51" ht="15" customHeight="1">
      <c r="A7" s="839"/>
      <c r="B7" s="839"/>
      <c r="C7" s="839"/>
      <c r="D7" s="891"/>
      <c r="E7" s="892"/>
      <c r="F7" s="833"/>
      <c r="G7" s="835"/>
      <c r="H7" s="1192" t="s">
        <v>68</v>
      </c>
      <c r="I7" s="1192"/>
      <c r="J7" s="121"/>
      <c r="K7" s="833"/>
      <c r="L7" s="834"/>
      <c r="M7" s="834"/>
      <c r="N7" s="834"/>
      <c r="O7" s="834"/>
      <c r="P7" s="834"/>
      <c r="Q7" s="834"/>
      <c r="R7" s="834"/>
      <c r="S7" s="834"/>
      <c r="T7" s="834"/>
      <c r="U7" s="834"/>
      <c r="V7" s="116"/>
      <c r="W7" s="116"/>
      <c r="X7" s="116"/>
      <c r="Y7" s="116"/>
      <c r="Z7" s="116"/>
      <c r="AA7" s="116"/>
      <c r="AB7" s="116"/>
      <c r="AC7" s="116"/>
      <c r="AD7" s="116"/>
      <c r="AE7" s="116"/>
      <c r="AF7" s="116"/>
      <c r="AG7" s="117"/>
      <c r="AH7" s="833"/>
      <c r="AI7" s="834"/>
      <c r="AJ7" s="834"/>
      <c r="AK7" s="834"/>
      <c r="AL7" s="834"/>
      <c r="AM7" s="834"/>
      <c r="AN7" s="834"/>
      <c r="AO7" s="834"/>
      <c r="AP7" s="834"/>
      <c r="AQ7" s="834"/>
      <c r="AR7" s="834"/>
      <c r="AS7" s="834"/>
      <c r="AT7" s="834"/>
      <c r="AU7" s="835"/>
      <c r="AV7" s="828"/>
      <c r="AW7" s="828"/>
      <c r="AX7" s="828"/>
      <c r="AY7" s="828"/>
    </row>
    <row r="8" spans="1:51" ht="15" customHeight="1">
      <c r="A8" s="839"/>
      <c r="B8" s="839"/>
      <c r="C8" s="839"/>
      <c r="D8" s="893"/>
      <c r="E8" s="894"/>
      <c r="F8" s="836"/>
      <c r="G8" s="838"/>
      <c r="H8" s="1192" t="s">
        <v>69</v>
      </c>
      <c r="I8" s="1192"/>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834"/>
      <c r="AJ8" s="834"/>
      <c r="AK8" s="834"/>
      <c r="AL8" s="834"/>
      <c r="AM8" s="834"/>
      <c r="AN8" s="834"/>
      <c r="AO8" s="834"/>
      <c r="AP8" s="834"/>
      <c r="AQ8" s="834"/>
      <c r="AR8" s="834"/>
      <c r="AS8" s="834"/>
      <c r="AT8" s="834"/>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834"/>
      <c r="AJ9" s="834"/>
      <c r="AK9" s="834"/>
      <c r="AL9" s="834"/>
      <c r="AM9" s="834"/>
      <c r="AN9" s="834"/>
      <c r="AO9" s="834"/>
      <c r="AP9" s="834"/>
      <c r="AQ9" s="834"/>
      <c r="AR9" s="834"/>
      <c r="AS9" s="834"/>
      <c r="AT9" s="834"/>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414" t="s">
        <v>169</v>
      </c>
      <c r="B12" s="414" t="s">
        <v>170</v>
      </c>
      <c r="C12" s="414" t="s">
        <v>171</v>
      </c>
      <c r="D12" s="414" t="s">
        <v>178</v>
      </c>
      <c r="E12" s="414" t="s">
        <v>185</v>
      </c>
      <c r="F12" s="414" t="s">
        <v>186</v>
      </c>
      <c r="G12" s="414" t="s">
        <v>277</v>
      </c>
      <c r="H12" s="414" t="s">
        <v>184</v>
      </c>
      <c r="I12" s="821"/>
      <c r="J12" s="821"/>
      <c r="K12" s="821"/>
      <c r="L12" s="821"/>
      <c r="M12" s="821"/>
      <c r="N12" s="821"/>
      <c r="O12" s="414">
        <v>2020</v>
      </c>
      <c r="P12" s="414">
        <v>2021</v>
      </c>
      <c r="Q12" s="414">
        <v>2022</v>
      </c>
      <c r="R12" s="414">
        <v>2023</v>
      </c>
      <c r="S12" s="414">
        <v>2024</v>
      </c>
      <c r="T12" s="821"/>
      <c r="U12" s="821"/>
      <c r="V12" s="413" t="s">
        <v>39</v>
      </c>
      <c r="W12" s="413" t="s">
        <v>40</v>
      </c>
      <c r="X12" s="413" t="s">
        <v>41</v>
      </c>
      <c r="Y12" s="413" t="s">
        <v>42</v>
      </c>
      <c r="Z12" s="413" t="s">
        <v>43</v>
      </c>
      <c r="AA12" s="413" t="s">
        <v>44</v>
      </c>
      <c r="AB12" s="413" t="s">
        <v>45</v>
      </c>
      <c r="AC12" s="413" t="s">
        <v>46</v>
      </c>
      <c r="AD12" s="413" t="s">
        <v>47</v>
      </c>
      <c r="AE12" s="413" t="s">
        <v>48</v>
      </c>
      <c r="AF12" s="413" t="s">
        <v>49</v>
      </c>
      <c r="AG12" s="413" t="s">
        <v>50</v>
      </c>
      <c r="AH12" s="413" t="s">
        <v>39</v>
      </c>
      <c r="AI12" s="413" t="s">
        <v>40</v>
      </c>
      <c r="AJ12" s="413" t="s">
        <v>41</v>
      </c>
      <c r="AK12" s="413" t="s">
        <v>42</v>
      </c>
      <c r="AL12" s="413" t="s">
        <v>43</v>
      </c>
      <c r="AM12" s="413" t="s">
        <v>44</v>
      </c>
      <c r="AN12" s="413" t="s">
        <v>45</v>
      </c>
      <c r="AO12" s="413" t="s">
        <v>46</v>
      </c>
      <c r="AP12" s="413" t="s">
        <v>47</v>
      </c>
      <c r="AQ12" s="413" t="s">
        <v>48</v>
      </c>
      <c r="AR12" s="413" t="s">
        <v>49</v>
      </c>
      <c r="AS12" s="413" t="s">
        <v>50</v>
      </c>
      <c r="AT12" s="414" t="s">
        <v>413</v>
      </c>
      <c r="AU12" s="216" t="s">
        <v>88</v>
      </c>
      <c r="AV12" s="821"/>
      <c r="AW12" s="821"/>
      <c r="AX12" s="821"/>
      <c r="AY12" s="821"/>
    </row>
    <row r="13" spans="1:51" ht="409.5" customHeight="1">
      <c r="A13" s="121"/>
      <c r="B13" s="121"/>
      <c r="C13" s="121"/>
      <c r="D13" s="121"/>
      <c r="E13" s="121" t="s">
        <v>425</v>
      </c>
      <c r="F13" s="121"/>
      <c r="G13" s="456" t="s">
        <v>602</v>
      </c>
      <c r="H13" s="121"/>
      <c r="I13" s="313" t="s">
        <v>603</v>
      </c>
      <c r="J13" s="313" t="s">
        <v>604</v>
      </c>
      <c r="K13" s="124" t="s">
        <v>430</v>
      </c>
      <c r="L13" s="121" t="s">
        <v>450</v>
      </c>
      <c r="M13" s="122" t="s">
        <v>431</v>
      </c>
      <c r="N13" s="313" t="s">
        <v>605</v>
      </c>
      <c r="O13" s="123"/>
      <c r="P13" s="123"/>
      <c r="Q13" s="123"/>
      <c r="R13" s="378">
        <v>1</v>
      </c>
      <c r="S13" s="123"/>
      <c r="T13" s="121" t="s">
        <v>460</v>
      </c>
      <c r="U13" s="122" t="s">
        <v>606</v>
      </c>
      <c r="V13" s="377">
        <v>0.08333333333333334</v>
      </c>
      <c r="W13" s="377">
        <v>0.08333333333333334</v>
      </c>
      <c r="X13" s="377">
        <v>0.08333333333333334</v>
      </c>
      <c r="Y13" s="377">
        <v>0.08333333333333334</v>
      </c>
      <c r="Z13" s="377">
        <v>0.08333333333333334</v>
      </c>
      <c r="AA13" s="377">
        <v>0.08333333333333334</v>
      </c>
      <c r="AB13" s="377">
        <v>0.08333333333333334</v>
      </c>
      <c r="AC13" s="377">
        <v>0.08333333333333334</v>
      </c>
      <c r="AD13" s="377">
        <v>0.08333333333333334</v>
      </c>
      <c r="AE13" s="377">
        <v>0.08333333333333334</v>
      </c>
      <c r="AF13" s="377">
        <v>0.08333333333333334</v>
      </c>
      <c r="AG13" s="377">
        <v>0.08333333333333334</v>
      </c>
      <c r="AH13" s="377">
        <v>0.08333333333333334</v>
      </c>
      <c r="AI13" s="377">
        <v>0.08333333333333334</v>
      </c>
      <c r="AJ13" s="377">
        <v>0.08333333333333334</v>
      </c>
      <c r="AK13" s="452">
        <v>0.0833</v>
      </c>
      <c r="AL13" s="452">
        <v>0.0833</v>
      </c>
      <c r="AM13" s="452">
        <v>0.0833333333333333</v>
      </c>
      <c r="AN13" s="497">
        <v>0.0833333333333333</v>
      </c>
      <c r="AO13" s="377">
        <v>0.08333333333333334</v>
      </c>
      <c r="AP13" s="452">
        <v>0.08333333333333334</v>
      </c>
      <c r="AQ13" s="452">
        <v>0.0833333333333333</v>
      </c>
      <c r="AR13" s="452">
        <v>0.0833333333333333</v>
      </c>
      <c r="AS13" s="452">
        <v>0.0833333333333333</v>
      </c>
      <c r="AT13" s="410">
        <f>SUM(AH13:AS13)</f>
        <v>0.9999333333333331</v>
      </c>
      <c r="AU13" s="127">
        <f>+AT13/R13</f>
        <v>0.9999333333333331</v>
      </c>
      <c r="AV13" s="560" t="s">
        <v>1017</v>
      </c>
      <c r="AW13" s="538" t="s">
        <v>1018</v>
      </c>
      <c r="AX13" s="444" t="s">
        <v>1019</v>
      </c>
      <c r="AY13" s="444" t="s">
        <v>1019</v>
      </c>
    </row>
    <row r="14" spans="1:51" ht="261" customHeight="1">
      <c r="A14" s="121"/>
      <c r="B14" s="121"/>
      <c r="C14" s="121"/>
      <c r="D14" s="121"/>
      <c r="E14" s="121" t="s">
        <v>425</v>
      </c>
      <c r="F14" s="121"/>
      <c r="G14" s="456" t="s">
        <v>602</v>
      </c>
      <c r="H14" s="121"/>
      <c r="I14" s="313" t="s">
        <v>607</v>
      </c>
      <c r="J14" s="313" t="s">
        <v>608</v>
      </c>
      <c r="K14" s="124" t="s">
        <v>430</v>
      </c>
      <c r="L14" s="124" t="s">
        <v>450</v>
      </c>
      <c r="M14" s="121" t="s">
        <v>431</v>
      </c>
      <c r="N14" s="313" t="s">
        <v>609</v>
      </c>
      <c r="O14" s="124"/>
      <c r="P14" s="124"/>
      <c r="Q14" s="124"/>
      <c r="R14" s="378">
        <v>1</v>
      </c>
      <c r="S14" s="124"/>
      <c r="T14" s="122" t="s">
        <v>610</v>
      </c>
      <c r="U14" s="122" t="s">
        <v>611</v>
      </c>
      <c r="V14" s="379">
        <v>0.25</v>
      </c>
      <c r="W14" s="380"/>
      <c r="X14" s="380"/>
      <c r="Y14" s="379">
        <v>0.25</v>
      </c>
      <c r="Z14" s="380"/>
      <c r="AA14" s="380"/>
      <c r="AB14" s="379">
        <v>0.5</v>
      </c>
      <c r="AC14" s="327"/>
      <c r="AD14" s="328"/>
      <c r="AE14" s="124"/>
      <c r="AF14" s="124"/>
      <c r="AG14" s="124"/>
      <c r="AH14" s="378">
        <v>0.25</v>
      </c>
      <c r="AI14" s="124"/>
      <c r="AJ14" s="124"/>
      <c r="AK14" s="127">
        <v>0.25</v>
      </c>
      <c r="AL14" s="124"/>
      <c r="AM14" s="124"/>
      <c r="AN14" s="327">
        <v>0.5</v>
      </c>
      <c r="AO14" s="124"/>
      <c r="AP14" s="124"/>
      <c r="AQ14" s="124"/>
      <c r="AR14" s="124"/>
      <c r="AS14" s="124"/>
      <c r="AT14" s="127">
        <f>SUM(AH14:AS14)</f>
        <v>1</v>
      </c>
      <c r="AU14" s="127">
        <f>+AT14/R14</f>
        <v>1</v>
      </c>
      <c r="AV14" s="493" t="s">
        <v>1020</v>
      </c>
      <c r="AW14" s="524" t="s">
        <v>1021</v>
      </c>
      <c r="AX14" s="444" t="s">
        <v>1019</v>
      </c>
      <c r="AY14" s="444" t="s">
        <v>1019</v>
      </c>
    </row>
    <row r="15" spans="1:51" ht="107.25" customHeight="1">
      <c r="A15" s="121"/>
      <c r="B15" s="121"/>
      <c r="C15" s="121"/>
      <c r="D15" s="121"/>
      <c r="E15" s="121" t="s">
        <v>425</v>
      </c>
      <c r="F15" s="121"/>
      <c r="G15" s="456" t="s">
        <v>602</v>
      </c>
      <c r="H15" s="121"/>
      <c r="I15" s="313" t="s">
        <v>612</v>
      </c>
      <c r="J15" s="313" t="s">
        <v>613</v>
      </c>
      <c r="K15" s="124" t="s">
        <v>453</v>
      </c>
      <c r="L15" s="124" t="s">
        <v>450</v>
      </c>
      <c r="M15" s="122" t="s">
        <v>614</v>
      </c>
      <c r="N15" s="313" t="s">
        <v>615</v>
      </c>
      <c r="O15" s="124"/>
      <c r="P15" s="124"/>
      <c r="Q15" s="124"/>
      <c r="R15" s="378">
        <v>1</v>
      </c>
      <c r="S15" s="124"/>
      <c r="T15" s="121" t="s">
        <v>460</v>
      </c>
      <c r="U15" s="122" t="s">
        <v>616</v>
      </c>
      <c r="V15" s="381">
        <v>1</v>
      </c>
      <c r="W15" s="381">
        <v>1</v>
      </c>
      <c r="X15" s="381">
        <v>1</v>
      </c>
      <c r="Y15" s="381">
        <v>1</v>
      </c>
      <c r="Z15" s="381">
        <v>1</v>
      </c>
      <c r="AA15" s="381">
        <v>1</v>
      </c>
      <c r="AB15" s="381">
        <v>1</v>
      </c>
      <c r="AC15" s="381">
        <v>1</v>
      </c>
      <c r="AD15" s="381">
        <v>1</v>
      </c>
      <c r="AE15" s="381">
        <v>1</v>
      </c>
      <c r="AF15" s="381">
        <v>1</v>
      </c>
      <c r="AG15" s="381">
        <v>1</v>
      </c>
      <c r="AH15" s="379">
        <v>1</v>
      </c>
      <c r="AI15" s="379">
        <v>1</v>
      </c>
      <c r="AJ15" s="379">
        <v>1</v>
      </c>
      <c r="AK15" s="307">
        <v>1</v>
      </c>
      <c r="AL15" s="307">
        <v>1</v>
      </c>
      <c r="AM15" s="467">
        <v>1</v>
      </c>
      <c r="AN15" s="327">
        <v>1</v>
      </c>
      <c r="AO15" s="467">
        <v>1</v>
      </c>
      <c r="AP15" s="467">
        <v>1</v>
      </c>
      <c r="AQ15" s="467">
        <v>1</v>
      </c>
      <c r="AR15" s="467">
        <v>1</v>
      </c>
      <c r="AS15" s="467">
        <v>1</v>
      </c>
      <c r="AT15" s="127">
        <f>AVERAGE(AH15:AS15)</f>
        <v>1</v>
      </c>
      <c r="AU15" s="378">
        <f>+(SUM(AH15:AS15)/+SUM(V15:AG15))</f>
        <v>1</v>
      </c>
      <c r="AV15" s="539" t="s">
        <v>1022</v>
      </c>
      <c r="AW15" s="539" t="s">
        <v>1023</v>
      </c>
      <c r="AX15" s="444" t="s">
        <v>1019</v>
      </c>
      <c r="AY15" s="444" t="s">
        <v>1019</v>
      </c>
    </row>
    <row r="16" spans="1:51" ht="107.25" customHeight="1">
      <c r="A16" s="121"/>
      <c r="B16" s="121"/>
      <c r="C16" s="121"/>
      <c r="D16" s="121"/>
      <c r="E16" s="121" t="s">
        <v>425</v>
      </c>
      <c r="F16" s="121"/>
      <c r="G16" s="456" t="s">
        <v>602</v>
      </c>
      <c r="H16" s="121"/>
      <c r="I16" s="313" t="s">
        <v>617</v>
      </c>
      <c r="J16" s="313" t="s">
        <v>618</v>
      </c>
      <c r="K16" s="124" t="s">
        <v>430</v>
      </c>
      <c r="L16" s="124" t="s">
        <v>450</v>
      </c>
      <c r="M16" s="122" t="s">
        <v>619</v>
      </c>
      <c r="N16" s="313" t="s">
        <v>620</v>
      </c>
      <c r="O16" s="124"/>
      <c r="P16" s="124"/>
      <c r="Q16" s="124"/>
      <c r="R16" s="378">
        <v>1</v>
      </c>
      <c r="S16" s="124"/>
      <c r="T16" s="121" t="s">
        <v>460</v>
      </c>
      <c r="U16" s="122" t="s">
        <v>621</v>
      </c>
      <c r="V16" s="377">
        <v>0.08333333333333334</v>
      </c>
      <c r="W16" s="377">
        <v>0.08333333333333334</v>
      </c>
      <c r="X16" s="377">
        <v>0.08333333333333334</v>
      </c>
      <c r="Y16" s="377">
        <v>0.08333333333333334</v>
      </c>
      <c r="Z16" s="377">
        <v>0.08333333333333334</v>
      </c>
      <c r="AA16" s="377">
        <v>0.08333333333333334</v>
      </c>
      <c r="AB16" s="377">
        <v>0.08333333333333334</v>
      </c>
      <c r="AC16" s="377">
        <v>0.08333333333333334</v>
      </c>
      <c r="AD16" s="377">
        <v>0.08333333333333334</v>
      </c>
      <c r="AE16" s="377">
        <v>0.08333333333333334</v>
      </c>
      <c r="AF16" s="377">
        <v>0.08333333333333334</v>
      </c>
      <c r="AG16" s="377">
        <v>0.08333333333333334</v>
      </c>
      <c r="AH16" s="377">
        <v>0.0833</v>
      </c>
      <c r="AI16" s="377">
        <v>0.0833</v>
      </c>
      <c r="AJ16" s="377">
        <v>0.0833</v>
      </c>
      <c r="AK16" s="452">
        <v>0.0833</v>
      </c>
      <c r="AL16" s="452">
        <v>0.0833</v>
      </c>
      <c r="AM16" s="452">
        <v>0.0833</v>
      </c>
      <c r="AN16" s="497">
        <v>0.0833</v>
      </c>
      <c r="AO16" s="452">
        <v>0.0833</v>
      </c>
      <c r="AP16" s="452">
        <v>0.0833</v>
      </c>
      <c r="AQ16" s="452">
        <v>0.0833</v>
      </c>
      <c r="AR16" s="452">
        <v>0.0833</v>
      </c>
      <c r="AS16" s="452">
        <v>0.0833</v>
      </c>
      <c r="AT16" s="410">
        <f>SUM(AH16:AS16)</f>
        <v>0.9996000000000002</v>
      </c>
      <c r="AU16" s="127">
        <f>+AT16/R16</f>
        <v>0.9996000000000002</v>
      </c>
      <c r="AV16" s="539" t="s">
        <v>1024</v>
      </c>
      <c r="AW16" s="539" t="s">
        <v>1025</v>
      </c>
      <c r="AX16" s="444" t="s">
        <v>1019</v>
      </c>
      <c r="AY16" s="444" t="s">
        <v>1019</v>
      </c>
    </row>
    <row r="17" spans="1:51" ht="54" customHeight="1">
      <c r="A17" s="823" t="s">
        <v>64</v>
      </c>
      <c r="B17" s="823"/>
      <c r="C17" s="823"/>
      <c r="D17" s="819" t="s">
        <v>66</v>
      </c>
      <c r="E17" s="819"/>
      <c r="F17" s="819"/>
      <c r="G17" s="819"/>
      <c r="H17" s="819"/>
      <c r="I17" s="819"/>
      <c r="J17" s="824" t="s">
        <v>300</v>
      </c>
      <c r="K17" s="824"/>
      <c r="L17" s="824"/>
      <c r="M17" s="824"/>
      <c r="N17" s="824"/>
      <c r="O17" s="824"/>
      <c r="P17" s="819" t="s">
        <v>66</v>
      </c>
      <c r="Q17" s="819"/>
      <c r="R17" s="819"/>
      <c r="S17" s="819"/>
      <c r="T17" s="819"/>
      <c r="U17" s="819"/>
      <c r="V17" s="819" t="s">
        <v>66</v>
      </c>
      <c r="W17" s="819"/>
      <c r="X17" s="819"/>
      <c r="Y17" s="819"/>
      <c r="Z17" s="819"/>
      <c r="AA17" s="819"/>
      <c r="AB17" s="819"/>
      <c r="AC17" s="819"/>
      <c r="AD17" s="819" t="s">
        <v>66</v>
      </c>
      <c r="AE17" s="819"/>
      <c r="AF17" s="819"/>
      <c r="AG17" s="819"/>
      <c r="AH17" s="819"/>
      <c r="AI17" s="819"/>
      <c r="AJ17" s="819"/>
      <c r="AK17" s="819"/>
      <c r="AL17" s="819"/>
      <c r="AM17" s="819"/>
      <c r="AN17" s="819"/>
      <c r="AO17" s="819"/>
      <c r="AP17" s="824" t="s">
        <v>318</v>
      </c>
      <c r="AQ17" s="824"/>
      <c r="AR17" s="824"/>
      <c r="AS17" s="824"/>
      <c r="AT17" s="819" t="s">
        <v>13</v>
      </c>
      <c r="AU17" s="819"/>
      <c r="AV17" s="819"/>
      <c r="AW17" s="819"/>
      <c r="AX17" s="819"/>
      <c r="AY17" s="819"/>
    </row>
    <row r="18" spans="1:51" ht="30" customHeight="1">
      <c r="A18" s="823"/>
      <c r="B18" s="823"/>
      <c r="C18" s="823"/>
      <c r="D18" s="819" t="s">
        <v>812</v>
      </c>
      <c r="E18" s="819"/>
      <c r="F18" s="819"/>
      <c r="G18" s="819"/>
      <c r="H18" s="819"/>
      <c r="I18" s="819"/>
      <c r="J18" s="824"/>
      <c r="K18" s="824"/>
      <c r="L18" s="824"/>
      <c r="M18" s="824"/>
      <c r="N18" s="824"/>
      <c r="O18" s="824"/>
      <c r="P18" s="819" t="s">
        <v>845</v>
      </c>
      <c r="Q18" s="819"/>
      <c r="R18" s="819"/>
      <c r="S18" s="819"/>
      <c r="T18" s="819"/>
      <c r="U18" s="819"/>
      <c r="V18" s="819" t="s">
        <v>65</v>
      </c>
      <c r="W18" s="819"/>
      <c r="X18" s="819"/>
      <c r="Y18" s="819"/>
      <c r="Z18" s="819"/>
      <c r="AA18" s="819"/>
      <c r="AB18" s="819"/>
      <c r="AC18" s="819"/>
      <c r="AD18" s="819" t="s">
        <v>65</v>
      </c>
      <c r="AE18" s="819"/>
      <c r="AF18" s="819"/>
      <c r="AG18" s="819"/>
      <c r="AH18" s="819"/>
      <c r="AI18" s="819"/>
      <c r="AJ18" s="819"/>
      <c r="AK18" s="819"/>
      <c r="AL18" s="819"/>
      <c r="AM18" s="819"/>
      <c r="AN18" s="819"/>
      <c r="AO18" s="819"/>
      <c r="AP18" s="824"/>
      <c r="AQ18" s="824"/>
      <c r="AR18" s="824"/>
      <c r="AS18" s="824"/>
      <c r="AT18" s="819" t="s">
        <v>769</v>
      </c>
      <c r="AU18" s="819"/>
      <c r="AV18" s="819"/>
      <c r="AW18" s="819"/>
      <c r="AX18" s="819"/>
      <c r="AY18" s="819"/>
    </row>
    <row r="19" spans="1:51" ht="30" customHeight="1">
      <c r="A19" s="823"/>
      <c r="B19" s="823"/>
      <c r="C19" s="823"/>
      <c r="D19" s="819" t="s">
        <v>813</v>
      </c>
      <c r="E19" s="819"/>
      <c r="F19" s="819"/>
      <c r="G19" s="819"/>
      <c r="H19" s="819"/>
      <c r="I19" s="819"/>
      <c r="J19" s="824"/>
      <c r="K19" s="824"/>
      <c r="L19" s="824"/>
      <c r="M19" s="824"/>
      <c r="N19" s="824"/>
      <c r="O19" s="824"/>
      <c r="P19" s="819" t="s">
        <v>814</v>
      </c>
      <c r="Q19" s="819"/>
      <c r="R19" s="819"/>
      <c r="S19" s="819"/>
      <c r="T19" s="819"/>
      <c r="U19" s="819"/>
      <c r="V19" s="819" t="s">
        <v>297</v>
      </c>
      <c r="W19" s="819"/>
      <c r="X19" s="819"/>
      <c r="Y19" s="819"/>
      <c r="Z19" s="819"/>
      <c r="AA19" s="819"/>
      <c r="AB19" s="819"/>
      <c r="AC19" s="819"/>
      <c r="AD19" s="819" t="s">
        <v>297</v>
      </c>
      <c r="AE19" s="819"/>
      <c r="AF19" s="819"/>
      <c r="AG19" s="819"/>
      <c r="AH19" s="819"/>
      <c r="AI19" s="819"/>
      <c r="AJ19" s="819"/>
      <c r="AK19" s="819"/>
      <c r="AL19" s="819"/>
      <c r="AM19" s="819"/>
      <c r="AN19" s="819"/>
      <c r="AO19" s="819"/>
      <c r="AP19" s="824"/>
      <c r="AQ19" s="824"/>
      <c r="AR19" s="824"/>
      <c r="AS19" s="824"/>
      <c r="AT19" s="819" t="s">
        <v>75</v>
      </c>
      <c r="AU19" s="819"/>
      <c r="AV19" s="819"/>
      <c r="AW19" s="819"/>
      <c r="AX19" s="819"/>
      <c r="AY19" s="819"/>
    </row>
    <row r="26" ht="15">
      <c r="S26"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D19:I19"/>
    <mergeCell ref="AP17:AS19"/>
    <mergeCell ref="AT19:AY19"/>
    <mergeCell ref="AT17:AY17"/>
    <mergeCell ref="D18:I18"/>
    <mergeCell ref="P18:U18"/>
    <mergeCell ref="V18:AC18"/>
    <mergeCell ref="AD18:AO18"/>
    <mergeCell ref="AT18:AY18"/>
    <mergeCell ref="P19:U19"/>
    <mergeCell ref="V19:AC19"/>
    <mergeCell ref="AD19:AO19"/>
  </mergeCells>
  <printOptions/>
  <pageMargins left="0.7" right="0.7" top="0.75" bottom="0.75" header="0.3" footer="0.3"/>
  <pageSetup fitToHeight="0" fitToWidth="1" horizontalDpi="600" verticalDpi="600" orientation="landscape" scale="13" r:id="rId3"/>
  <legacyDrawing r:id="rId2"/>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AY27"/>
  <sheetViews>
    <sheetView view="pageBreakPreview" zoomScale="60" zoomScaleNormal="70" zoomScalePageLayoutView="0" workbookViewId="0" topLeftCell="AF16">
      <selection activeCell="AX13" sqref="AX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8.28125" style="113" customWidth="1"/>
    <col min="46" max="46" width="17.140625" style="113" customWidth="1"/>
    <col min="47" max="47" width="15.8515625" style="217" customWidth="1"/>
    <col min="48" max="48" width="68.28125" style="113" customWidth="1"/>
    <col min="49" max="49" width="76.57421875" style="113" customWidth="1"/>
    <col min="50" max="51" width="52.14062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423</v>
      </c>
      <c r="AY1" s="1147"/>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424</v>
      </c>
      <c r="AY3" s="1193"/>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785</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89">
        <v>45300</v>
      </c>
      <c r="E6" s="890"/>
      <c r="F6" s="830" t="s">
        <v>67</v>
      </c>
      <c r="G6" s="832"/>
      <c r="H6" s="1192" t="s">
        <v>70</v>
      </c>
      <c r="I6" s="1192"/>
      <c r="J6" s="121"/>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1191"/>
      <c r="AJ6" s="1191"/>
      <c r="AK6" s="1191"/>
      <c r="AL6" s="1191"/>
      <c r="AM6" s="1191"/>
      <c r="AN6" s="1191"/>
      <c r="AO6" s="1191"/>
      <c r="AP6" s="1191"/>
      <c r="AQ6" s="1191"/>
      <c r="AR6" s="1191"/>
      <c r="AS6" s="1191"/>
      <c r="AT6" s="1191"/>
      <c r="AU6" s="835"/>
      <c r="AV6" s="828"/>
      <c r="AW6" s="828"/>
      <c r="AX6" s="828"/>
      <c r="AY6" s="828"/>
    </row>
    <row r="7" spans="1:51" ht="15" customHeight="1">
      <c r="A7" s="839"/>
      <c r="B7" s="839"/>
      <c r="C7" s="839"/>
      <c r="D7" s="891"/>
      <c r="E7" s="892"/>
      <c r="F7" s="833"/>
      <c r="G7" s="835"/>
      <c r="H7" s="1192" t="s">
        <v>68</v>
      </c>
      <c r="I7" s="1192"/>
      <c r="J7" s="121"/>
      <c r="K7" s="833"/>
      <c r="L7" s="1191"/>
      <c r="M7" s="1191"/>
      <c r="N7" s="1191"/>
      <c r="O7" s="1191"/>
      <c r="P7" s="1191"/>
      <c r="Q7" s="1191"/>
      <c r="R7" s="1191"/>
      <c r="S7" s="1191"/>
      <c r="T7" s="1191"/>
      <c r="U7" s="1191"/>
      <c r="V7" s="231"/>
      <c r="W7" s="231"/>
      <c r="X7" s="231"/>
      <c r="Y7" s="231"/>
      <c r="Z7" s="231"/>
      <c r="AA7" s="231"/>
      <c r="AB7" s="231"/>
      <c r="AC7" s="231"/>
      <c r="AD7" s="231"/>
      <c r="AE7" s="231"/>
      <c r="AF7" s="231"/>
      <c r="AG7" s="117"/>
      <c r="AH7" s="833"/>
      <c r="AI7" s="1191"/>
      <c r="AJ7" s="1191"/>
      <c r="AK7" s="1191"/>
      <c r="AL7" s="1191"/>
      <c r="AM7" s="1191"/>
      <c r="AN7" s="1191"/>
      <c r="AO7" s="1191"/>
      <c r="AP7" s="1191"/>
      <c r="AQ7" s="1191"/>
      <c r="AR7" s="1191"/>
      <c r="AS7" s="1191"/>
      <c r="AT7" s="1191"/>
      <c r="AU7" s="835"/>
      <c r="AV7" s="828"/>
      <c r="AW7" s="828"/>
      <c r="AX7" s="828"/>
      <c r="AY7" s="828"/>
    </row>
    <row r="8" spans="1:51" ht="15" customHeight="1">
      <c r="A8" s="839"/>
      <c r="B8" s="839"/>
      <c r="C8" s="839"/>
      <c r="D8" s="893"/>
      <c r="E8" s="894"/>
      <c r="F8" s="836"/>
      <c r="G8" s="838"/>
      <c r="H8" s="1192" t="s">
        <v>69</v>
      </c>
      <c r="I8" s="1192"/>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1191"/>
      <c r="AJ8" s="1191"/>
      <c r="AK8" s="1191"/>
      <c r="AL8" s="1191"/>
      <c r="AM8" s="1191"/>
      <c r="AN8" s="1191"/>
      <c r="AO8" s="1191"/>
      <c r="AP8" s="1191"/>
      <c r="AQ8" s="1191"/>
      <c r="AR8" s="1191"/>
      <c r="AS8" s="1191"/>
      <c r="AT8" s="1191"/>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1191"/>
      <c r="AJ9" s="1191"/>
      <c r="AK9" s="1191"/>
      <c r="AL9" s="1191"/>
      <c r="AM9" s="1191"/>
      <c r="AN9" s="1191"/>
      <c r="AO9" s="1191"/>
      <c r="AP9" s="1191"/>
      <c r="AQ9" s="1191"/>
      <c r="AR9" s="1191"/>
      <c r="AS9" s="1191"/>
      <c r="AT9" s="1191"/>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120" t="s">
        <v>169</v>
      </c>
      <c r="B12" s="120" t="s">
        <v>170</v>
      </c>
      <c r="C12" s="120" t="s">
        <v>171</v>
      </c>
      <c r="D12" s="120" t="s">
        <v>178</v>
      </c>
      <c r="E12" s="120" t="s">
        <v>185</v>
      </c>
      <c r="F12" s="120" t="s">
        <v>186</v>
      </c>
      <c r="G12" s="120" t="s">
        <v>277</v>
      </c>
      <c r="H12" s="120" t="s">
        <v>184</v>
      </c>
      <c r="I12" s="821"/>
      <c r="J12" s="821"/>
      <c r="K12" s="821"/>
      <c r="L12" s="821"/>
      <c r="M12" s="821"/>
      <c r="N12" s="821"/>
      <c r="O12" s="120">
        <v>2020</v>
      </c>
      <c r="P12" s="120">
        <v>2021</v>
      </c>
      <c r="Q12" s="120">
        <v>2022</v>
      </c>
      <c r="R12" s="392">
        <v>2023</v>
      </c>
      <c r="S12" s="120">
        <v>2024</v>
      </c>
      <c r="T12" s="821"/>
      <c r="U12" s="821"/>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821"/>
      <c r="AW12" s="821"/>
      <c r="AX12" s="821"/>
      <c r="AY12" s="821"/>
    </row>
    <row r="13" spans="1:51" ht="312" customHeight="1">
      <c r="A13" s="121"/>
      <c r="B13" s="121"/>
      <c r="C13" s="121"/>
      <c r="D13" s="121"/>
      <c r="E13" s="121" t="s">
        <v>425</v>
      </c>
      <c r="F13" s="121"/>
      <c r="G13" s="122" t="s">
        <v>717</v>
      </c>
      <c r="H13" s="121"/>
      <c r="I13" s="313" t="s">
        <v>583</v>
      </c>
      <c r="J13" s="313" t="s">
        <v>584</v>
      </c>
      <c r="K13" s="124" t="s">
        <v>430</v>
      </c>
      <c r="L13" s="314" t="s">
        <v>450</v>
      </c>
      <c r="M13" s="308" t="s">
        <v>585</v>
      </c>
      <c r="N13" s="313" t="s">
        <v>586</v>
      </c>
      <c r="O13" s="123"/>
      <c r="P13" s="123"/>
      <c r="Q13" s="123"/>
      <c r="R13" s="398">
        <v>6</v>
      </c>
      <c r="S13" s="123"/>
      <c r="T13" s="121" t="s">
        <v>433</v>
      </c>
      <c r="U13" s="122" t="s">
        <v>587</v>
      </c>
      <c r="V13" s="315">
        <v>1</v>
      </c>
      <c r="W13" s="315">
        <v>1</v>
      </c>
      <c r="X13" s="315"/>
      <c r="Y13" s="315">
        <v>1</v>
      </c>
      <c r="Z13" s="315"/>
      <c r="AA13" s="315"/>
      <c r="AB13" s="315">
        <v>1</v>
      </c>
      <c r="AC13" s="315">
        <v>1</v>
      </c>
      <c r="AD13" s="315"/>
      <c r="AE13" s="315">
        <v>1</v>
      </c>
      <c r="AF13" s="316"/>
      <c r="AG13" s="316"/>
      <c r="AH13" s="315">
        <v>1</v>
      </c>
      <c r="AI13" s="315">
        <v>1</v>
      </c>
      <c r="AJ13" s="315"/>
      <c r="AK13" s="315">
        <v>1</v>
      </c>
      <c r="AL13" s="315"/>
      <c r="AM13" s="315"/>
      <c r="AN13" s="315">
        <v>1</v>
      </c>
      <c r="AO13" s="315">
        <v>1</v>
      </c>
      <c r="AP13" s="315"/>
      <c r="AQ13" s="315">
        <v>1</v>
      </c>
      <c r="AR13" s="316"/>
      <c r="AS13" s="316"/>
      <c r="AT13" s="484">
        <f>SUM(AH13:AS13)</f>
        <v>6</v>
      </c>
      <c r="AU13" s="378">
        <f>+AT13/R13</f>
        <v>1</v>
      </c>
      <c r="AV13" s="490" t="s">
        <v>1034</v>
      </c>
      <c r="AW13" s="561" t="s">
        <v>1026</v>
      </c>
      <c r="AX13" s="232" t="s">
        <v>881</v>
      </c>
      <c r="AY13" s="232" t="s">
        <v>881</v>
      </c>
    </row>
    <row r="14" spans="1:51" s="324" customFormat="1" ht="287.25" customHeight="1">
      <c r="A14" s="396"/>
      <c r="B14" s="317"/>
      <c r="C14" s="317"/>
      <c r="D14" s="317"/>
      <c r="E14" s="121" t="s">
        <v>425</v>
      </c>
      <c r="F14" s="317"/>
      <c r="G14" s="122" t="s">
        <v>717</v>
      </c>
      <c r="H14" s="317"/>
      <c r="I14" s="318" t="s">
        <v>588</v>
      </c>
      <c r="J14" s="318" t="s">
        <v>589</v>
      </c>
      <c r="K14" s="319" t="s">
        <v>430</v>
      </c>
      <c r="L14" s="320" t="s">
        <v>450</v>
      </c>
      <c r="M14" s="321" t="s">
        <v>590</v>
      </c>
      <c r="N14" s="318" t="s">
        <v>589</v>
      </c>
      <c r="O14" s="322"/>
      <c r="P14" s="322"/>
      <c r="Q14" s="322"/>
      <c r="R14" s="398">
        <v>1</v>
      </c>
      <c r="S14" s="322"/>
      <c r="T14" s="232" t="s">
        <v>591</v>
      </c>
      <c r="U14" s="232" t="s">
        <v>592</v>
      </c>
      <c r="V14" s="315"/>
      <c r="W14" s="315"/>
      <c r="X14" s="315"/>
      <c r="Y14" s="315"/>
      <c r="Z14" s="315"/>
      <c r="AA14" s="315"/>
      <c r="AB14" s="315"/>
      <c r="AC14" s="315"/>
      <c r="AD14" s="315">
        <v>1</v>
      </c>
      <c r="AE14" s="315"/>
      <c r="AF14" s="316"/>
      <c r="AG14" s="316"/>
      <c r="AH14" s="415"/>
      <c r="AI14" s="323"/>
      <c r="AJ14" s="323"/>
      <c r="AK14" s="323"/>
      <c r="AL14" s="323"/>
      <c r="AM14" s="323"/>
      <c r="AN14" s="498"/>
      <c r="AO14" s="415"/>
      <c r="AP14" s="525">
        <v>1</v>
      </c>
      <c r="AQ14" s="323"/>
      <c r="AR14" s="323"/>
      <c r="AS14" s="323"/>
      <c r="AT14" s="124">
        <f>SUM(AH14:AS14)</f>
        <v>1</v>
      </c>
      <c r="AU14" s="378">
        <f>+AT14/R14</f>
        <v>1</v>
      </c>
      <c r="AV14" s="490" t="s">
        <v>1034</v>
      </c>
      <c r="AW14" s="442" t="s">
        <v>1027</v>
      </c>
      <c r="AX14" s="232" t="s">
        <v>881</v>
      </c>
      <c r="AY14" s="232" t="s">
        <v>881</v>
      </c>
    </row>
    <row r="15" spans="1:51" s="326" customFormat="1" ht="318" customHeight="1">
      <c r="A15" s="397"/>
      <c r="B15" s="325"/>
      <c r="C15" s="325"/>
      <c r="D15" s="325"/>
      <c r="E15" s="121" t="s">
        <v>425</v>
      </c>
      <c r="F15" s="325"/>
      <c r="G15" s="122" t="s">
        <v>717</v>
      </c>
      <c r="H15" s="325"/>
      <c r="I15" s="318" t="s">
        <v>764</v>
      </c>
      <c r="J15" s="318" t="s">
        <v>593</v>
      </c>
      <c r="K15" s="319" t="s">
        <v>453</v>
      </c>
      <c r="L15" s="320" t="s">
        <v>450</v>
      </c>
      <c r="M15" s="321" t="s">
        <v>431</v>
      </c>
      <c r="N15" s="318" t="s">
        <v>594</v>
      </c>
      <c r="O15" s="319"/>
      <c r="P15" s="319"/>
      <c r="Q15" s="319"/>
      <c r="R15" s="399">
        <v>1</v>
      </c>
      <c r="S15" s="319"/>
      <c r="T15" s="325" t="s">
        <v>460</v>
      </c>
      <c r="U15" s="232" t="s">
        <v>595</v>
      </c>
      <c r="V15" s="391">
        <v>1</v>
      </c>
      <c r="W15" s="391">
        <v>1</v>
      </c>
      <c r="X15" s="391">
        <v>1</v>
      </c>
      <c r="Y15" s="391">
        <v>1</v>
      </c>
      <c r="Z15" s="391">
        <v>1</v>
      </c>
      <c r="AA15" s="391">
        <v>1</v>
      </c>
      <c r="AB15" s="391">
        <v>1</v>
      </c>
      <c r="AC15" s="391">
        <v>1</v>
      </c>
      <c r="AD15" s="391">
        <v>1</v>
      </c>
      <c r="AE15" s="391">
        <v>1</v>
      </c>
      <c r="AF15" s="391">
        <v>1</v>
      </c>
      <c r="AG15" s="391">
        <v>1</v>
      </c>
      <c r="AH15" s="391">
        <v>0.8444</v>
      </c>
      <c r="AI15" s="443">
        <v>1.16</v>
      </c>
      <c r="AJ15" s="443">
        <v>1</v>
      </c>
      <c r="AK15" s="443">
        <v>1</v>
      </c>
      <c r="AL15" s="443">
        <v>1</v>
      </c>
      <c r="AM15" s="443">
        <v>1</v>
      </c>
      <c r="AN15" s="499">
        <v>1</v>
      </c>
      <c r="AO15" s="381">
        <v>1</v>
      </c>
      <c r="AP15" s="381">
        <v>1</v>
      </c>
      <c r="AQ15" s="381">
        <v>1</v>
      </c>
      <c r="AR15" s="319"/>
      <c r="AS15" s="319"/>
      <c r="AT15" s="127">
        <f>AVERAGE(AH15:AS15)</f>
        <v>1.00044</v>
      </c>
      <c r="AU15" s="378">
        <f>+(SUM(AH15:AS15)/+SUM(V15:AG15))</f>
        <v>0.8337</v>
      </c>
      <c r="AV15" s="485" t="s">
        <v>1028</v>
      </c>
      <c r="AW15" s="562" t="s">
        <v>1029</v>
      </c>
      <c r="AX15" s="232" t="s">
        <v>881</v>
      </c>
      <c r="AY15" s="232" t="s">
        <v>881</v>
      </c>
    </row>
    <row r="16" spans="1:51" s="326" customFormat="1" ht="249.75" customHeight="1">
      <c r="A16" s="397"/>
      <c r="B16" s="325"/>
      <c r="C16" s="325"/>
      <c r="D16" s="325"/>
      <c r="E16" s="121" t="s">
        <v>425</v>
      </c>
      <c r="F16" s="325"/>
      <c r="G16" s="122" t="s">
        <v>717</v>
      </c>
      <c r="H16" s="325"/>
      <c r="I16" s="318" t="s">
        <v>765</v>
      </c>
      <c r="J16" s="318" t="s">
        <v>766</v>
      </c>
      <c r="K16" s="319" t="s">
        <v>453</v>
      </c>
      <c r="L16" s="320" t="s">
        <v>450</v>
      </c>
      <c r="M16" s="321" t="s">
        <v>431</v>
      </c>
      <c r="N16" s="318" t="s">
        <v>767</v>
      </c>
      <c r="O16" s="319"/>
      <c r="P16" s="319"/>
      <c r="Q16" s="319"/>
      <c r="R16" s="399">
        <v>0.7</v>
      </c>
      <c r="S16" s="319"/>
      <c r="T16" s="325" t="s">
        <v>460</v>
      </c>
      <c r="U16" s="232" t="s">
        <v>595</v>
      </c>
      <c r="V16" s="391">
        <v>0.7</v>
      </c>
      <c r="W16" s="391">
        <v>0.7</v>
      </c>
      <c r="X16" s="391">
        <v>0.7</v>
      </c>
      <c r="Y16" s="391">
        <v>0.7</v>
      </c>
      <c r="Z16" s="391">
        <v>0.7</v>
      </c>
      <c r="AA16" s="391">
        <v>0.7</v>
      </c>
      <c r="AB16" s="391">
        <v>0.7</v>
      </c>
      <c r="AC16" s="391">
        <v>0.7</v>
      </c>
      <c r="AD16" s="391">
        <v>0.7</v>
      </c>
      <c r="AE16" s="391">
        <v>0.7</v>
      </c>
      <c r="AF16" s="391">
        <v>0.7</v>
      </c>
      <c r="AG16" s="391">
        <v>0.7</v>
      </c>
      <c r="AH16" s="381">
        <v>0.4651</v>
      </c>
      <c r="AI16" s="443">
        <v>0.79</v>
      </c>
      <c r="AJ16" s="443">
        <v>0.92</v>
      </c>
      <c r="AK16" s="443">
        <v>0.91</v>
      </c>
      <c r="AL16" s="443">
        <v>0.92</v>
      </c>
      <c r="AM16" s="381">
        <v>0.89</v>
      </c>
      <c r="AN16" s="500">
        <v>0.89</v>
      </c>
      <c r="AO16" s="391">
        <v>0.93</v>
      </c>
      <c r="AP16" s="391">
        <v>0.92</v>
      </c>
      <c r="AQ16" s="494">
        <v>0.92</v>
      </c>
      <c r="AR16" s="319"/>
      <c r="AS16" s="319"/>
      <c r="AT16" s="127">
        <f>AVERAGE(AH16:AS16)</f>
        <v>0.85551</v>
      </c>
      <c r="AU16" s="378">
        <f>+(SUM(AH16:AS16)/+SUM(V16:AG16))</f>
        <v>1.0184642857142856</v>
      </c>
      <c r="AV16" s="505" t="s">
        <v>1030</v>
      </c>
      <c r="AW16" s="485" t="s">
        <v>1031</v>
      </c>
      <c r="AX16" s="232" t="s">
        <v>881</v>
      </c>
      <c r="AY16" s="232" t="s">
        <v>881</v>
      </c>
    </row>
    <row r="17" spans="1:51" s="326" customFormat="1" ht="294" customHeight="1">
      <c r="A17" s="325"/>
      <c r="B17" s="325"/>
      <c r="C17" s="325"/>
      <c r="D17" s="325"/>
      <c r="E17" s="121" t="s">
        <v>425</v>
      </c>
      <c r="F17" s="325"/>
      <c r="G17" s="122" t="s">
        <v>717</v>
      </c>
      <c r="H17" s="325"/>
      <c r="I17" s="318" t="s">
        <v>596</v>
      </c>
      <c r="J17" s="318" t="s">
        <v>597</v>
      </c>
      <c r="K17" s="319" t="s">
        <v>430</v>
      </c>
      <c r="L17" s="325" t="s">
        <v>450</v>
      </c>
      <c r="M17" s="321" t="s">
        <v>598</v>
      </c>
      <c r="N17" s="318" t="s">
        <v>599</v>
      </c>
      <c r="O17" s="319"/>
      <c r="P17" s="319"/>
      <c r="Q17" s="319"/>
      <c r="R17" s="400">
        <v>2</v>
      </c>
      <c r="S17" s="319"/>
      <c r="T17" s="325" t="s">
        <v>455</v>
      </c>
      <c r="U17" s="232" t="s">
        <v>600</v>
      </c>
      <c r="V17" s="316"/>
      <c r="W17" s="316"/>
      <c r="X17" s="316"/>
      <c r="Y17" s="316"/>
      <c r="Z17" s="316"/>
      <c r="AA17" s="316"/>
      <c r="AB17" s="316">
        <v>1</v>
      </c>
      <c r="AC17" s="316"/>
      <c r="AD17" s="316"/>
      <c r="AE17" s="316"/>
      <c r="AF17" s="316"/>
      <c r="AG17" s="316">
        <v>1</v>
      </c>
      <c r="AH17" s="416"/>
      <c r="AI17" s="319"/>
      <c r="AJ17" s="319"/>
      <c r="AK17" s="319"/>
      <c r="AL17" s="319"/>
      <c r="AM17" s="319"/>
      <c r="AN17" s="319">
        <v>1</v>
      </c>
      <c r="AO17" s="416"/>
      <c r="AP17" s="416"/>
      <c r="AQ17" s="319"/>
      <c r="AR17" s="319"/>
      <c r="AS17" s="319"/>
      <c r="AT17" s="124">
        <f>SUM(AH17:AS17)</f>
        <v>1</v>
      </c>
      <c r="AU17" s="378">
        <f>+AT17/R17</f>
        <v>0.5</v>
      </c>
      <c r="AV17" s="563" t="s">
        <v>1032</v>
      </c>
      <c r="AW17" s="563" t="s">
        <v>1033</v>
      </c>
      <c r="AX17" s="232" t="s">
        <v>881</v>
      </c>
      <c r="AY17" s="232" t="s">
        <v>881</v>
      </c>
    </row>
    <row r="18" spans="1:51" ht="54" customHeight="1">
      <c r="A18" s="823" t="s">
        <v>64</v>
      </c>
      <c r="B18" s="823"/>
      <c r="C18" s="823"/>
      <c r="D18" s="819" t="s">
        <v>66</v>
      </c>
      <c r="E18" s="819"/>
      <c r="F18" s="819"/>
      <c r="G18" s="819"/>
      <c r="H18" s="819"/>
      <c r="I18" s="819"/>
      <c r="J18" s="824" t="s">
        <v>300</v>
      </c>
      <c r="K18" s="824"/>
      <c r="L18" s="824"/>
      <c r="M18" s="824"/>
      <c r="N18" s="824"/>
      <c r="O18" s="824"/>
      <c r="P18" s="819" t="s">
        <v>66</v>
      </c>
      <c r="Q18" s="819"/>
      <c r="R18" s="819"/>
      <c r="S18" s="819"/>
      <c r="T18" s="819"/>
      <c r="U18" s="819"/>
      <c r="V18" s="819" t="s">
        <v>66</v>
      </c>
      <c r="W18" s="819"/>
      <c r="X18" s="819"/>
      <c r="Y18" s="819"/>
      <c r="Z18" s="819"/>
      <c r="AA18" s="819"/>
      <c r="AB18" s="819"/>
      <c r="AC18" s="819"/>
      <c r="AD18" s="819" t="s">
        <v>66</v>
      </c>
      <c r="AE18" s="819"/>
      <c r="AF18" s="819"/>
      <c r="AG18" s="819"/>
      <c r="AH18" s="819"/>
      <c r="AI18" s="819"/>
      <c r="AJ18" s="819"/>
      <c r="AK18" s="819"/>
      <c r="AL18" s="819"/>
      <c r="AM18" s="819"/>
      <c r="AN18" s="819"/>
      <c r="AO18" s="819"/>
      <c r="AP18" s="824" t="s">
        <v>318</v>
      </c>
      <c r="AQ18" s="824"/>
      <c r="AR18" s="824"/>
      <c r="AS18" s="824"/>
      <c r="AT18" s="819" t="s">
        <v>13</v>
      </c>
      <c r="AU18" s="819"/>
      <c r="AV18" s="819"/>
      <c r="AW18" s="819"/>
      <c r="AX18" s="819"/>
      <c r="AY18" s="819"/>
    </row>
    <row r="19" spans="1:51" ht="30" customHeight="1">
      <c r="A19" s="823"/>
      <c r="B19" s="823"/>
      <c r="C19" s="823"/>
      <c r="D19" s="819" t="s">
        <v>812</v>
      </c>
      <c r="E19" s="819"/>
      <c r="F19" s="819"/>
      <c r="G19" s="819"/>
      <c r="H19" s="819"/>
      <c r="I19" s="819"/>
      <c r="J19" s="824"/>
      <c r="K19" s="824"/>
      <c r="L19" s="824"/>
      <c r="M19" s="824"/>
      <c r="N19" s="824"/>
      <c r="O19" s="824"/>
      <c r="P19" s="819" t="s">
        <v>845</v>
      </c>
      <c r="Q19" s="819"/>
      <c r="R19" s="819"/>
      <c r="S19" s="819"/>
      <c r="T19" s="819"/>
      <c r="U19" s="819"/>
      <c r="V19" s="819" t="s">
        <v>65</v>
      </c>
      <c r="W19" s="819"/>
      <c r="X19" s="819"/>
      <c r="Y19" s="819"/>
      <c r="Z19" s="819"/>
      <c r="AA19" s="819"/>
      <c r="AB19" s="819"/>
      <c r="AC19" s="819"/>
      <c r="AD19" s="819" t="s">
        <v>65</v>
      </c>
      <c r="AE19" s="819"/>
      <c r="AF19" s="819"/>
      <c r="AG19" s="819"/>
      <c r="AH19" s="819"/>
      <c r="AI19" s="819"/>
      <c r="AJ19" s="819"/>
      <c r="AK19" s="819"/>
      <c r="AL19" s="819"/>
      <c r="AM19" s="819"/>
      <c r="AN19" s="819"/>
      <c r="AO19" s="819"/>
      <c r="AP19" s="824"/>
      <c r="AQ19" s="824"/>
      <c r="AR19" s="824"/>
      <c r="AS19" s="824"/>
      <c r="AT19" s="819" t="s">
        <v>769</v>
      </c>
      <c r="AU19" s="819"/>
      <c r="AV19" s="819"/>
      <c r="AW19" s="819"/>
      <c r="AX19" s="819"/>
      <c r="AY19" s="819"/>
    </row>
    <row r="20" spans="1:51" ht="30" customHeight="1">
      <c r="A20" s="823"/>
      <c r="B20" s="823"/>
      <c r="C20" s="823"/>
      <c r="D20" s="819" t="s">
        <v>813</v>
      </c>
      <c r="E20" s="819"/>
      <c r="F20" s="819"/>
      <c r="G20" s="819"/>
      <c r="H20" s="819"/>
      <c r="I20" s="819"/>
      <c r="J20" s="824"/>
      <c r="K20" s="824"/>
      <c r="L20" s="824"/>
      <c r="M20" s="824"/>
      <c r="N20" s="824"/>
      <c r="O20" s="824"/>
      <c r="P20" s="819" t="s">
        <v>814</v>
      </c>
      <c r="Q20" s="819"/>
      <c r="R20" s="819"/>
      <c r="S20" s="819"/>
      <c r="T20" s="819"/>
      <c r="U20" s="819"/>
      <c r="V20" s="819" t="s">
        <v>297</v>
      </c>
      <c r="W20" s="819"/>
      <c r="X20" s="819"/>
      <c r="Y20" s="819"/>
      <c r="Z20" s="819"/>
      <c r="AA20" s="819"/>
      <c r="AB20" s="819"/>
      <c r="AC20" s="819"/>
      <c r="AD20" s="819" t="s">
        <v>297</v>
      </c>
      <c r="AE20" s="819"/>
      <c r="AF20" s="819"/>
      <c r="AG20" s="819"/>
      <c r="AH20" s="819"/>
      <c r="AI20" s="819"/>
      <c r="AJ20" s="819"/>
      <c r="AK20" s="819"/>
      <c r="AL20" s="819"/>
      <c r="AM20" s="819"/>
      <c r="AN20" s="819"/>
      <c r="AO20" s="819"/>
      <c r="AP20" s="824"/>
      <c r="AQ20" s="824"/>
      <c r="AR20" s="824"/>
      <c r="AS20" s="824"/>
      <c r="AT20" s="819" t="s">
        <v>75</v>
      </c>
      <c r="AU20" s="819"/>
      <c r="AV20" s="819"/>
      <c r="AW20" s="819"/>
      <c r="AX20" s="819"/>
      <c r="AY20" s="819"/>
    </row>
    <row r="27" ht="15">
      <c r="S27"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5" r:id="rId3"/>
  <legacyDrawing r:id="rId2"/>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AY18"/>
  <sheetViews>
    <sheetView view="pageBreakPreview" zoomScale="60" zoomScaleNormal="70" zoomScalePageLayoutView="0" workbookViewId="0" topLeftCell="AN1">
      <selection activeCell="AX13" sqref="AX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8.28125" style="113" customWidth="1"/>
    <col min="46" max="46" width="17.140625" style="113" customWidth="1"/>
    <col min="47" max="47" width="15.8515625" style="217" customWidth="1"/>
    <col min="48" max="49" width="57.28125" style="113" customWidth="1"/>
    <col min="50" max="51" width="33.851562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423</v>
      </c>
      <c r="AY1" s="1147"/>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424</v>
      </c>
      <c r="AY3" s="1193"/>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786</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89">
        <v>45300</v>
      </c>
      <c r="E6" s="890"/>
      <c r="F6" s="830" t="s">
        <v>67</v>
      </c>
      <c r="G6" s="832"/>
      <c r="H6" s="1192" t="s">
        <v>70</v>
      </c>
      <c r="I6" s="1192"/>
      <c r="J6" s="121"/>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1191"/>
      <c r="AJ6" s="1191"/>
      <c r="AK6" s="1191"/>
      <c r="AL6" s="1191"/>
      <c r="AM6" s="1191"/>
      <c r="AN6" s="1191"/>
      <c r="AO6" s="1191"/>
      <c r="AP6" s="1191"/>
      <c r="AQ6" s="1191"/>
      <c r="AR6" s="1191"/>
      <c r="AS6" s="1191"/>
      <c r="AT6" s="1191"/>
      <c r="AU6" s="835"/>
      <c r="AV6" s="828"/>
      <c r="AW6" s="828"/>
      <c r="AX6" s="828"/>
      <c r="AY6" s="828"/>
    </row>
    <row r="7" spans="1:51" ht="15" customHeight="1">
      <c r="A7" s="839"/>
      <c r="B7" s="839"/>
      <c r="C7" s="839"/>
      <c r="D7" s="891"/>
      <c r="E7" s="892"/>
      <c r="F7" s="833"/>
      <c r="G7" s="835"/>
      <c r="H7" s="1192" t="s">
        <v>68</v>
      </c>
      <c r="I7" s="1192"/>
      <c r="J7" s="121"/>
      <c r="K7" s="833"/>
      <c r="L7" s="1191"/>
      <c r="M7" s="1191"/>
      <c r="N7" s="1191"/>
      <c r="O7" s="1191"/>
      <c r="P7" s="1191"/>
      <c r="Q7" s="1191"/>
      <c r="R7" s="1191"/>
      <c r="S7" s="1191"/>
      <c r="T7" s="1191"/>
      <c r="U7" s="1191"/>
      <c r="V7" s="231"/>
      <c r="W7" s="231"/>
      <c r="X7" s="231"/>
      <c r="Y7" s="231"/>
      <c r="Z7" s="231"/>
      <c r="AA7" s="231"/>
      <c r="AB7" s="231"/>
      <c r="AC7" s="231"/>
      <c r="AD7" s="231"/>
      <c r="AE7" s="231"/>
      <c r="AF7" s="231"/>
      <c r="AG7" s="117"/>
      <c r="AH7" s="833"/>
      <c r="AI7" s="1191"/>
      <c r="AJ7" s="1191"/>
      <c r="AK7" s="1191"/>
      <c r="AL7" s="1191"/>
      <c r="AM7" s="1191"/>
      <c r="AN7" s="1191"/>
      <c r="AO7" s="1191"/>
      <c r="AP7" s="1191"/>
      <c r="AQ7" s="1191"/>
      <c r="AR7" s="1191"/>
      <c r="AS7" s="1191"/>
      <c r="AT7" s="1191"/>
      <c r="AU7" s="835"/>
      <c r="AV7" s="828"/>
      <c r="AW7" s="828"/>
      <c r="AX7" s="828"/>
      <c r="AY7" s="828"/>
    </row>
    <row r="8" spans="1:51" ht="15" customHeight="1">
      <c r="A8" s="839"/>
      <c r="B8" s="839"/>
      <c r="C8" s="839"/>
      <c r="D8" s="893"/>
      <c r="E8" s="894"/>
      <c r="F8" s="836"/>
      <c r="G8" s="838"/>
      <c r="H8" s="1192" t="s">
        <v>69</v>
      </c>
      <c r="I8" s="1192"/>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1191"/>
      <c r="AJ8" s="1191"/>
      <c r="AK8" s="1191"/>
      <c r="AL8" s="1191"/>
      <c r="AM8" s="1191"/>
      <c r="AN8" s="1191"/>
      <c r="AO8" s="1191"/>
      <c r="AP8" s="1191"/>
      <c r="AQ8" s="1191"/>
      <c r="AR8" s="1191"/>
      <c r="AS8" s="1191"/>
      <c r="AT8" s="1191"/>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1191"/>
      <c r="AJ9" s="1191"/>
      <c r="AK9" s="1191"/>
      <c r="AL9" s="1191"/>
      <c r="AM9" s="1191"/>
      <c r="AN9" s="1191"/>
      <c r="AO9" s="1191"/>
      <c r="AP9" s="1191"/>
      <c r="AQ9" s="1191"/>
      <c r="AR9" s="1191"/>
      <c r="AS9" s="1191"/>
      <c r="AT9" s="1191"/>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120" t="s">
        <v>169</v>
      </c>
      <c r="B12" s="120" t="s">
        <v>170</v>
      </c>
      <c r="C12" s="120" t="s">
        <v>171</v>
      </c>
      <c r="D12" s="120" t="s">
        <v>178</v>
      </c>
      <c r="E12" s="120" t="s">
        <v>185</v>
      </c>
      <c r="F12" s="120" t="s">
        <v>186</v>
      </c>
      <c r="G12" s="120" t="s">
        <v>277</v>
      </c>
      <c r="H12" s="120" t="s">
        <v>184</v>
      </c>
      <c r="I12" s="821"/>
      <c r="J12" s="821"/>
      <c r="K12" s="821"/>
      <c r="L12" s="821"/>
      <c r="M12" s="821"/>
      <c r="N12" s="821"/>
      <c r="O12" s="120">
        <v>2020</v>
      </c>
      <c r="P12" s="120">
        <v>2021</v>
      </c>
      <c r="Q12" s="120">
        <v>2022</v>
      </c>
      <c r="R12" s="120">
        <v>2023</v>
      </c>
      <c r="S12" s="120">
        <v>2024</v>
      </c>
      <c r="T12" s="821"/>
      <c r="U12" s="821"/>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821"/>
      <c r="AW12" s="821"/>
      <c r="AX12" s="821"/>
      <c r="AY12" s="821"/>
    </row>
    <row r="13" spans="1:51" ht="115.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v>44</v>
      </c>
      <c r="AN13" s="124"/>
      <c r="AO13" s="124"/>
      <c r="AP13" s="124"/>
      <c r="AQ13" s="124"/>
      <c r="AR13" s="124"/>
      <c r="AS13" s="124">
        <v>37</v>
      </c>
      <c r="AT13" s="124">
        <f>SUM(AH13:AS13)</f>
        <v>81</v>
      </c>
      <c r="AU13" s="127">
        <f>+AT13/R13</f>
        <v>1.62</v>
      </c>
      <c r="AV13" s="547" t="s">
        <v>928</v>
      </c>
      <c r="AW13" s="472" t="s">
        <v>929</v>
      </c>
      <c r="AX13" s="411" t="s">
        <v>450</v>
      </c>
      <c r="AY13" s="411" t="s">
        <v>450</v>
      </c>
    </row>
    <row r="14" spans="1:51" ht="226.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458">
        <v>2</v>
      </c>
      <c r="AJ14" s="458">
        <v>2</v>
      </c>
      <c r="AK14" s="458">
        <v>2</v>
      </c>
      <c r="AL14" s="458">
        <v>2</v>
      </c>
      <c r="AM14" s="458">
        <v>2</v>
      </c>
      <c r="AN14" s="458">
        <v>2</v>
      </c>
      <c r="AO14" s="458">
        <v>2</v>
      </c>
      <c r="AP14" s="124">
        <v>2</v>
      </c>
      <c r="AQ14" s="124">
        <v>2</v>
      </c>
      <c r="AR14" s="124">
        <v>2</v>
      </c>
      <c r="AS14" s="124"/>
      <c r="AT14" s="124">
        <f>SUM(AH14:AS14)</f>
        <v>20</v>
      </c>
      <c r="AU14" s="127">
        <f>+AT14/R14</f>
        <v>1</v>
      </c>
      <c r="AV14" s="442" t="s">
        <v>930</v>
      </c>
      <c r="AW14" s="442" t="s">
        <v>930</v>
      </c>
      <c r="AX14" s="411" t="s">
        <v>450</v>
      </c>
      <c r="AY14" s="411" t="s">
        <v>450</v>
      </c>
    </row>
    <row r="15" spans="1:51" ht="198"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768</v>
      </c>
      <c r="U15" s="121" t="s">
        <v>465</v>
      </c>
      <c r="V15" s="124"/>
      <c r="W15" s="124"/>
      <c r="X15" s="124"/>
      <c r="Y15" s="124"/>
      <c r="Z15" s="124"/>
      <c r="AA15" s="121">
        <v>1</v>
      </c>
      <c r="AB15" s="121"/>
      <c r="AC15" s="121"/>
      <c r="AD15" s="121"/>
      <c r="AE15" s="121"/>
      <c r="AF15" s="121">
        <v>1</v>
      </c>
      <c r="AG15" s="124"/>
      <c r="AH15" s="124"/>
      <c r="AI15" s="124"/>
      <c r="AJ15" s="124"/>
      <c r="AK15" s="124"/>
      <c r="AL15" s="124"/>
      <c r="AM15" s="124"/>
      <c r="AN15" s="124">
        <v>1</v>
      </c>
      <c r="AO15" s="124"/>
      <c r="AP15" s="124"/>
      <c r="AQ15" s="124"/>
      <c r="AR15" s="124">
        <v>1</v>
      </c>
      <c r="AS15" s="124"/>
      <c r="AT15" s="124">
        <f>SUM(AH15:AS15)</f>
        <v>2</v>
      </c>
      <c r="AU15" s="127">
        <f>+AT15/R15</f>
        <v>1</v>
      </c>
      <c r="AV15" s="442" t="s">
        <v>930</v>
      </c>
      <c r="AW15" s="442" t="s">
        <v>930</v>
      </c>
      <c r="AX15" s="411" t="s">
        <v>450</v>
      </c>
      <c r="AY15" s="411" t="s">
        <v>450</v>
      </c>
    </row>
    <row r="16" spans="1:51" ht="54" customHeight="1">
      <c r="A16" s="823" t="s">
        <v>64</v>
      </c>
      <c r="B16" s="823"/>
      <c r="C16" s="823"/>
      <c r="D16" s="819" t="s">
        <v>66</v>
      </c>
      <c r="E16" s="819"/>
      <c r="F16" s="819"/>
      <c r="G16" s="819"/>
      <c r="H16" s="819"/>
      <c r="I16" s="819"/>
      <c r="J16" s="824" t="s">
        <v>300</v>
      </c>
      <c r="K16" s="824"/>
      <c r="L16" s="824"/>
      <c r="M16" s="824"/>
      <c r="N16" s="824"/>
      <c r="O16" s="824"/>
      <c r="P16" s="819" t="s">
        <v>66</v>
      </c>
      <c r="Q16" s="819"/>
      <c r="R16" s="819"/>
      <c r="S16" s="819"/>
      <c r="T16" s="819"/>
      <c r="U16" s="819"/>
      <c r="V16" s="819" t="s">
        <v>66</v>
      </c>
      <c r="W16" s="819"/>
      <c r="X16" s="819"/>
      <c r="Y16" s="819"/>
      <c r="Z16" s="819"/>
      <c r="AA16" s="819"/>
      <c r="AB16" s="819"/>
      <c r="AC16" s="819"/>
      <c r="AD16" s="819" t="s">
        <v>66</v>
      </c>
      <c r="AE16" s="819"/>
      <c r="AF16" s="819"/>
      <c r="AG16" s="819"/>
      <c r="AH16" s="819"/>
      <c r="AI16" s="819"/>
      <c r="AJ16" s="819"/>
      <c r="AK16" s="819"/>
      <c r="AL16" s="819"/>
      <c r="AM16" s="819"/>
      <c r="AN16" s="819"/>
      <c r="AO16" s="819"/>
      <c r="AP16" s="824" t="s">
        <v>318</v>
      </c>
      <c r="AQ16" s="824"/>
      <c r="AR16" s="824"/>
      <c r="AS16" s="824"/>
      <c r="AT16" s="819" t="s">
        <v>13</v>
      </c>
      <c r="AU16" s="819"/>
      <c r="AV16" s="819"/>
      <c r="AW16" s="819"/>
      <c r="AX16" s="819"/>
      <c r="AY16" s="819"/>
    </row>
    <row r="17" spans="1:51" ht="30" customHeight="1">
      <c r="A17" s="823"/>
      <c r="B17" s="823"/>
      <c r="C17" s="823"/>
      <c r="D17" s="819" t="s">
        <v>799</v>
      </c>
      <c r="E17" s="819"/>
      <c r="F17" s="819"/>
      <c r="G17" s="819"/>
      <c r="H17" s="819"/>
      <c r="I17" s="819"/>
      <c r="J17" s="824"/>
      <c r="K17" s="824"/>
      <c r="L17" s="824"/>
      <c r="M17" s="824"/>
      <c r="N17" s="824"/>
      <c r="O17" s="824"/>
      <c r="P17" s="819" t="s">
        <v>799</v>
      </c>
      <c r="Q17" s="819"/>
      <c r="R17" s="819"/>
      <c r="S17" s="819"/>
      <c r="T17" s="819"/>
      <c r="U17" s="819"/>
      <c r="V17" s="819" t="s">
        <v>65</v>
      </c>
      <c r="W17" s="819"/>
      <c r="X17" s="819"/>
      <c r="Y17" s="819"/>
      <c r="Z17" s="819"/>
      <c r="AA17" s="819"/>
      <c r="AB17" s="819"/>
      <c r="AC17" s="819"/>
      <c r="AD17" s="819" t="s">
        <v>65</v>
      </c>
      <c r="AE17" s="819"/>
      <c r="AF17" s="819"/>
      <c r="AG17" s="819"/>
      <c r="AH17" s="819"/>
      <c r="AI17" s="819"/>
      <c r="AJ17" s="819"/>
      <c r="AK17" s="819"/>
      <c r="AL17" s="819"/>
      <c r="AM17" s="819"/>
      <c r="AN17" s="819"/>
      <c r="AO17" s="819"/>
      <c r="AP17" s="824"/>
      <c r="AQ17" s="824"/>
      <c r="AR17" s="824"/>
      <c r="AS17" s="824"/>
      <c r="AT17" s="819" t="s">
        <v>769</v>
      </c>
      <c r="AU17" s="819"/>
      <c r="AV17" s="819"/>
      <c r="AW17" s="819"/>
      <c r="AX17" s="819"/>
      <c r="AY17" s="819"/>
    </row>
    <row r="18" spans="1:51" ht="30" customHeight="1">
      <c r="A18" s="823"/>
      <c r="B18" s="823"/>
      <c r="C18" s="823"/>
      <c r="D18" s="819" t="s">
        <v>800</v>
      </c>
      <c r="E18" s="819"/>
      <c r="F18" s="819"/>
      <c r="G18" s="819"/>
      <c r="H18" s="819"/>
      <c r="I18" s="819"/>
      <c r="J18" s="824"/>
      <c r="K18" s="824"/>
      <c r="L18" s="824"/>
      <c r="M18" s="824"/>
      <c r="N18" s="824"/>
      <c r="O18" s="824"/>
      <c r="P18" s="819" t="s">
        <v>800</v>
      </c>
      <c r="Q18" s="819"/>
      <c r="R18" s="819"/>
      <c r="S18" s="819"/>
      <c r="T18" s="819"/>
      <c r="U18" s="819"/>
      <c r="V18" s="819" t="s">
        <v>297</v>
      </c>
      <c r="W18" s="819"/>
      <c r="X18" s="819"/>
      <c r="Y18" s="819"/>
      <c r="Z18" s="819"/>
      <c r="AA18" s="819"/>
      <c r="AB18" s="819"/>
      <c r="AC18" s="819"/>
      <c r="AD18" s="819" t="s">
        <v>297</v>
      </c>
      <c r="AE18" s="819"/>
      <c r="AF18" s="819"/>
      <c r="AG18" s="819"/>
      <c r="AH18" s="819"/>
      <c r="AI18" s="819"/>
      <c r="AJ18" s="819"/>
      <c r="AK18" s="819"/>
      <c r="AL18" s="819"/>
      <c r="AM18" s="819"/>
      <c r="AN18" s="819"/>
      <c r="AO18" s="819"/>
      <c r="AP18" s="824"/>
      <c r="AQ18" s="824"/>
      <c r="AR18" s="824"/>
      <c r="AS18" s="824"/>
      <c r="AT18" s="819" t="s">
        <v>75</v>
      </c>
      <c r="AU18" s="819"/>
      <c r="AV18" s="819"/>
      <c r="AW18" s="819"/>
      <c r="AX18" s="819"/>
      <c r="AY18" s="819"/>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6:C18"/>
    <mergeCell ref="D16:I16"/>
    <mergeCell ref="J16:O18"/>
    <mergeCell ref="P16:U16"/>
    <mergeCell ref="V16:AC16"/>
    <mergeCell ref="AD16:AO16"/>
    <mergeCell ref="D18:I18"/>
    <mergeCell ref="AP16:AS18"/>
    <mergeCell ref="AT18:AY18"/>
    <mergeCell ref="AT16:AY16"/>
    <mergeCell ref="D17:I17"/>
    <mergeCell ref="P17:U17"/>
    <mergeCell ref="V17:AC17"/>
    <mergeCell ref="AD17:AO17"/>
    <mergeCell ref="AT17:AY17"/>
    <mergeCell ref="P18:U18"/>
    <mergeCell ref="V18:AC18"/>
    <mergeCell ref="AD18:AO18"/>
  </mergeCells>
  <printOptions/>
  <pageMargins left="0.7" right="0.7" top="0.75" bottom="0.75" header="0.3" footer="0.3"/>
  <pageSetup fitToHeight="1" fitToWidth="1" horizontalDpi="600" verticalDpi="600" orientation="landscape" scale="16" r:id="rId3"/>
  <legacyDrawing r:id="rId2"/>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AY23"/>
  <sheetViews>
    <sheetView view="pageBreakPreview" zoomScale="60" zoomScaleNormal="85" zoomScalePageLayoutView="0" workbookViewId="0" topLeftCell="AI17">
      <selection activeCell="AX13" sqref="AX13"/>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9" width="43.28125" style="0" customWidth="1"/>
    <col min="50" max="51" width="27.00390625" style="0" customWidth="1"/>
  </cols>
  <sheetData>
    <row r="1" spans="1:51" ht="15">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423</v>
      </c>
      <c r="AY1" s="1147"/>
    </row>
    <row r="2" spans="1:51" ht="15">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424</v>
      </c>
      <c r="AY3" s="1193"/>
    </row>
    <row r="4" spans="1:51" ht="15">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787</v>
      </c>
      <c r="AY4" s="801"/>
    </row>
    <row r="5" spans="1:51" ht="15">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 r="A6" s="839" t="s">
        <v>71</v>
      </c>
      <c r="B6" s="839"/>
      <c r="C6" s="839"/>
      <c r="D6" s="889">
        <v>45300</v>
      </c>
      <c r="E6" s="890"/>
      <c r="F6" s="830" t="s">
        <v>67</v>
      </c>
      <c r="G6" s="832"/>
      <c r="H6" s="1192" t="s">
        <v>70</v>
      </c>
      <c r="I6" s="1192"/>
      <c r="J6" s="121"/>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1191"/>
      <c r="AJ6" s="1191"/>
      <c r="AK6" s="1191"/>
      <c r="AL6" s="1191"/>
      <c r="AM6" s="1191"/>
      <c r="AN6" s="1191"/>
      <c r="AO6" s="1191"/>
      <c r="AP6" s="1191"/>
      <c r="AQ6" s="1191"/>
      <c r="AR6" s="1191"/>
      <c r="AS6" s="1191"/>
      <c r="AT6" s="1191"/>
      <c r="AU6" s="835"/>
      <c r="AV6" s="828"/>
      <c r="AW6" s="828"/>
      <c r="AX6" s="828"/>
      <c r="AY6" s="828"/>
    </row>
    <row r="7" spans="1:51" ht="15">
      <c r="A7" s="839"/>
      <c r="B7" s="839"/>
      <c r="C7" s="839"/>
      <c r="D7" s="891"/>
      <c r="E7" s="892"/>
      <c r="F7" s="833"/>
      <c r="G7" s="835"/>
      <c r="H7" s="1192" t="s">
        <v>68</v>
      </c>
      <c r="I7" s="1192"/>
      <c r="J7" s="121"/>
      <c r="K7" s="833"/>
      <c r="L7" s="1191"/>
      <c r="M7" s="1191"/>
      <c r="N7" s="1191"/>
      <c r="O7" s="1191"/>
      <c r="P7" s="1191"/>
      <c r="Q7" s="1191"/>
      <c r="R7" s="1191"/>
      <c r="S7" s="1191"/>
      <c r="T7" s="1191"/>
      <c r="U7" s="1191"/>
      <c r="V7" s="231"/>
      <c r="W7" s="231"/>
      <c r="X7" s="231"/>
      <c r="Y7" s="231"/>
      <c r="Z7" s="231"/>
      <c r="AA7" s="231"/>
      <c r="AB7" s="231"/>
      <c r="AC7" s="231"/>
      <c r="AD7" s="231"/>
      <c r="AE7" s="231"/>
      <c r="AF7" s="231"/>
      <c r="AG7" s="117"/>
      <c r="AH7" s="833"/>
      <c r="AI7" s="1191"/>
      <c r="AJ7" s="1191"/>
      <c r="AK7" s="1191"/>
      <c r="AL7" s="1191"/>
      <c r="AM7" s="1191"/>
      <c r="AN7" s="1191"/>
      <c r="AO7" s="1191"/>
      <c r="AP7" s="1191"/>
      <c r="AQ7" s="1191"/>
      <c r="AR7" s="1191"/>
      <c r="AS7" s="1191"/>
      <c r="AT7" s="1191"/>
      <c r="AU7" s="835"/>
      <c r="AV7" s="828"/>
      <c r="AW7" s="828"/>
      <c r="AX7" s="828"/>
      <c r="AY7" s="828"/>
    </row>
    <row r="8" spans="1:51" ht="15">
      <c r="A8" s="839"/>
      <c r="B8" s="839"/>
      <c r="C8" s="839"/>
      <c r="D8" s="893"/>
      <c r="E8" s="894"/>
      <c r="F8" s="836"/>
      <c r="G8" s="838"/>
      <c r="H8" s="1192" t="s">
        <v>69</v>
      </c>
      <c r="I8" s="1192"/>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1191"/>
      <c r="AJ8" s="1191"/>
      <c r="AK8" s="1191"/>
      <c r="AL8" s="1191"/>
      <c r="AM8" s="1191"/>
      <c r="AN8" s="1191"/>
      <c r="AO8" s="1191"/>
      <c r="AP8" s="1191"/>
      <c r="AQ8" s="1191"/>
      <c r="AR8" s="1191"/>
      <c r="AS8" s="1191"/>
      <c r="AT8" s="1191"/>
      <c r="AU8" s="835"/>
      <c r="AV8" s="828"/>
      <c r="AW8" s="828"/>
      <c r="AX8" s="828"/>
      <c r="AY8" s="828"/>
    </row>
    <row r="9" spans="1:51" ht="15">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1191"/>
      <c r="AJ9" s="1191"/>
      <c r="AK9" s="1191"/>
      <c r="AL9" s="1191"/>
      <c r="AM9" s="1191"/>
      <c r="AN9" s="1191"/>
      <c r="AO9" s="1191"/>
      <c r="AP9" s="1191"/>
      <c r="AQ9" s="1191"/>
      <c r="AR9" s="1191"/>
      <c r="AS9" s="1191"/>
      <c r="AT9" s="1191"/>
      <c r="AU9" s="835"/>
      <c r="AV9" s="828"/>
      <c r="AW9" s="828"/>
      <c r="AX9" s="828"/>
      <c r="AY9" s="828"/>
    </row>
    <row r="10" spans="1:51" ht="15">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15">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57">
      <c r="A12" s="120" t="s">
        <v>169</v>
      </c>
      <c r="B12" s="120" t="s">
        <v>170</v>
      </c>
      <c r="C12" s="120" t="s">
        <v>171</v>
      </c>
      <c r="D12" s="120" t="s">
        <v>178</v>
      </c>
      <c r="E12" s="120" t="s">
        <v>185</v>
      </c>
      <c r="F12" s="120" t="s">
        <v>186</v>
      </c>
      <c r="G12" s="120" t="s">
        <v>277</v>
      </c>
      <c r="H12" s="120" t="s">
        <v>184</v>
      </c>
      <c r="I12" s="821"/>
      <c r="J12" s="821"/>
      <c r="K12" s="821"/>
      <c r="L12" s="821"/>
      <c r="M12" s="821"/>
      <c r="N12" s="821"/>
      <c r="O12" s="120">
        <v>2020</v>
      </c>
      <c r="P12" s="120">
        <v>2021</v>
      </c>
      <c r="Q12" s="120">
        <v>2022</v>
      </c>
      <c r="R12" s="120">
        <v>2023</v>
      </c>
      <c r="S12" s="120">
        <v>2024</v>
      </c>
      <c r="T12" s="821"/>
      <c r="U12" s="821"/>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821"/>
      <c r="AW12" s="821"/>
      <c r="AX12" s="821"/>
      <c r="AY12" s="821"/>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57">
        <v>0.65</v>
      </c>
      <c r="AK13" s="124"/>
      <c r="AL13" s="124"/>
      <c r="AM13" s="469">
        <v>0.09</v>
      </c>
      <c r="AN13" s="470"/>
      <c r="AO13" s="470"/>
      <c r="AP13" s="453">
        <v>0.11</v>
      </c>
      <c r="AQ13" s="470"/>
      <c r="AR13" s="470"/>
      <c r="AS13" s="457">
        <v>0.15</v>
      </c>
      <c r="AT13" s="468">
        <f>SUM(AH13:AS13)</f>
        <v>1</v>
      </c>
      <c r="AU13" s="468">
        <f>+AT13/R13</f>
        <v>1</v>
      </c>
      <c r="AV13" s="555" t="s">
        <v>974</v>
      </c>
      <c r="AW13" s="526" t="s">
        <v>975</v>
      </c>
      <c r="AX13" s="540" t="s">
        <v>976</v>
      </c>
      <c r="AY13" s="411" t="s">
        <v>450</v>
      </c>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57">
        <v>0.65</v>
      </c>
      <c r="AK14" s="124"/>
      <c r="AL14" s="124"/>
      <c r="AM14" s="469">
        <v>0.09</v>
      </c>
      <c r="AN14" s="470"/>
      <c r="AO14" s="470"/>
      <c r="AP14" s="453">
        <v>0.11</v>
      </c>
      <c r="AQ14" s="470"/>
      <c r="AR14" s="470"/>
      <c r="AS14" s="457">
        <v>0.15</v>
      </c>
      <c r="AT14" s="468">
        <f aca="true" t="shared" si="0" ref="AT14:AT20">SUM(AH14:AS14)</f>
        <v>1</v>
      </c>
      <c r="AU14" s="468">
        <f aca="true" t="shared" si="1" ref="AU14:AU20">+AT14/R14</f>
        <v>1</v>
      </c>
      <c r="AV14" s="556" t="s">
        <v>977</v>
      </c>
      <c r="AW14" s="526" t="s">
        <v>978</v>
      </c>
      <c r="AX14" s="540" t="s">
        <v>976</v>
      </c>
      <c r="AY14" s="411" t="s">
        <v>450</v>
      </c>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57">
        <v>0.63</v>
      </c>
      <c r="AK15" s="124"/>
      <c r="AL15" s="124"/>
      <c r="AM15" s="469">
        <v>0.09</v>
      </c>
      <c r="AN15" s="470"/>
      <c r="AO15" s="470"/>
      <c r="AP15" s="453">
        <v>0.11</v>
      </c>
      <c r="AQ15" s="470"/>
      <c r="AR15" s="470"/>
      <c r="AS15" s="457">
        <v>0.15</v>
      </c>
      <c r="AT15" s="468">
        <f t="shared" si="0"/>
        <v>0.98</v>
      </c>
      <c r="AU15" s="468">
        <f t="shared" si="1"/>
        <v>0.98</v>
      </c>
      <c r="AV15" s="556" t="s">
        <v>979</v>
      </c>
      <c r="AW15" s="526" t="s">
        <v>980</v>
      </c>
      <c r="AX15" s="540" t="s">
        <v>976</v>
      </c>
      <c r="AY15" s="411" t="s">
        <v>450</v>
      </c>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57">
        <v>0.25</v>
      </c>
      <c r="AK16" s="124"/>
      <c r="AL16" s="124"/>
      <c r="AM16" s="453">
        <v>0.25</v>
      </c>
      <c r="AN16" s="470"/>
      <c r="AO16" s="470"/>
      <c r="AP16" s="453">
        <v>0.25</v>
      </c>
      <c r="AQ16" s="470"/>
      <c r="AR16" s="470"/>
      <c r="AS16" s="457">
        <v>0.25</v>
      </c>
      <c r="AT16" s="468">
        <f t="shared" si="0"/>
        <v>1</v>
      </c>
      <c r="AU16" s="468">
        <f t="shared" si="1"/>
        <v>1</v>
      </c>
      <c r="AV16" s="556" t="s">
        <v>981</v>
      </c>
      <c r="AW16" s="526" t="s">
        <v>982</v>
      </c>
      <c r="AX16" s="540" t="s">
        <v>976</v>
      </c>
      <c r="AY16" s="411" t="s">
        <v>450</v>
      </c>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57">
        <v>0.25</v>
      </c>
      <c r="AK17" s="124"/>
      <c r="AL17" s="124"/>
      <c r="AM17" s="453">
        <v>0.25</v>
      </c>
      <c r="AN17" s="470"/>
      <c r="AO17" s="470"/>
      <c r="AP17" s="453">
        <v>0.25</v>
      </c>
      <c r="AQ17" s="470"/>
      <c r="AR17" s="470"/>
      <c r="AS17" s="457">
        <v>0.25</v>
      </c>
      <c r="AT17" s="468">
        <f t="shared" si="0"/>
        <v>1</v>
      </c>
      <c r="AU17" s="468">
        <f t="shared" si="1"/>
        <v>1</v>
      </c>
      <c r="AV17" s="556" t="s">
        <v>983</v>
      </c>
      <c r="AW17" s="526" t="s">
        <v>984</v>
      </c>
      <c r="AX17" s="540" t="s">
        <v>976</v>
      </c>
      <c r="AY17" s="411" t="s">
        <v>450</v>
      </c>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57">
        <v>0.25</v>
      </c>
      <c r="AK18" s="124"/>
      <c r="AL18" s="124"/>
      <c r="AM18" s="453">
        <v>0.25</v>
      </c>
      <c r="AN18" s="470"/>
      <c r="AO18" s="470"/>
      <c r="AP18" s="453">
        <v>0.25</v>
      </c>
      <c r="AQ18" s="470"/>
      <c r="AR18" s="470"/>
      <c r="AS18" s="457">
        <v>0.25</v>
      </c>
      <c r="AT18" s="468">
        <f t="shared" si="0"/>
        <v>1</v>
      </c>
      <c r="AU18" s="468">
        <f t="shared" si="1"/>
        <v>1</v>
      </c>
      <c r="AV18" s="556" t="s">
        <v>985</v>
      </c>
      <c r="AW18" s="526" t="s">
        <v>986</v>
      </c>
      <c r="AX18" s="540" t="s">
        <v>976</v>
      </c>
      <c r="AY18" s="411" t="s">
        <v>450</v>
      </c>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57">
        <v>0.14</v>
      </c>
      <c r="AK19" s="124"/>
      <c r="AL19" s="124"/>
      <c r="AM19" s="453">
        <v>0.21</v>
      </c>
      <c r="AN19" s="470"/>
      <c r="AO19" s="470"/>
      <c r="AP19" s="453">
        <v>0.23</v>
      </c>
      <c r="AQ19" s="470"/>
      <c r="AR19" s="470"/>
      <c r="AS19" s="457">
        <v>0.42</v>
      </c>
      <c r="AT19" s="468">
        <f t="shared" si="0"/>
        <v>1</v>
      </c>
      <c r="AU19" s="468">
        <f t="shared" si="1"/>
        <v>1</v>
      </c>
      <c r="AV19" s="556" t="s">
        <v>987</v>
      </c>
      <c r="AW19" s="526" t="s">
        <v>988</v>
      </c>
      <c r="AX19" s="540" t="s">
        <v>976</v>
      </c>
      <c r="AY19" s="411" t="s">
        <v>450</v>
      </c>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57">
        <v>0.14</v>
      </c>
      <c r="AK20" s="124"/>
      <c r="AL20" s="124"/>
      <c r="AM20" s="453">
        <v>0.21</v>
      </c>
      <c r="AN20" s="470"/>
      <c r="AO20" s="470"/>
      <c r="AP20" s="453">
        <v>0.23</v>
      </c>
      <c r="AQ20" s="470"/>
      <c r="AR20" s="470"/>
      <c r="AS20" s="457">
        <v>0.42</v>
      </c>
      <c r="AT20" s="468">
        <f t="shared" si="0"/>
        <v>1</v>
      </c>
      <c r="AU20" s="468">
        <f t="shared" si="1"/>
        <v>1</v>
      </c>
      <c r="AV20" s="556" t="s">
        <v>989</v>
      </c>
      <c r="AW20" s="526" t="s">
        <v>990</v>
      </c>
      <c r="AX20" s="540" t="s">
        <v>976</v>
      </c>
      <c r="AY20" s="411" t="s">
        <v>450</v>
      </c>
    </row>
    <row r="21" spans="1:51" s="113" customFormat="1" ht="54" customHeight="1">
      <c r="A21" s="823" t="s">
        <v>64</v>
      </c>
      <c r="B21" s="823"/>
      <c r="C21" s="823"/>
      <c r="D21" s="819" t="s">
        <v>66</v>
      </c>
      <c r="E21" s="819"/>
      <c r="F21" s="819"/>
      <c r="G21" s="819"/>
      <c r="H21" s="819"/>
      <c r="I21" s="819"/>
      <c r="J21" s="824" t="s">
        <v>300</v>
      </c>
      <c r="K21" s="824"/>
      <c r="L21" s="824"/>
      <c r="M21" s="824"/>
      <c r="N21" s="824"/>
      <c r="O21" s="824"/>
      <c r="P21" s="819" t="s">
        <v>66</v>
      </c>
      <c r="Q21" s="819"/>
      <c r="R21" s="819"/>
      <c r="S21" s="819"/>
      <c r="T21" s="819"/>
      <c r="U21" s="819"/>
      <c r="V21" s="819" t="s">
        <v>66</v>
      </c>
      <c r="W21" s="819"/>
      <c r="X21" s="819"/>
      <c r="Y21" s="819"/>
      <c r="Z21" s="819"/>
      <c r="AA21" s="819"/>
      <c r="AB21" s="819"/>
      <c r="AC21" s="819"/>
      <c r="AD21" s="819" t="s">
        <v>66</v>
      </c>
      <c r="AE21" s="819"/>
      <c r="AF21" s="819"/>
      <c r="AG21" s="819"/>
      <c r="AH21" s="819"/>
      <c r="AI21" s="819"/>
      <c r="AJ21" s="819"/>
      <c r="AK21" s="819"/>
      <c r="AL21" s="819"/>
      <c r="AM21" s="819"/>
      <c r="AN21" s="819"/>
      <c r="AO21" s="819"/>
      <c r="AP21" s="824" t="s">
        <v>318</v>
      </c>
      <c r="AQ21" s="824"/>
      <c r="AR21" s="824"/>
      <c r="AS21" s="824"/>
      <c r="AT21" s="819" t="s">
        <v>13</v>
      </c>
      <c r="AU21" s="819"/>
      <c r="AV21" s="819"/>
      <c r="AW21" s="819"/>
      <c r="AX21" s="819"/>
      <c r="AY21" s="819"/>
    </row>
    <row r="22" spans="1:51" s="113" customFormat="1" ht="30" customHeight="1">
      <c r="A22" s="823"/>
      <c r="B22" s="823"/>
      <c r="C22" s="823"/>
      <c r="D22" s="819" t="s">
        <v>806</v>
      </c>
      <c r="E22" s="819"/>
      <c r="F22" s="819"/>
      <c r="G22" s="819"/>
      <c r="H22" s="819"/>
      <c r="I22" s="819"/>
      <c r="J22" s="824"/>
      <c r="K22" s="824"/>
      <c r="L22" s="824"/>
      <c r="M22" s="824"/>
      <c r="N22" s="824"/>
      <c r="O22" s="824"/>
      <c r="P22" s="819" t="s">
        <v>807</v>
      </c>
      <c r="Q22" s="819"/>
      <c r="R22" s="819"/>
      <c r="S22" s="819"/>
      <c r="T22" s="819"/>
      <c r="U22" s="819"/>
      <c r="V22" s="819" t="s">
        <v>65</v>
      </c>
      <c r="W22" s="819"/>
      <c r="X22" s="819"/>
      <c r="Y22" s="819"/>
      <c r="Z22" s="819"/>
      <c r="AA22" s="819"/>
      <c r="AB22" s="819"/>
      <c r="AC22" s="819"/>
      <c r="AD22" s="819" t="s">
        <v>65</v>
      </c>
      <c r="AE22" s="819"/>
      <c r="AF22" s="819"/>
      <c r="AG22" s="819"/>
      <c r="AH22" s="819"/>
      <c r="AI22" s="819"/>
      <c r="AJ22" s="819"/>
      <c r="AK22" s="819"/>
      <c r="AL22" s="819"/>
      <c r="AM22" s="819"/>
      <c r="AN22" s="819"/>
      <c r="AO22" s="819"/>
      <c r="AP22" s="824"/>
      <c r="AQ22" s="824"/>
      <c r="AR22" s="824"/>
      <c r="AS22" s="824"/>
      <c r="AT22" s="819" t="s">
        <v>769</v>
      </c>
      <c r="AU22" s="819"/>
      <c r="AV22" s="819"/>
      <c r="AW22" s="819"/>
      <c r="AX22" s="819"/>
      <c r="AY22" s="819"/>
    </row>
    <row r="23" spans="1:51" s="113" customFormat="1" ht="30" customHeight="1">
      <c r="A23" s="823"/>
      <c r="B23" s="823"/>
      <c r="C23" s="823"/>
      <c r="D23" s="819" t="s">
        <v>809</v>
      </c>
      <c r="E23" s="819"/>
      <c r="F23" s="819"/>
      <c r="G23" s="819"/>
      <c r="H23" s="819"/>
      <c r="I23" s="819"/>
      <c r="J23" s="824"/>
      <c r="K23" s="824"/>
      <c r="L23" s="824"/>
      <c r="M23" s="824"/>
      <c r="N23" s="824"/>
      <c r="O23" s="824"/>
      <c r="P23" s="819" t="s">
        <v>808</v>
      </c>
      <c r="Q23" s="819"/>
      <c r="R23" s="819"/>
      <c r="S23" s="819"/>
      <c r="T23" s="819"/>
      <c r="U23" s="819"/>
      <c r="V23" s="819" t="s">
        <v>297</v>
      </c>
      <c r="W23" s="819"/>
      <c r="X23" s="819"/>
      <c r="Y23" s="819"/>
      <c r="Z23" s="819"/>
      <c r="AA23" s="819"/>
      <c r="AB23" s="819"/>
      <c r="AC23" s="819"/>
      <c r="AD23" s="819" t="s">
        <v>297</v>
      </c>
      <c r="AE23" s="819"/>
      <c r="AF23" s="819"/>
      <c r="AG23" s="819"/>
      <c r="AH23" s="819"/>
      <c r="AI23" s="819"/>
      <c r="AJ23" s="819"/>
      <c r="AK23" s="819"/>
      <c r="AL23" s="819"/>
      <c r="AM23" s="819"/>
      <c r="AN23" s="819"/>
      <c r="AO23" s="819"/>
      <c r="AP23" s="824"/>
      <c r="AQ23" s="824"/>
      <c r="AR23" s="824"/>
      <c r="AS23" s="824"/>
      <c r="AT23" s="819" t="s">
        <v>75</v>
      </c>
      <c r="AU23" s="819"/>
      <c r="AV23" s="819"/>
      <c r="AW23" s="819"/>
      <c r="AX23" s="819"/>
      <c r="AY23" s="819"/>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1:C23"/>
    <mergeCell ref="D21:I21"/>
    <mergeCell ref="J21:O23"/>
    <mergeCell ref="P21:U21"/>
    <mergeCell ref="V21:AC21"/>
    <mergeCell ref="AD21:AO21"/>
    <mergeCell ref="D23:I23"/>
    <mergeCell ref="AP21:AS23"/>
    <mergeCell ref="AT23:AY23"/>
    <mergeCell ref="AT21:AY21"/>
    <mergeCell ref="D22:I22"/>
    <mergeCell ref="P22:U22"/>
    <mergeCell ref="V22:AC22"/>
    <mergeCell ref="AD22:AO22"/>
    <mergeCell ref="AT22:AY22"/>
    <mergeCell ref="P23:U23"/>
    <mergeCell ref="V23:AC23"/>
    <mergeCell ref="AD23:AO23"/>
  </mergeCells>
  <printOptions/>
  <pageMargins left="0.7" right="0.7" top="0.75" bottom="0.75" header="0.3" footer="0.3"/>
  <pageSetup fitToHeight="0" fitToWidth="1" horizontalDpi="600" verticalDpi="600" orientation="landscape" scale="17" r:id="rId3"/>
  <legacyDrawing r:id="rId2"/>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AY25"/>
  <sheetViews>
    <sheetView view="pageBreakPreview" zoomScale="60" zoomScaleNormal="85" zoomScalePageLayoutView="0" workbookViewId="0" topLeftCell="AB20">
      <selection activeCell="AX13" sqref="AX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8.28125" style="113" customWidth="1"/>
    <col min="46" max="46" width="17.140625" style="113" customWidth="1"/>
    <col min="47" max="47" width="15.8515625" style="217" customWidth="1"/>
    <col min="48" max="48" width="54.8515625" style="113" customWidth="1"/>
    <col min="49" max="49" width="71.7109375" style="113" customWidth="1"/>
    <col min="50" max="51" width="24.42187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423</v>
      </c>
      <c r="AY1" s="1147"/>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424</v>
      </c>
      <c r="AY3" s="1193"/>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788</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89">
        <v>45300</v>
      </c>
      <c r="E6" s="890"/>
      <c r="F6" s="830" t="s">
        <v>67</v>
      </c>
      <c r="G6" s="832"/>
      <c r="H6" s="1192" t="s">
        <v>70</v>
      </c>
      <c r="I6" s="1192"/>
      <c r="J6" s="121"/>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1191"/>
      <c r="AJ6" s="1191"/>
      <c r="AK6" s="1191"/>
      <c r="AL6" s="1191"/>
      <c r="AM6" s="1191"/>
      <c r="AN6" s="1191"/>
      <c r="AO6" s="1191"/>
      <c r="AP6" s="1191"/>
      <c r="AQ6" s="1191"/>
      <c r="AR6" s="1191"/>
      <c r="AS6" s="1191"/>
      <c r="AT6" s="1191"/>
      <c r="AU6" s="835"/>
      <c r="AV6" s="828"/>
      <c r="AW6" s="828"/>
      <c r="AX6" s="828"/>
      <c r="AY6" s="828"/>
    </row>
    <row r="7" spans="1:51" ht="15" customHeight="1">
      <c r="A7" s="839"/>
      <c r="B7" s="839"/>
      <c r="C7" s="839"/>
      <c r="D7" s="891"/>
      <c r="E7" s="892"/>
      <c r="F7" s="833"/>
      <c r="G7" s="835"/>
      <c r="H7" s="1192" t="s">
        <v>68</v>
      </c>
      <c r="I7" s="1192"/>
      <c r="J7" s="121"/>
      <c r="K7" s="833"/>
      <c r="L7" s="1191"/>
      <c r="M7" s="1191"/>
      <c r="N7" s="1191"/>
      <c r="O7" s="1191"/>
      <c r="P7" s="1191"/>
      <c r="Q7" s="1191"/>
      <c r="R7" s="1191"/>
      <c r="S7" s="1191"/>
      <c r="T7" s="1191"/>
      <c r="U7" s="1191"/>
      <c r="V7" s="231"/>
      <c r="W7" s="231"/>
      <c r="X7" s="231"/>
      <c r="Y7" s="231"/>
      <c r="Z7" s="231"/>
      <c r="AA7" s="231"/>
      <c r="AB7" s="231"/>
      <c r="AC7" s="231"/>
      <c r="AD7" s="231"/>
      <c r="AE7" s="231"/>
      <c r="AF7" s="231"/>
      <c r="AG7" s="117"/>
      <c r="AH7" s="833"/>
      <c r="AI7" s="1191"/>
      <c r="AJ7" s="1191"/>
      <c r="AK7" s="1191"/>
      <c r="AL7" s="1191"/>
      <c r="AM7" s="1191"/>
      <c r="AN7" s="1191"/>
      <c r="AO7" s="1191"/>
      <c r="AP7" s="1191"/>
      <c r="AQ7" s="1191"/>
      <c r="AR7" s="1191"/>
      <c r="AS7" s="1191"/>
      <c r="AT7" s="1191"/>
      <c r="AU7" s="835"/>
      <c r="AV7" s="828"/>
      <c r="AW7" s="828"/>
      <c r="AX7" s="828"/>
      <c r="AY7" s="828"/>
    </row>
    <row r="8" spans="1:51" ht="15" customHeight="1">
      <c r="A8" s="839"/>
      <c r="B8" s="839"/>
      <c r="C8" s="839"/>
      <c r="D8" s="893"/>
      <c r="E8" s="894"/>
      <c r="F8" s="836"/>
      <c r="G8" s="838"/>
      <c r="H8" s="1192" t="s">
        <v>69</v>
      </c>
      <c r="I8" s="1192"/>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1191"/>
      <c r="AJ8" s="1191"/>
      <c r="AK8" s="1191"/>
      <c r="AL8" s="1191"/>
      <c r="AM8" s="1191"/>
      <c r="AN8" s="1191"/>
      <c r="AO8" s="1191"/>
      <c r="AP8" s="1191"/>
      <c r="AQ8" s="1191"/>
      <c r="AR8" s="1191"/>
      <c r="AS8" s="1191"/>
      <c r="AT8" s="1191"/>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1191"/>
      <c r="AJ9" s="1191"/>
      <c r="AK9" s="1191"/>
      <c r="AL9" s="1191"/>
      <c r="AM9" s="1191"/>
      <c r="AN9" s="1191"/>
      <c r="AO9" s="1191"/>
      <c r="AP9" s="1191"/>
      <c r="AQ9" s="1191"/>
      <c r="AR9" s="1191"/>
      <c r="AS9" s="1191"/>
      <c r="AT9" s="1191"/>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120" t="s">
        <v>169</v>
      </c>
      <c r="B12" s="120" t="s">
        <v>170</v>
      </c>
      <c r="C12" s="120" t="s">
        <v>171</v>
      </c>
      <c r="D12" s="120" t="s">
        <v>178</v>
      </c>
      <c r="E12" s="120" t="s">
        <v>185</v>
      </c>
      <c r="F12" s="120" t="s">
        <v>186</v>
      </c>
      <c r="G12" s="120" t="s">
        <v>277</v>
      </c>
      <c r="H12" s="120" t="s">
        <v>184</v>
      </c>
      <c r="I12" s="821"/>
      <c r="J12" s="821"/>
      <c r="K12" s="821"/>
      <c r="L12" s="821"/>
      <c r="M12" s="821"/>
      <c r="N12" s="821"/>
      <c r="O12" s="120">
        <v>2020</v>
      </c>
      <c r="P12" s="120">
        <v>2021</v>
      </c>
      <c r="Q12" s="120">
        <v>2022</v>
      </c>
      <c r="R12" s="120">
        <v>2023</v>
      </c>
      <c r="S12" s="120">
        <v>2024</v>
      </c>
      <c r="T12" s="821"/>
      <c r="U12" s="821"/>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821"/>
      <c r="AW12" s="821"/>
      <c r="AX12" s="821"/>
      <c r="AY12" s="821"/>
    </row>
    <row r="13" spans="1:51" ht="195">
      <c r="A13" s="121"/>
      <c r="B13" s="121"/>
      <c r="C13" s="121"/>
      <c r="D13" s="121"/>
      <c r="E13" s="121" t="s">
        <v>425</v>
      </c>
      <c r="F13" s="121"/>
      <c r="G13" s="122" t="s">
        <v>427</v>
      </c>
      <c r="H13" s="122" t="s">
        <v>840</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380"/>
      <c r="AM13" s="469">
        <v>0.25</v>
      </c>
      <c r="AN13" s="464"/>
      <c r="AO13" s="124"/>
      <c r="AP13" s="453">
        <v>0.25</v>
      </c>
      <c r="AQ13" s="470"/>
      <c r="AR13" s="464"/>
      <c r="AS13" s="453">
        <v>0.25</v>
      </c>
      <c r="AT13" s="127">
        <f>SUM(AH13:AS13)</f>
        <v>1</v>
      </c>
      <c r="AU13" s="378">
        <f>+AT13/R13</f>
        <v>1</v>
      </c>
      <c r="AV13" s="526" t="s">
        <v>891</v>
      </c>
      <c r="AW13" s="472" t="s">
        <v>892</v>
      </c>
      <c r="AX13" s="528" t="s">
        <v>881</v>
      </c>
      <c r="AY13" s="477" t="s">
        <v>450</v>
      </c>
    </row>
    <row r="14" spans="1:51" ht="195">
      <c r="A14" s="121"/>
      <c r="B14" s="121"/>
      <c r="C14" s="121"/>
      <c r="D14" s="121"/>
      <c r="E14" s="121" t="s">
        <v>425</v>
      </c>
      <c r="F14" s="121"/>
      <c r="G14" s="122" t="s">
        <v>427</v>
      </c>
      <c r="H14" s="122" t="s">
        <v>840</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380"/>
      <c r="AM14" s="470"/>
      <c r="AN14" s="464"/>
      <c r="AO14" s="124"/>
      <c r="AP14" s="464"/>
      <c r="AQ14" s="470"/>
      <c r="AR14" s="464"/>
      <c r="AS14" s="464">
        <v>1</v>
      </c>
      <c r="AT14" s="124">
        <f aca="true" t="shared" si="0" ref="AT14:AT22">SUM(AH14:AS14)</f>
        <v>1</v>
      </c>
      <c r="AU14" s="378">
        <f aca="true" t="shared" si="1" ref="AU14:AU22">+AT14/R14</f>
        <v>1</v>
      </c>
      <c r="AV14" s="472" t="s">
        <v>893</v>
      </c>
      <c r="AW14" s="472" t="s">
        <v>894</v>
      </c>
      <c r="AX14" s="528" t="s">
        <v>881</v>
      </c>
      <c r="AY14" s="477" t="s">
        <v>450</v>
      </c>
    </row>
    <row r="15" spans="1:51" ht="409.5">
      <c r="A15" s="121"/>
      <c r="B15" s="121"/>
      <c r="C15" s="121"/>
      <c r="D15" s="121"/>
      <c r="E15" s="121" t="s">
        <v>425</v>
      </c>
      <c r="F15" s="121"/>
      <c r="G15" s="122" t="s">
        <v>427</v>
      </c>
      <c r="H15" s="122" t="s">
        <v>840</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380"/>
      <c r="AM15" s="470"/>
      <c r="AN15" s="464"/>
      <c r="AO15" s="124">
        <v>5</v>
      </c>
      <c r="AP15" s="464"/>
      <c r="AQ15" s="470"/>
      <c r="AR15" s="464"/>
      <c r="AS15" s="464">
        <v>3</v>
      </c>
      <c r="AT15" s="124">
        <f t="shared" si="0"/>
        <v>12</v>
      </c>
      <c r="AU15" s="378">
        <f t="shared" si="1"/>
        <v>1</v>
      </c>
      <c r="AV15" s="472" t="s">
        <v>895</v>
      </c>
      <c r="AW15" s="472" t="s">
        <v>896</v>
      </c>
      <c r="AX15" s="528" t="s">
        <v>881</v>
      </c>
      <c r="AY15" s="477" t="s">
        <v>450</v>
      </c>
    </row>
    <row r="16" spans="1:51" ht="267" customHeight="1">
      <c r="A16" s="121"/>
      <c r="B16" s="121"/>
      <c r="C16" s="121"/>
      <c r="D16" s="121"/>
      <c r="E16" s="121" t="s">
        <v>425</v>
      </c>
      <c r="F16" s="121"/>
      <c r="G16" s="122" t="s">
        <v>427</v>
      </c>
      <c r="H16" s="122" t="s">
        <v>840</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380"/>
      <c r="AM16" s="470"/>
      <c r="AN16" s="464"/>
      <c r="AO16" s="124">
        <v>2</v>
      </c>
      <c r="AP16" s="464"/>
      <c r="AQ16" s="470"/>
      <c r="AR16" s="464"/>
      <c r="AS16" s="464">
        <v>4</v>
      </c>
      <c r="AT16" s="124">
        <f t="shared" si="0"/>
        <v>10</v>
      </c>
      <c r="AU16" s="378">
        <f>+AT16/R16</f>
        <v>1.6666666666666667</v>
      </c>
      <c r="AV16" s="472" t="s">
        <v>897</v>
      </c>
      <c r="AW16" s="472" t="s">
        <v>898</v>
      </c>
      <c r="AX16" s="466" t="s">
        <v>881</v>
      </c>
      <c r="AY16" s="477" t="s">
        <v>450</v>
      </c>
    </row>
    <row r="17" spans="1:51" ht="15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462"/>
      <c r="AM17" s="468">
        <v>1</v>
      </c>
      <c r="AN17" s="464"/>
      <c r="AO17" s="124"/>
      <c r="AP17" s="464"/>
      <c r="AQ17" s="470"/>
      <c r="AR17" s="464"/>
      <c r="AS17" s="453">
        <v>1</v>
      </c>
      <c r="AT17" s="463">
        <f>AVERAGE(AH17:AS17)</f>
        <v>1</v>
      </c>
      <c r="AU17" s="381">
        <f>+(SUM(AH17:AS17)/+SUM(V17:AG17))</f>
        <v>1</v>
      </c>
      <c r="AV17" s="472" t="s">
        <v>899</v>
      </c>
      <c r="AW17" s="472" t="s">
        <v>900</v>
      </c>
      <c r="AX17" s="466" t="s">
        <v>881</v>
      </c>
      <c r="AY17" s="477" t="s">
        <v>450</v>
      </c>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453">
        <v>1</v>
      </c>
      <c r="AL18" s="379">
        <v>1</v>
      </c>
      <c r="AM18" s="469">
        <v>1</v>
      </c>
      <c r="AN18" s="453">
        <v>1</v>
      </c>
      <c r="AO18" s="457">
        <v>1</v>
      </c>
      <c r="AP18" s="453">
        <v>1</v>
      </c>
      <c r="AQ18" s="453">
        <v>1</v>
      </c>
      <c r="AR18" s="453">
        <v>1</v>
      </c>
      <c r="AS18" s="453">
        <v>1</v>
      </c>
      <c r="AT18" s="127">
        <f>AVERAGE(AH18:AS18)</f>
        <v>1</v>
      </c>
      <c r="AU18" s="378">
        <f>+(SUM(AH18:AS18)/+SUM(V18:AG18))</f>
        <v>1</v>
      </c>
      <c r="AV18" s="527" t="s">
        <v>901</v>
      </c>
      <c r="AW18" s="473" t="s">
        <v>902</v>
      </c>
      <c r="AX18" s="466" t="s">
        <v>881</v>
      </c>
      <c r="AY18" s="477" t="s">
        <v>450</v>
      </c>
    </row>
    <row r="19" spans="1:51" ht="409.5">
      <c r="A19" s="121"/>
      <c r="B19" s="121"/>
      <c r="C19" s="121"/>
      <c r="D19" s="121"/>
      <c r="E19" s="121" t="s">
        <v>425</v>
      </c>
      <c r="F19" s="121"/>
      <c r="G19" s="122" t="s">
        <v>427</v>
      </c>
      <c r="H19" s="122" t="s">
        <v>840</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453">
        <v>1</v>
      </c>
      <c r="AL19" s="380"/>
      <c r="AM19" s="470"/>
      <c r="AN19" s="464"/>
      <c r="AO19" s="457">
        <v>1</v>
      </c>
      <c r="AP19" s="464"/>
      <c r="AQ19" s="470"/>
      <c r="AR19" s="464"/>
      <c r="AS19" s="453">
        <v>1</v>
      </c>
      <c r="AT19" s="127">
        <f>+AO19</f>
        <v>1</v>
      </c>
      <c r="AU19" s="378">
        <f>+(SUM(AH19:AS19)/+SUM(V19:AG19))</f>
        <v>1</v>
      </c>
      <c r="AV19" s="472" t="s">
        <v>903</v>
      </c>
      <c r="AW19" s="472" t="s">
        <v>904</v>
      </c>
      <c r="AX19" s="466" t="s">
        <v>881</v>
      </c>
      <c r="AY19" s="477" t="s">
        <v>450</v>
      </c>
    </row>
    <row r="20" spans="1:51" ht="268.5" customHeight="1">
      <c r="A20" s="121"/>
      <c r="B20" s="121"/>
      <c r="C20" s="121"/>
      <c r="D20" s="121"/>
      <c r="E20" s="121" t="s">
        <v>425</v>
      </c>
      <c r="F20" s="121"/>
      <c r="G20" s="122" t="s">
        <v>427</v>
      </c>
      <c r="H20" s="122" t="s">
        <v>840</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380"/>
      <c r="AM20" s="464"/>
      <c r="AN20" s="464">
        <v>1</v>
      </c>
      <c r="AO20" s="124"/>
      <c r="AP20" s="464"/>
      <c r="AQ20" s="470"/>
      <c r="AR20" s="464"/>
      <c r="AS20" s="464">
        <v>1</v>
      </c>
      <c r="AT20" s="124">
        <f>SUM(AH20:AS20)</f>
        <v>2</v>
      </c>
      <c r="AU20" s="378">
        <f t="shared" si="1"/>
        <v>1</v>
      </c>
      <c r="AV20" s="472" t="s">
        <v>905</v>
      </c>
      <c r="AW20" s="472" t="s">
        <v>906</v>
      </c>
      <c r="AX20" s="466" t="s">
        <v>881</v>
      </c>
      <c r="AY20" s="477" t="s">
        <v>450</v>
      </c>
    </row>
    <row r="21" spans="1:51" ht="216" customHeight="1">
      <c r="A21" s="121"/>
      <c r="B21" s="121"/>
      <c r="C21" s="121"/>
      <c r="D21" s="121"/>
      <c r="E21" s="121" t="s">
        <v>425</v>
      </c>
      <c r="F21" s="121"/>
      <c r="G21" s="122" t="s">
        <v>427</v>
      </c>
      <c r="H21" s="122" t="s">
        <v>840</v>
      </c>
      <c r="I21" s="232" t="s">
        <v>470</v>
      </c>
      <c r="J21" s="233" t="s">
        <v>471</v>
      </c>
      <c r="K21" s="124" t="s">
        <v>430</v>
      </c>
      <c r="L21" s="124"/>
      <c r="M21" s="121" t="s">
        <v>437</v>
      </c>
      <c r="N21" s="122" t="s">
        <v>472</v>
      </c>
      <c r="O21" s="124"/>
      <c r="P21" s="124"/>
      <c r="Q21" s="124"/>
      <c r="R21" s="241">
        <v>12</v>
      </c>
      <c r="S21" s="124"/>
      <c r="T21" s="235" t="s">
        <v>460</v>
      </c>
      <c r="U21" s="232" t="s">
        <v>473</v>
      </c>
      <c r="V21" s="121">
        <v>1</v>
      </c>
      <c r="W21" s="450">
        <v>1</v>
      </c>
      <c r="X21" s="450">
        <v>1</v>
      </c>
      <c r="Y21" s="450">
        <v>1</v>
      </c>
      <c r="Z21" s="450">
        <v>1</v>
      </c>
      <c r="AA21" s="450">
        <v>1</v>
      </c>
      <c r="AB21" s="450">
        <v>1</v>
      </c>
      <c r="AC21" s="450">
        <v>1</v>
      </c>
      <c r="AD21" s="450">
        <v>1</v>
      </c>
      <c r="AE21" s="450">
        <v>1</v>
      </c>
      <c r="AF21" s="450">
        <v>1</v>
      </c>
      <c r="AG21" s="450">
        <v>1</v>
      </c>
      <c r="AH21" s="450">
        <v>1</v>
      </c>
      <c r="AI21" s="450">
        <v>1</v>
      </c>
      <c r="AJ21" s="450">
        <v>1</v>
      </c>
      <c r="AK21" s="450">
        <v>1</v>
      </c>
      <c r="AL21" s="128">
        <v>1</v>
      </c>
      <c r="AM21" s="464">
        <v>1</v>
      </c>
      <c r="AN21" s="464">
        <v>1</v>
      </c>
      <c r="AO21" s="450">
        <v>1</v>
      </c>
      <c r="AP21" s="464">
        <v>1</v>
      </c>
      <c r="AQ21" s="464">
        <v>1</v>
      </c>
      <c r="AR21" s="464">
        <v>1</v>
      </c>
      <c r="AS21" s="464">
        <v>1</v>
      </c>
      <c r="AT21" s="124">
        <f t="shared" si="0"/>
        <v>12</v>
      </c>
      <c r="AU21" s="378">
        <f t="shared" si="1"/>
        <v>1</v>
      </c>
      <c r="AV21" s="473" t="s">
        <v>907</v>
      </c>
      <c r="AW21" s="473" t="s">
        <v>908</v>
      </c>
      <c r="AX21" s="466" t="s">
        <v>881</v>
      </c>
      <c r="AY21" s="477" t="s">
        <v>450</v>
      </c>
    </row>
    <row r="22" spans="1:51" ht="214.5" customHeight="1">
      <c r="A22" s="121"/>
      <c r="B22" s="121"/>
      <c r="C22" s="121"/>
      <c r="D22" s="121"/>
      <c r="E22" s="121" t="s">
        <v>425</v>
      </c>
      <c r="F22" s="121"/>
      <c r="G22" s="122" t="s">
        <v>427</v>
      </c>
      <c r="H22" s="122" t="s">
        <v>840</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380"/>
      <c r="AM22" s="470"/>
      <c r="AN22" s="464">
        <v>1</v>
      </c>
      <c r="AO22" s="124"/>
      <c r="AP22" s="464"/>
      <c r="AQ22" s="470"/>
      <c r="AR22" s="464"/>
      <c r="AS22" s="464">
        <v>1</v>
      </c>
      <c r="AT22" s="124">
        <f t="shared" si="0"/>
        <v>2</v>
      </c>
      <c r="AU22" s="378">
        <f t="shared" si="1"/>
        <v>1</v>
      </c>
      <c r="AV22" s="472" t="s">
        <v>909</v>
      </c>
      <c r="AW22" s="364" t="s">
        <v>910</v>
      </c>
      <c r="AX22" s="472" t="s">
        <v>881</v>
      </c>
      <c r="AY22" s="476" t="s">
        <v>450</v>
      </c>
    </row>
    <row r="23" spans="1:51" ht="54" customHeight="1">
      <c r="A23" s="823" t="s">
        <v>64</v>
      </c>
      <c r="B23" s="823"/>
      <c r="C23" s="823"/>
      <c r="D23" s="819" t="s">
        <v>66</v>
      </c>
      <c r="E23" s="819"/>
      <c r="F23" s="819"/>
      <c r="G23" s="819"/>
      <c r="H23" s="819"/>
      <c r="I23" s="819"/>
      <c r="J23" s="824" t="s">
        <v>300</v>
      </c>
      <c r="K23" s="824"/>
      <c r="L23" s="824"/>
      <c r="M23" s="824"/>
      <c r="N23" s="824"/>
      <c r="O23" s="824"/>
      <c r="P23" s="819" t="s">
        <v>66</v>
      </c>
      <c r="Q23" s="819"/>
      <c r="R23" s="819"/>
      <c r="S23" s="819"/>
      <c r="T23" s="819"/>
      <c r="U23" s="819"/>
      <c r="V23" s="819" t="s">
        <v>66</v>
      </c>
      <c r="W23" s="819"/>
      <c r="X23" s="819"/>
      <c r="Y23" s="819"/>
      <c r="Z23" s="819"/>
      <c r="AA23" s="819"/>
      <c r="AB23" s="819"/>
      <c r="AC23" s="819"/>
      <c r="AD23" s="819" t="s">
        <v>66</v>
      </c>
      <c r="AE23" s="819"/>
      <c r="AF23" s="819"/>
      <c r="AG23" s="819"/>
      <c r="AH23" s="819"/>
      <c r="AI23" s="819"/>
      <c r="AJ23" s="819"/>
      <c r="AK23" s="819"/>
      <c r="AL23" s="819"/>
      <c r="AM23" s="819"/>
      <c r="AN23" s="819"/>
      <c r="AO23" s="819"/>
      <c r="AP23" s="824" t="s">
        <v>318</v>
      </c>
      <c r="AQ23" s="824"/>
      <c r="AR23" s="824"/>
      <c r="AS23" s="824"/>
      <c r="AT23" s="819" t="s">
        <v>13</v>
      </c>
      <c r="AU23" s="819"/>
      <c r="AV23" s="819"/>
      <c r="AW23" s="819"/>
      <c r="AX23" s="819"/>
      <c r="AY23" s="819"/>
    </row>
    <row r="24" spans="1:51" ht="30" customHeight="1">
      <c r="A24" s="823"/>
      <c r="B24" s="823"/>
      <c r="C24" s="823"/>
      <c r="D24" s="819" t="s">
        <v>794</v>
      </c>
      <c r="E24" s="819"/>
      <c r="F24" s="819"/>
      <c r="G24" s="819"/>
      <c r="H24" s="819"/>
      <c r="I24" s="819"/>
      <c r="J24" s="824"/>
      <c r="K24" s="824"/>
      <c r="L24" s="824"/>
      <c r="M24" s="824"/>
      <c r="N24" s="824"/>
      <c r="O24" s="824"/>
      <c r="P24" s="819" t="s">
        <v>796</v>
      </c>
      <c r="Q24" s="819"/>
      <c r="R24" s="819"/>
      <c r="S24" s="819"/>
      <c r="T24" s="819"/>
      <c r="U24" s="819"/>
      <c r="V24" s="819" t="s">
        <v>797</v>
      </c>
      <c r="W24" s="819"/>
      <c r="X24" s="819"/>
      <c r="Y24" s="819"/>
      <c r="Z24" s="819"/>
      <c r="AA24" s="819"/>
      <c r="AB24" s="819"/>
      <c r="AC24" s="819"/>
      <c r="AD24" s="819" t="s">
        <v>65</v>
      </c>
      <c r="AE24" s="819"/>
      <c r="AF24" s="819"/>
      <c r="AG24" s="819"/>
      <c r="AH24" s="819"/>
      <c r="AI24" s="819"/>
      <c r="AJ24" s="819"/>
      <c r="AK24" s="819"/>
      <c r="AL24" s="819"/>
      <c r="AM24" s="819"/>
      <c r="AN24" s="819"/>
      <c r="AO24" s="819"/>
      <c r="AP24" s="824"/>
      <c r="AQ24" s="824"/>
      <c r="AR24" s="824"/>
      <c r="AS24" s="824"/>
      <c r="AT24" s="819" t="s">
        <v>769</v>
      </c>
      <c r="AU24" s="819"/>
      <c r="AV24" s="819"/>
      <c r="AW24" s="819"/>
      <c r="AX24" s="819"/>
      <c r="AY24" s="819"/>
    </row>
    <row r="25" spans="1:51" ht="30" customHeight="1">
      <c r="A25" s="823"/>
      <c r="B25" s="823"/>
      <c r="C25" s="823"/>
      <c r="D25" s="819" t="s">
        <v>795</v>
      </c>
      <c r="E25" s="819"/>
      <c r="F25" s="819"/>
      <c r="G25" s="819"/>
      <c r="H25" s="819"/>
      <c r="I25" s="819"/>
      <c r="J25" s="824"/>
      <c r="K25" s="824"/>
      <c r="L25" s="824"/>
      <c r="M25" s="824"/>
      <c r="N25" s="824"/>
      <c r="O25" s="824"/>
      <c r="P25" s="819" t="s">
        <v>795</v>
      </c>
      <c r="Q25" s="819"/>
      <c r="R25" s="819"/>
      <c r="S25" s="819"/>
      <c r="T25" s="819"/>
      <c r="U25" s="819"/>
      <c r="V25" s="819" t="s">
        <v>798</v>
      </c>
      <c r="W25" s="819"/>
      <c r="X25" s="819"/>
      <c r="Y25" s="819"/>
      <c r="Z25" s="819"/>
      <c r="AA25" s="819"/>
      <c r="AB25" s="819"/>
      <c r="AC25" s="819"/>
      <c r="AD25" s="819" t="s">
        <v>297</v>
      </c>
      <c r="AE25" s="819"/>
      <c r="AF25" s="819"/>
      <c r="AG25" s="819"/>
      <c r="AH25" s="819"/>
      <c r="AI25" s="819"/>
      <c r="AJ25" s="819"/>
      <c r="AK25" s="819"/>
      <c r="AL25" s="819"/>
      <c r="AM25" s="819"/>
      <c r="AN25" s="819"/>
      <c r="AO25" s="819"/>
      <c r="AP25" s="824"/>
      <c r="AQ25" s="824"/>
      <c r="AR25" s="824"/>
      <c r="AS25" s="824"/>
      <c r="AT25" s="819" t="s">
        <v>75</v>
      </c>
      <c r="AU25" s="819"/>
      <c r="AV25" s="819"/>
      <c r="AW25" s="819"/>
      <c r="AX25" s="819"/>
      <c r="AY25" s="819"/>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3:C25"/>
    <mergeCell ref="D23:I23"/>
    <mergeCell ref="J23:O25"/>
    <mergeCell ref="P23:U23"/>
    <mergeCell ref="V23:AC23"/>
    <mergeCell ref="AD23:AO23"/>
    <mergeCell ref="D25:I25"/>
    <mergeCell ref="AP23:AS25"/>
    <mergeCell ref="AT25:AY25"/>
    <mergeCell ref="AT23:AY23"/>
    <mergeCell ref="D24:I24"/>
    <mergeCell ref="P24:U24"/>
    <mergeCell ref="V24:AC24"/>
    <mergeCell ref="AD24:AO24"/>
    <mergeCell ref="AT24:AY24"/>
    <mergeCell ref="P25:U25"/>
    <mergeCell ref="V25:AC25"/>
    <mergeCell ref="AD25:AO25"/>
  </mergeCells>
  <printOptions/>
  <pageMargins left="0.7" right="0.7" top="0.75" bottom="0.75" header="0.3" footer="0.3"/>
  <pageSetup fitToHeight="1" fitToWidth="1" horizontalDpi="600" verticalDpi="600" orientation="landscape" scale="17" r:id="rId4"/>
  <drawing r:id="rId3"/>
  <legacyDrawing r:id="rId2"/>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AY22"/>
  <sheetViews>
    <sheetView view="pageBreakPreview" zoomScale="60" zoomScaleNormal="80" zoomScalePageLayoutView="0" workbookViewId="0" topLeftCell="AD1">
      <selection activeCell="AV13" sqref="AV13:AY19"/>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8.281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1146" t="s">
        <v>423</v>
      </c>
      <c r="AY1" s="1147"/>
    </row>
    <row r="2" spans="1:51" ht="15.75" customHeight="1">
      <c r="A2" s="1172" t="s">
        <v>17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4"/>
      <c r="AX2" s="1171" t="s">
        <v>418</v>
      </c>
      <c r="AY2" s="1193"/>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1171" t="s">
        <v>424</v>
      </c>
      <c r="AY3" s="1193"/>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789</v>
      </c>
      <c r="AY4" s="801"/>
    </row>
    <row r="5" spans="1:51" ht="15" customHeight="1">
      <c r="A5" s="805" t="s">
        <v>174</v>
      </c>
      <c r="B5" s="806"/>
      <c r="C5" s="806"/>
      <c r="D5" s="831"/>
      <c r="E5" s="831"/>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05"/>
      <c r="D6" s="889">
        <v>45300</v>
      </c>
      <c r="E6" s="890"/>
      <c r="F6" s="831" t="s">
        <v>67</v>
      </c>
      <c r="G6" s="832"/>
      <c r="H6" s="1192" t="s">
        <v>70</v>
      </c>
      <c r="I6" s="1192"/>
      <c r="J6" s="121"/>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1191"/>
      <c r="AJ6" s="1191"/>
      <c r="AK6" s="1191"/>
      <c r="AL6" s="1191"/>
      <c r="AM6" s="1191"/>
      <c r="AN6" s="1191"/>
      <c r="AO6" s="1191"/>
      <c r="AP6" s="1191"/>
      <c r="AQ6" s="1191"/>
      <c r="AR6" s="1191"/>
      <c r="AS6" s="1191"/>
      <c r="AT6" s="1191"/>
      <c r="AU6" s="835"/>
      <c r="AV6" s="828"/>
      <c r="AW6" s="828"/>
      <c r="AX6" s="828"/>
      <c r="AY6" s="828"/>
    </row>
    <row r="7" spans="1:51" ht="15" customHeight="1">
      <c r="A7" s="839"/>
      <c r="B7" s="839"/>
      <c r="C7" s="805"/>
      <c r="D7" s="891"/>
      <c r="E7" s="892"/>
      <c r="F7" s="834"/>
      <c r="G7" s="835"/>
      <c r="H7" s="1192" t="s">
        <v>68</v>
      </c>
      <c r="I7" s="1192"/>
      <c r="J7" s="121"/>
      <c r="K7" s="833"/>
      <c r="L7" s="1191"/>
      <c r="M7" s="1191"/>
      <c r="N7" s="1191"/>
      <c r="O7" s="1191"/>
      <c r="P7" s="1191"/>
      <c r="Q7" s="1191"/>
      <c r="R7" s="1191"/>
      <c r="S7" s="1191"/>
      <c r="T7" s="1191"/>
      <c r="U7" s="1191"/>
      <c r="V7" s="231"/>
      <c r="W7" s="231"/>
      <c r="X7" s="231"/>
      <c r="Y7" s="231"/>
      <c r="Z7" s="231"/>
      <c r="AA7" s="231"/>
      <c r="AB7" s="231"/>
      <c r="AC7" s="231"/>
      <c r="AD7" s="231"/>
      <c r="AE7" s="231"/>
      <c r="AF7" s="231"/>
      <c r="AG7" s="117"/>
      <c r="AH7" s="833"/>
      <c r="AI7" s="1191"/>
      <c r="AJ7" s="1191"/>
      <c r="AK7" s="1191"/>
      <c r="AL7" s="1191"/>
      <c r="AM7" s="1191"/>
      <c r="AN7" s="1191"/>
      <c r="AO7" s="1191"/>
      <c r="AP7" s="1191"/>
      <c r="AQ7" s="1191"/>
      <c r="AR7" s="1191"/>
      <c r="AS7" s="1191"/>
      <c r="AT7" s="1191"/>
      <c r="AU7" s="835"/>
      <c r="AV7" s="828"/>
      <c r="AW7" s="828"/>
      <c r="AX7" s="828"/>
      <c r="AY7" s="828"/>
    </row>
    <row r="8" spans="1:51" ht="15" customHeight="1">
      <c r="A8" s="839"/>
      <c r="B8" s="839"/>
      <c r="C8" s="805"/>
      <c r="D8" s="893"/>
      <c r="E8" s="894"/>
      <c r="F8" s="837"/>
      <c r="G8" s="838"/>
      <c r="H8" s="1192" t="s">
        <v>69</v>
      </c>
      <c r="I8" s="1192"/>
      <c r="J8" s="121" t="s">
        <v>425</v>
      </c>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1191"/>
      <c r="AJ8" s="1191"/>
      <c r="AK8" s="1191"/>
      <c r="AL8" s="1191"/>
      <c r="AM8" s="1191"/>
      <c r="AN8" s="1191"/>
      <c r="AO8" s="1191"/>
      <c r="AP8" s="1191"/>
      <c r="AQ8" s="1191"/>
      <c r="AR8" s="1191"/>
      <c r="AS8" s="1191"/>
      <c r="AT8" s="1191"/>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1191"/>
      <c r="AJ9" s="1191"/>
      <c r="AK9" s="1191"/>
      <c r="AL9" s="1191"/>
      <c r="AM9" s="1191"/>
      <c r="AN9" s="1191"/>
      <c r="AO9" s="1191"/>
      <c r="AP9" s="1191"/>
      <c r="AQ9" s="1191"/>
      <c r="AR9" s="1191"/>
      <c r="AS9" s="1191"/>
      <c r="AT9" s="1191"/>
      <c r="AU9" s="835"/>
      <c r="AV9" s="828"/>
      <c r="AW9" s="828"/>
      <c r="AX9" s="828"/>
      <c r="AY9" s="828"/>
    </row>
    <row r="10" spans="1:51" ht="15" customHeight="1">
      <c r="A10" s="841" t="s">
        <v>287</v>
      </c>
      <c r="B10" s="842"/>
      <c r="C10" s="843"/>
      <c r="D10" s="848" t="s">
        <v>500</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292" t="s">
        <v>169</v>
      </c>
      <c r="B12" s="292" t="s">
        <v>170</v>
      </c>
      <c r="C12" s="292" t="s">
        <v>171</v>
      </c>
      <c r="D12" s="292" t="s">
        <v>178</v>
      </c>
      <c r="E12" s="292" t="s">
        <v>185</v>
      </c>
      <c r="F12" s="292" t="s">
        <v>186</v>
      </c>
      <c r="G12" s="292" t="s">
        <v>277</v>
      </c>
      <c r="H12" s="292" t="s">
        <v>184</v>
      </c>
      <c r="I12" s="821"/>
      <c r="J12" s="821"/>
      <c r="K12" s="821"/>
      <c r="L12" s="821"/>
      <c r="M12" s="821"/>
      <c r="N12" s="821"/>
      <c r="O12" s="292">
        <v>2020</v>
      </c>
      <c r="P12" s="292">
        <v>2021</v>
      </c>
      <c r="Q12" s="292">
        <v>2022</v>
      </c>
      <c r="R12" s="292">
        <v>2023</v>
      </c>
      <c r="S12" s="292">
        <v>2024</v>
      </c>
      <c r="T12" s="821"/>
      <c r="U12" s="821"/>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821"/>
      <c r="AW12" s="821"/>
      <c r="AX12" s="821"/>
      <c r="AY12" s="821"/>
    </row>
    <row r="13" spans="1:51" ht="158.25" customHeight="1">
      <c r="A13" s="310"/>
      <c r="B13" s="121"/>
      <c r="C13" s="121"/>
      <c r="D13" s="121"/>
      <c r="E13" s="450" t="s">
        <v>425</v>
      </c>
      <c r="F13" s="121"/>
      <c r="G13" s="382" t="s">
        <v>718</v>
      </c>
      <c r="H13" s="121"/>
      <c r="I13" s="232" t="s">
        <v>719</v>
      </c>
      <c r="J13" s="401" t="s">
        <v>720</v>
      </c>
      <c r="K13" s="383" t="s">
        <v>453</v>
      </c>
      <c r="L13" s="122"/>
      <c r="M13" s="383" t="s">
        <v>431</v>
      </c>
      <c r="N13" s="401" t="s">
        <v>721</v>
      </c>
      <c r="O13" s="123"/>
      <c r="P13" s="123"/>
      <c r="Q13" s="123"/>
      <c r="R13" s="384">
        <v>1</v>
      </c>
      <c r="S13" s="123"/>
      <c r="T13" s="385" t="s">
        <v>433</v>
      </c>
      <c r="U13" s="402" t="s">
        <v>722</v>
      </c>
      <c r="V13" s="124"/>
      <c r="W13" s="124"/>
      <c r="X13" s="307">
        <v>1</v>
      </c>
      <c r="Y13" s="124"/>
      <c r="Z13" s="124"/>
      <c r="AA13" s="307">
        <v>1</v>
      </c>
      <c r="AB13" s="124"/>
      <c r="AC13" s="124"/>
      <c r="AD13" s="307">
        <v>1</v>
      </c>
      <c r="AE13" s="124"/>
      <c r="AF13" s="124"/>
      <c r="AG13" s="307">
        <v>1</v>
      </c>
      <c r="AH13" s="124"/>
      <c r="AI13" s="124"/>
      <c r="AJ13" s="127">
        <v>1</v>
      </c>
      <c r="AK13" s="124"/>
      <c r="AL13" s="124"/>
      <c r="AM13" s="463">
        <v>1</v>
      </c>
      <c r="AN13" s="124"/>
      <c r="AO13" s="124"/>
      <c r="AP13" s="463">
        <v>1</v>
      </c>
      <c r="AQ13" s="124"/>
      <c r="AR13" s="124"/>
      <c r="AS13" s="463">
        <v>1</v>
      </c>
      <c r="AT13" s="127">
        <f aca="true" t="shared" si="0" ref="AT13:AT18">AVERAGE(AH13:AS13)</f>
        <v>1</v>
      </c>
      <c r="AU13" s="378">
        <f aca="true" t="shared" si="1" ref="AU13:AU18">+(SUM(AH13:AS13)/+SUM(V13:AG13))</f>
        <v>1</v>
      </c>
      <c r="AV13" s="475" t="s">
        <v>992</v>
      </c>
      <c r="AW13" s="475" t="s">
        <v>993</v>
      </c>
      <c r="AX13" s="466" t="s">
        <v>881</v>
      </c>
      <c r="AY13" s="466" t="s">
        <v>450</v>
      </c>
    </row>
    <row r="14" spans="1:51" ht="124.5" customHeight="1">
      <c r="A14" s="310"/>
      <c r="B14" s="121"/>
      <c r="C14" s="121"/>
      <c r="D14" s="121"/>
      <c r="E14" s="450" t="s">
        <v>425</v>
      </c>
      <c r="F14" s="121"/>
      <c r="G14" s="382" t="s">
        <v>718</v>
      </c>
      <c r="H14" s="121"/>
      <c r="I14" s="232" t="s">
        <v>723</v>
      </c>
      <c r="J14" s="401" t="s">
        <v>724</v>
      </c>
      <c r="K14" s="383" t="s">
        <v>453</v>
      </c>
      <c r="L14" s="124"/>
      <c r="M14" s="383" t="s">
        <v>431</v>
      </c>
      <c r="N14" s="401" t="s">
        <v>725</v>
      </c>
      <c r="O14" s="124"/>
      <c r="P14" s="124"/>
      <c r="Q14" s="124"/>
      <c r="R14" s="384">
        <v>1</v>
      </c>
      <c r="S14" s="124"/>
      <c r="T14" s="385" t="s">
        <v>433</v>
      </c>
      <c r="U14" s="401" t="s">
        <v>726</v>
      </c>
      <c r="V14" s="124"/>
      <c r="W14" s="124"/>
      <c r="X14" s="307">
        <v>1</v>
      </c>
      <c r="Y14" s="124"/>
      <c r="Z14" s="124"/>
      <c r="AA14" s="307">
        <v>1</v>
      </c>
      <c r="AB14" s="124"/>
      <c r="AC14" s="124"/>
      <c r="AD14" s="307">
        <v>1</v>
      </c>
      <c r="AE14" s="124"/>
      <c r="AF14" s="124"/>
      <c r="AG14" s="307">
        <v>1</v>
      </c>
      <c r="AH14" s="124"/>
      <c r="AI14" s="124"/>
      <c r="AJ14" s="127">
        <v>1</v>
      </c>
      <c r="AK14" s="124"/>
      <c r="AL14" s="124"/>
      <c r="AM14" s="463">
        <v>1</v>
      </c>
      <c r="AN14" s="124"/>
      <c r="AO14" s="124"/>
      <c r="AP14" s="463">
        <v>1</v>
      </c>
      <c r="AQ14" s="124"/>
      <c r="AR14" s="124"/>
      <c r="AS14" s="467">
        <v>1</v>
      </c>
      <c r="AT14" s="463">
        <f t="shared" si="0"/>
        <v>1</v>
      </c>
      <c r="AU14" s="378">
        <f t="shared" si="1"/>
        <v>1</v>
      </c>
      <c r="AV14" s="475" t="s">
        <v>994</v>
      </c>
      <c r="AW14" s="475" t="s">
        <v>995</v>
      </c>
      <c r="AX14" s="466" t="s">
        <v>881</v>
      </c>
      <c r="AY14" s="466" t="s">
        <v>450</v>
      </c>
    </row>
    <row r="15" spans="1:51" ht="124.5" customHeight="1">
      <c r="A15" s="310"/>
      <c r="B15" s="121"/>
      <c r="C15" s="121"/>
      <c r="D15" s="121"/>
      <c r="E15" s="450" t="s">
        <v>425</v>
      </c>
      <c r="F15" s="121"/>
      <c r="G15" s="382" t="s">
        <v>718</v>
      </c>
      <c r="H15" s="121"/>
      <c r="I15" s="232" t="s">
        <v>727</v>
      </c>
      <c r="J15" s="401" t="s">
        <v>728</v>
      </c>
      <c r="K15" s="383" t="s">
        <v>453</v>
      </c>
      <c r="L15" s="124"/>
      <c r="M15" s="383" t="s">
        <v>431</v>
      </c>
      <c r="N15" s="401" t="s">
        <v>729</v>
      </c>
      <c r="O15" s="124"/>
      <c r="P15" s="124"/>
      <c r="Q15" s="124"/>
      <c r="R15" s="384">
        <v>1</v>
      </c>
      <c r="S15" s="124"/>
      <c r="T15" s="385" t="s">
        <v>433</v>
      </c>
      <c r="U15" s="401" t="s">
        <v>730</v>
      </c>
      <c r="V15" s="124"/>
      <c r="W15" s="124"/>
      <c r="X15" s="307">
        <v>1</v>
      </c>
      <c r="Y15" s="124"/>
      <c r="Z15" s="124"/>
      <c r="AA15" s="307">
        <v>1</v>
      </c>
      <c r="AB15" s="124"/>
      <c r="AC15" s="124"/>
      <c r="AD15" s="307">
        <v>1</v>
      </c>
      <c r="AE15" s="124"/>
      <c r="AF15" s="124"/>
      <c r="AG15" s="307">
        <v>1</v>
      </c>
      <c r="AH15" s="124"/>
      <c r="AI15" s="124"/>
      <c r="AJ15" s="127">
        <v>1</v>
      </c>
      <c r="AK15" s="124"/>
      <c r="AL15" s="124"/>
      <c r="AM15" s="463">
        <v>1</v>
      </c>
      <c r="AN15" s="124"/>
      <c r="AO15" s="124"/>
      <c r="AP15" s="463">
        <v>1</v>
      </c>
      <c r="AQ15" s="124"/>
      <c r="AR15" s="124"/>
      <c r="AS15" s="467">
        <v>1</v>
      </c>
      <c r="AT15" s="463">
        <f t="shared" si="0"/>
        <v>1</v>
      </c>
      <c r="AU15" s="378">
        <f t="shared" si="1"/>
        <v>1</v>
      </c>
      <c r="AV15" s="475" t="s">
        <v>996</v>
      </c>
      <c r="AW15" s="475" t="s">
        <v>997</v>
      </c>
      <c r="AX15" s="466" t="s">
        <v>881</v>
      </c>
      <c r="AY15" s="466" t="s">
        <v>450</v>
      </c>
    </row>
    <row r="16" spans="1:51" ht="124.5" customHeight="1">
      <c r="A16" s="310"/>
      <c r="B16" s="121"/>
      <c r="C16" s="121"/>
      <c r="D16" s="121"/>
      <c r="E16" s="450" t="s">
        <v>425</v>
      </c>
      <c r="F16" s="121"/>
      <c r="G16" s="382" t="s">
        <v>718</v>
      </c>
      <c r="H16" s="121"/>
      <c r="I16" s="232" t="s">
        <v>731</v>
      </c>
      <c r="J16" s="401" t="s">
        <v>732</v>
      </c>
      <c r="K16" s="383" t="s">
        <v>733</v>
      </c>
      <c r="L16" s="124"/>
      <c r="M16" s="383" t="s">
        <v>431</v>
      </c>
      <c r="N16" s="401" t="s">
        <v>734</v>
      </c>
      <c r="O16" s="124"/>
      <c r="P16" s="124"/>
      <c r="Q16" s="124"/>
      <c r="R16" s="384">
        <v>1</v>
      </c>
      <c r="S16" s="124"/>
      <c r="T16" s="385" t="s">
        <v>433</v>
      </c>
      <c r="U16" s="401" t="s">
        <v>735</v>
      </c>
      <c r="V16" s="124"/>
      <c r="W16" s="124"/>
      <c r="X16" s="307">
        <v>1</v>
      </c>
      <c r="Y16" s="124"/>
      <c r="Z16" s="124"/>
      <c r="AA16" s="307">
        <v>1</v>
      </c>
      <c r="AB16" s="124"/>
      <c r="AC16" s="124"/>
      <c r="AD16" s="307">
        <v>1</v>
      </c>
      <c r="AE16" s="124"/>
      <c r="AF16" s="124"/>
      <c r="AG16" s="307">
        <v>1</v>
      </c>
      <c r="AH16" s="124"/>
      <c r="AI16" s="124"/>
      <c r="AJ16" s="127">
        <v>1</v>
      </c>
      <c r="AK16" s="124"/>
      <c r="AL16" s="124"/>
      <c r="AM16" s="463">
        <v>1</v>
      </c>
      <c r="AN16" s="124"/>
      <c r="AO16" s="124"/>
      <c r="AP16" s="463">
        <v>1</v>
      </c>
      <c r="AQ16" s="124"/>
      <c r="AR16" s="124"/>
      <c r="AS16" s="467">
        <v>1</v>
      </c>
      <c r="AT16" s="463">
        <f t="shared" si="0"/>
        <v>1</v>
      </c>
      <c r="AU16" s="378">
        <f t="shared" si="1"/>
        <v>1</v>
      </c>
      <c r="AV16" s="465" t="s">
        <v>998</v>
      </c>
      <c r="AW16" s="465" t="s">
        <v>999</v>
      </c>
      <c r="AX16" s="466" t="s">
        <v>881</v>
      </c>
      <c r="AY16" s="466" t="s">
        <v>450</v>
      </c>
    </row>
    <row r="17" spans="1:51" ht="124.5" customHeight="1">
      <c r="A17" s="310"/>
      <c r="B17" s="121"/>
      <c r="C17" s="121"/>
      <c r="D17" s="121"/>
      <c r="E17" s="450" t="s">
        <v>425</v>
      </c>
      <c r="F17" s="121"/>
      <c r="G17" s="382" t="s">
        <v>718</v>
      </c>
      <c r="H17" s="121"/>
      <c r="I17" s="232" t="s">
        <v>736</v>
      </c>
      <c r="J17" s="401" t="s">
        <v>737</v>
      </c>
      <c r="K17" s="383" t="s">
        <v>733</v>
      </c>
      <c r="L17" s="124"/>
      <c r="M17" s="383" t="s">
        <v>431</v>
      </c>
      <c r="N17" s="401" t="s">
        <v>738</v>
      </c>
      <c r="O17" s="124"/>
      <c r="P17" s="124"/>
      <c r="Q17" s="124"/>
      <c r="R17" s="384">
        <v>1</v>
      </c>
      <c r="S17" s="124"/>
      <c r="T17" s="385" t="s">
        <v>433</v>
      </c>
      <c r="U17" s="401" t="s">
        <v>739</v>
      </c>
      <c r="V17" s="124"/>
      <c r="W17" s="124"/>
      <c r="X17" s="307">
        <v>1</v>
      </c>
      <c r="Y17" s="124"/>
      <c r="Z17" s="124"/>
      <c r="AA17" s="307">
        <v>1</v>
      </c>
      <c r="AB17" s="124"/>
      <c r="AC17" s="124"/>
      <c r="AD17" s="307">
        <v>1</v>
      </c>
      <c r="AE17" s="124"/>
      <c r="AF17" s="124"/>
      <c r="AG17" s="307">
        <v>1</v>
      </c>
      <c r="AH17" s="124"/>
      <c r="AI17" s="124"/>
      <c r="AJ17" s="127">
        <v>1</v>
      </c>
      <c r="AK17" s="124"/>
      <c r="AL17" s="124"/>
      <c r="AM17" s="463">
        <v>1</v>
      </c>
      <c r="AN17" s="124"/>
      <c r="AO17" s="124"/>
      <c r="AP17" s="463">
        <v>1</v>
      </c>
      <c r="AQ17" s="124"/>
      <c r="AR17" s="124"/>
      <c r="AS17" s="467">
        <v>1</v>
      </c>
      <c r="AT17" s="463">
        <f t="shared" si="0"/>
        <v>1</v>
      </c>
      <c r="AU17" s="378">
        <f t="shared" si="1"/>
        <v>1</v>
      </c>
      <c r="AV17" s="475" t="s">
        <v>1000</v>
      </c>
      <c r="AW17" s="475" t="s">
        <v>1001</v>
      </c>
      <c r="AX17" s="466" t="s">
        <v>881</v>
      </c>
      <c r="AY17" s="466" t="s">
        <v>450</v>
      </c>
    </row>
    <row r="18" spans="1:51" ht="124.5" customHeight="1">
      <c r="A18" s="310"/>
      <c r="B18" s="121"/>
      <c r="C18" s="121"/>
      <c r="D18" s="121"/>
      <c r="E18" s="450" t="s">
        <v>425</v>
      </c>
      <c r="F18" s="121"/>
      <c r="G18" s="382" t="s">
        <v>718</v>
      </c>
      <c r="H18" s="121"/>
      <c r="I18" s="232" t="s">
        <v>740</v>
      </c>
      <c r="J18" s="401" t="s">
        <v>741</v>
      </c>
      <c r="K18" s="383" t="s">
        <v>733</v>
      </c>
      <c r="L18" s="124"/>
      <c r="M18" s="383" t="s">
        <v>431</v>
      </c>
      <c r="N18" s="401" t="s">
        <v>742</v>
      </c>
      <c r="O18" s="124"/>
      <c r="P18" s="124"/>
      <c r="Q18" s="124"/>
      <c r="R18" s="384">
        <v>1</v>
      </c>
      <c r="S18" s="124"/>
      <c r="T18" s="385" t="s">
        <v>433</v>
      </c>
      <c r="U18" s="401" t="s">
        <v>743</v>
      </c>
      <c r="V18" s="124"/>
      <c r="W18" s="124"/>
      <c r="X18" s="307">
        <v>1</v>
      </c>
      <c r="Y18" s="124"/>
      <c r="Z18" s="124"/>
      <c r="AA18" s="307">
        <v>1</v>
      </c>
      <c r="AB18" s="124"/>
      <c r="AC18" s="124"/>
      <c r="AD18" s="307">
        <v>1</v>
      </c>
      <c r="AE18" s="124"/>
      <c r="AF18" s="124"/>
      <c r="AG18" s="307">
        <v>1</v>
      </c>
      <c r="AH18" s="124"/>
      <c r="AI18" s="124"/>
      <c r="AJ18" s="127">
        <v>1</v>
      </c>
      <c r="AK18" s="124"/>
      <c r="AL18" s="124"/>
      <c r="AM18" s="463">
        <v>1</v>
      </c>
      <c r="AN18" s="124"/>
      <c r="AO18" s="124"/>
      <c r="AP18" s="463">
        <v>1</v>
      </c>
      <c r="AQ18" s="124"/>
      <c r="AR18" s="124"/>
      <c r="AS18" s="467">
        <v>1</v>
      </c>
      <c r="AT18" s="463">
        <f t="shared" si="0"/>
        <v>1</v>
      </c>
      <c r="AU18" s="378">
        <f t="shared" si="1"/>
        <v>1</v>
      </c>
      <c r="AV18" s="153" t="s">
        <v>1002</v>
      </c>
      <c r="AW18" s="153" t="s">
        <v>1003</v>
      </c>
      <c r="AX18" s="466" t="s">
        <v>881</v>
      </c>
      <c r="AY18" s="466" t="s">
        <v>450</v>
      </c>
    </row>
    <row r="19" spans="1:51" ht="124.5" customHeight="1">
      <c r="A19" s="310"/>
      <c r="B19" s="121"/>
      <c r="C19" s="121"/>
      <c r="D19" s="121"/>
      <c r="E19" s="450" t="s">
        <v>425</v>
      </c>
      <c r="F19" s="121"/>
      <c r="G19" s="382" t="s">
        <v>718</v>
      </c>
      <c r="H19" s="121"/>
      <c r="I19" s="122" t="s">
        <v>744</v>
      </c>
      <c r="J19" s="401" t="s">
        <v>745</v>
      </c>
      <c r="K19" s="383" t="s">
        <v>430</v>
      </c>
      <c r="L19" s="124"/>
      <c r="M19" s="383" t="s">
        <v>431</v>
      </c>
      <c r="N19" s="401" t="s">
        <v>746</v>
      </c>
      <c r="O19" s="124"/>
      <c r="P19" s="124"/>
      <c r="Q19" s="124"/>
      <c r="R19" s="384">
        <v>1</v>
      </c>
      <c r="S19" s="124"/>
      <c r="T19" s="385" t="s">
        <v>433</v>
      </c>
      <c r="U19" s="401" t="s">
        <v>747</v>
      </c>
      <c r="V19" s="124"/>
      <c r="W19" s="124"/>
      <c r="X19" s="307">
        <v>0.25</v>
      </c>
      <c r="Y19" s="124"/>
      <c r="Z19" s="124"/>
      <c r="AA19" s="307">
        <v>0.25</v>
      </c>
      <c r="AB19" s="124"/>
      <c r="AC19" s="124"/>
      <c r="AD19" s="307">
        <v>0.25</v>
      </c>
      <c r="AE19" s="124"/>
      <c r="AF19" s="124"/>
      <c r="AG19" s="307">
        <v>0.25</v>
      </c>
      <c r="AH19" s="124"/>
      <c r="AI19" s="124"/>
      <c r="AJ19" s="127">
        <v>0.25</v>
      </c>
      <c r="AK19" s="124"/>
      <c r="AL19" s="124"/>
      <c r="AM19" s="463">
        <v>0.25</v>
      </c>
      <c r="AN19" s="124"/>
      <c r="AO19" s="124"/>
      <c r="AP19" s="463">
        <v>0.25</v>
      </c>
      <c r="AQ19" s="124"/>
      <c r="AR19" s="124"/>
      <c r="AS19" s="467">
        <v>0.25</v>
      </c>
      <c r="AT19" s="127">
        <f>SUM(AH19:AS19)</f>
        <v>1</v>
      </c>
      <c r="AU19" s="378">
        <f>+AT19/R19</f>
        <v>1</v>
      </c>
      <c r="AV19" s="475" t="s">
        <v>1004</v>
      </c>
      <c r="AW19" s="475" t="s">
        <v>1005</v>
      </c>
      <c r="AX19" s="466" t="s">
        <v>881</v>
      </c>
      <c r="AY19" s="466" t="s">
        <v>450</v>
      </c>
    </row>
    <row r="20" spans="1:51" ht="54" customHeight="1">
      <c r="A20" s="823" t="s">
        <v>64</v>
      </c>
      <c r="B20" s="823"/>
      <c r="C20" s="823"/>
      <c r="D20" s="819" t="s">
        <v>66</v>
      </c>
      <c r="E20" s="819"/>
      <c r="F20" s="819"/>
      <c r="G20" s="819"/>
      <c r="H20" s="819"/>
      <c r="I20" s="819"/>
      <c r="J20" s="824" t="s">
        <v>300</v>
      </c>
      <c r="K20" s="824"/>
      <c r="L20" s="824"/>
      <c r="M20" s="824"/>
      <c r="N20" s="824"/>
      <c r="O20" s="824"/>
      <c r="P20" s="819" t="s">
        <v>66</v>
      </c>
      <c r="Q20" s="819"/>
      <c r="R20" s="819"/>
      <c r="S20" s="819"/>
      <c r="T20" s="819"/>
      <c r="U20" s="819"/>
      <c r="V20" s="819" t="s">
        <v>66</v>
      </c>
      <c r="W20" s="819"/>
      <c r="X20" s="819"/>
      <c r="Y20" s="819"/>
      <c r="Z20" s="819"/>
      <c r="AA20" s="819"/>
      <c r="AB20" s="819"/>
      <c r="AC20" s="819"/>
      <c r="AD20" s="819" t="s">
        <v>66</v>
      </c>
      <c r="AE20" s="819"/>
      <c r="AF20" s="819"/>
      <c r="AG20" s="819"/>
      <c r="AH20" s="819"/>
      <c r="AI20" s="819"/>
      <c r="AJ20" s="819"/>
      <c r="AK20" s="819"/>
      <c r="AL20" s="819"/>
      <c r="AM20" s="819"/>
      <c r="AN20" s="819"/>
      <c r="AO20" s="819"/>
      <c r="AP20" s="824" t="s">
        <v>318</v>
      </c>
      <c r="AQ20" s="824"/>
      <c r="AR20" s="824"/>
      <c r="AS20" s="824"/>
      <c r="AT20" s="819" t="s">
        <v>13</v>
      </c>
      <c r="AU20" s="819"/>
      <c r="AV20" s="819"/>
      <c r="AW20" s="819"/>
      <c r="AX20" s="819"/>
      <c r="AY20" s="819"/>
    </row>
    <row r="21" spans="1:51" ht="30" customHeight="1">
      <c r="A21" s="823"/>
      <c r="B21" s="823"/>
      <c r="C21" s="823"/>
      <c r="D21" s="819" t="s">
        <v>801</v>
      </c>
      <c r="E21" s="819"/>
      <c r="F21" s="819"/>
      <c r="G21" s="819"/>
      <c r="H21" s="819"/>
      <c r="I21" s="819"/>
      <c r="J21" s="824"/>
      <c r="K21" s="824"/>
      <c r="L21" s="824"/>
      <c r="M21" s="824"/>
      <c r="N21" s="824"/>
      <c r="O21" s="824"/>
      <c r="P21" s="819" t="s">
        <v>803</v>
      </c>
      <c r="Q21" s="819"/>
      <c r="R21" s="819"/>
      <c r="S21" s="819"/>
      <c r="T21" s="819"/>
      <c r="U21" s="819"/>
      <c r="V21" s="819" t="s">
        <v>65</v>
      </c>
      <c r="W21" s="819"/>
      <c r="X21" s="819"/>
      <c r="Y21" s="819"/>
      <c r="Z21" s="819"/>
      <c r="AA21" s="819"/>
      <c r="AB21" s="819"/>
      <c r="AC21" s="819"/>
      <c r="AD21" s="819" t="s">
        <v>65</v>
      </c>
      <c r="AE21" s="819"/>
      <c r="AF21" s="819"/>
      <c r="AG21" s="819"/>
      <c r="AH21" s="819"/>
      <c r="AI21" s="819"/>
      <c r="AJ21" s="819"/>
      <c r="AK21" s="819"/>
      <c r="AL21" s="819"/>
      <c r="AM21" s="819"/>
      <c r="AN21" s="819"/>
      <c r="AO21" s="819"/>
      <c r="AP21" s="824"/>
      <c r="AQ21" s="824"/>
      <c r="AR21" s="824"/>
      <c r="AS21" s="824"/>
      <c r="AT21" s="819" t="s">
        <v>769</v>
      </c>
      <c r="AU21" s="819"/>
      <c r="AV21" s="819"/>
      <c r="AW21" s="819"/>
      <c r="AX21" s="819"/>
      <c r="AY21" s="819"/>
    </row>
    <row r="22" spans="1:51" ht="30" customHeight="1">
      <c r="A22" s="823"/>
      <c r="B22" s="823"/>
      <c r="C22" s="823"/>
      <c r="D22" s="819" t="s">
        <v>802</v>
      </c>
      <c r="E22" s="819"/>
      <c r="F22" s="819"/>
      <c r="G22" s="819"/>
      <c r="H22" s="819"/>
      <c r="I22" s="819"/>
      <c r="J22" s="824"/>
      <c r="K22" s="824"/>
      <c r="L22" s="824"/>
      <c r="M22" s="824"/>
      <c r="N22" s="824"/>
      <c r="O22" s="824"/>
      <c r="P22" s="819" t="s">
        <v>804</v>
      </c>
      <c r="Q22" s="819"/>
      <c r="R22" s="819"/>
      <c r="S22" s="819"/>
      <c r="T22" s="819"/>
      <c r="U22" s="819"/>
      <c r="V22" s="819" t="s">
        <v>297</v>
      </c>
      <c r="W22" s="819"/>
      <c r="X22" s="819"/>
      <c r="Y22" s="819"/>
      <c r="Z22" s="819"/>
      <c r="AA22" s="819"/>
      <c r="AB22" s="819"/>
      <c r="AC22" s="819"/>
      <c r="AD22" s="819" t="s">
        <v>297</v>
      </c>
      <c r="AE22" s="819"/>
      <c r="AF22" s="819"/>
      <c r="AG22" s="819"/>
      <c r="AH22" s="819"/>
      <c r="AI22" s="819"/>
      <c r="AJ22" s="819"/>
      <c r="AK22" s="819"/>
      <c r="AL22" s="819"/>
      <c r="AM22" s="819"/>
      <c r="AN22" s="819"/>
      <c r="AO22" s="819"/>
      <c r="AP22" s="824"/>
      <c r="AQ22" s="824"/>
      <c r="AR22" s="824"/>
      <c r="AS22" s="824"/>
      <c r="AT22" s="819" t="s">
        <v>75</v>
      </c>
      <c r="AU22" s="819"/>
      <c r="AV22" s="819"/>
      <c r="AW22" s="819"/>
      <c r="AX22" s="819"/>
      <c r="AY22" s="819"/>
    </row>
  </sheetData>
  <sheetProtection/>
  <mergeCells count="56">
    <mergeCell ref="AT22:AY22"/>
    <mergeCell ref="AT20:AY20"/>
    <mergeCell ref="D21:I21"/>
    <mergeCell ref="P21:U21"/>
    <mergeCell ref="V21:AC21"/>
    <mergeCell ref="AD21:AO21"/>
    <mergeCell ref="AT21:AY21"/>
    <mergeCell ref="P22:U22"/>
    <mergeCell ref="V22:AC22"/>
    <mergeCell ref="AD22:AO22"/>
    <mergeCell ref="AH11:AS11"/>
    <mergeCell ref="AT11:AU11"/>
    <mergeCell ref="A20:C22"/>
    <mergeCell ref="D20:I20"/>
    <mergeCell ref="J20:O22"/>
    <mergeCell ref="P20:U20"/>
    <mergeCell ref="V20:AC20"/>
    <mergeCell ref="AD20:AO20"/>
    <mergeCell ref="D22:I22"/>
    <mergeCell ref="AP20:AS22"/>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3"/>
  <legacyDrawing r:id="rId2"/>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W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A1" sqref="A1:AW1"/>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210" t="s">
        <v>20</v>
      </c>
      <c r="D1" s="1210"/>
      <c r="E1" s="1210"/>
      <c r="F1" s="1210"/>
      <c r="G1" s="1211" t="s">
        <v>22</v>
      </c>
      <c r="H1" s="1212"/>
      <c r="I1" s="1212"/>
      <c r="J1" s="1213"/>
      <c r="K1" s="1209" t="s">
        <v>23</v>
      </c>
      <c r="L1" s="1209"/>
      <c r="M1" s="1209"/>
      <c r="N1" s="1209"/>
    </row>
    <row r="2" spans="3:14" ht="15">
      <c r="C2" s="5"/>
      <c r="D2" s="5"/>
      <c r="E2" s="5"/>
      <c r="F2" s="5" t="s">
        <v>21</v>
      </c>
      <c r="G2" s="31"/>
      <c r="H2" s="5"/>
      <c r="I2" s="5"/>
      <c r="J2" s="32" t="s">
        <v>21</v>
      </c>
      <c r="K2" s="5"/>
      <c r="L2" s="5"/>
      <c r="M2" s="5"/>
      <c r="N2" s="5" t="s">
        <v>21</v>
      </c>
    </row>
    <row r="3" spans="1:14" ht="15">
      <c r="A3" s="1208"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208"/>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208"/>
      <c r="B5" s="6">
        <v>3</v>
      </c>
      <c r="C5" s="7">
        <v>0.05</v>
      </c>
      <c r="D5" s="7">
        <v>0.05</v>
      </c>
      <c r="E5" s="7">
        <v>0.1</v>
      </c>
      <c r="F5" s="8">
        <f>(C5+D5+E5)</f>
        <v>0.2</v>
      </c>
      <c r="G5" s="33">
        <v>0.1</v>
      </c>
      <c r="H5" s="7">
        <v>0.1</v>
      </c>
      <c r="I5" s="7">
        <v>0.1</v>
      </c>
      <c r="J5" s="34">
        <f>(G5+H5+I5)</f>
        <v>0.30000000000000004</v>
      </c>
      <c r="K5" s="25"/>
      <c r="L5" s="6"/>
      <c r="M5" s="6"/>
      <c r="N5" s="6"/>
    </row>
    <row r="6" spans="1:14" ht="15">
      <c r="A6" s="1208"/>
      <c r="B6" s="6">
        <v>4</v>
      </c>
      <c r="C6" s="7">
        <v>0.1</v>
      </c>
      <c r="D6" s="7">
        <v>0.1</v>
      </c>
      <c r="E6" s="7">
        <v>0.2</v>
      </c>
      <c r="F6" s="8">
        <f>(C6+D6+E6)</f>
        <v>0.4</v>
      </c>
      <c r="G6" s="33">
        <v>0</v>
      </c>
      <c r="H6" s="7">
        <v>0</v>
      </c>
      <c r="I6" s="7">
        <v>0.1</v>
      </c>
      <c r="J6" s="34">
        <f>(G6+H6+I6)</f>
        <v>0.1</v>
      </c>
      <c r="K6" s="25"/>
      <c r="L6" s="6"/>
      <c r="M6" s="6"/>
      <c r="N6" s="6"/>
    </row>
    <row r="7" spans="1:14" ht="15">
      <c r="A7" s="1208"/>
      <c r="B7" s="6">
        <v>5</v>
      </c>
      <c r="C7" s="7">
        <v>0</v>
      </c>
      <c r="D7" s="7">
        <v>0</v>
      </c>
      <c r="E7" s="7">
        <v>0</v>
      </c>
      <c r="F7" s="8">
        <f>(C7+D7+E7)</f>
        <v>0</v>
      </c>
      <c r="G7" s="33">
        <v>0</v>
      </c>
      <c r="H7" s="7">
        <v>0</v>
      </c>
      <c r="I7" s="7">
        <v>0</v>
      </c>
      <c r="J7" s="34">
        <f>(G7+H7+I7)</f>
        <v>0</v>
      </c>
      <c r="K7" s="25"/>
      <c r="L7" s="6"/>
      <c r="M7" s="6"/>
      <c r="N7" s="6"/>
    </row>
    <row r="8" spans="1:14" ht="15">
      <c r="A8" s="1208" t="s">
        <v>25</v>
      </c>
      <c r="B8" s="10">
        <v>6</v>
      </c>
      <c r="C8" s="11">
        <v>0.1</v>
      </c>
      <c r="D8" s="11">
        <v>0.1</v>
      </c>
      <c r="E8" s="11">
        <v>0.1</v>
      </c>
      <c r="F8" s="12">
        <f>C8+D8+E8</f>
        <v>0.30000000000000004</v>
      </c>
      <c r="G8" s="35"/>
      <c r="H8" s="10"/>
      <c r="I8" s="10"/>
      <c r="J8" s="36"/>
      <c r="K8" s="26"/>
      <c r="L8" s="10"/>
      <c r="M8" s="10"/>
      <c r="N8" s="10"/>
    </row>
    <row r="9" spans="1:14" ht="15">
      <c r="A9" s="1208"/>
      <c r="B9" s="10">
        <v>7</v>
      </c>
      <c r="C9" s="10"/>
      <c r="D9" s="10"/>
      <c r="E9" s="10"/>
      <c r="F9" s="20"/>
      <c r="G9" s="37"/>
      <c r="H9" s="10"/>
      <c r="I9" s="10"/>
      <c r="J9" s="36"/>
      <c r="K9" s="26"/>
      <c r="L9" s="10"/>
      <c r="M9" s="10"/>
      <c r="N9" s="10"/>
    </row>
    <row r="10" spans="1:14" ht="15">
      <c r="A10" s="1208"/>
      <c r="B10" s="10">
        <v>8</v>
      </c>
      <c r="C10" s="10"/>
      <c r="D10" s="10"/>
      <c r="E10" s="10"/>
      <c r="F10" s="20"/>
      <c r="G10" s="37"/>
      <c r="H10" s="10"/>
      <c r="I10" s="10"/>
      <c r="J10" s="36"/>
      <c r="K10" s="26"/>
      <c r="L10" s="10"/>
      <c r="M10" s="10"/>
      <c r="N10" s="10"/>
    </row>
    <row r="11" spans="1:14" ht="15">
      <c r="A11" s="1208"/>
      <c r="B11" s="10">
        <v>9</v>
      </c>
      <c r="C11" s="10"/>
      <c r="D11" s="10"/>
      <c r="E11" s="10"/>
      <c r="F11" s="20"/>
      <c r="G11" s="37"/>
      <c r="H11" s="10"/>
      <c r="I11" s="10"/>
      <c r="J11" s="36"/>
      <c r="K11" s="26"/>
      <c r="L11" s="10"/>
      <c r="M11" s="10"/>
      <c r="N11" s="10"/>
    </row>
    <row r="12" spans="1:14" ht="15">
      <c r="A12" s="1208" t="s">
        <v>26</v>
      </c>
      <c r="B12" s="15">
        <v>10</v>
      </c>
      <c r="C12" s="15"/>
      <c r="D12" s="15"/>
      <c r="E12" s="15"/>
      <c r="F12" s="21"/>
      <c r="G12" s="38"/>
      <c r="H12" s="15"/>
      <c r="I12" s="15"/>
      <c r="J12" s="39"/>
      <c r="K12" s="27"/>
      <c r="L12" s="15"/>
      <c r="M12" s="15"/>
      <c r="N12" s="15"/>
    </row>
    <row r="13" spans="1:14" ht="15">
      <c r="A13" s="1208"/>
      <c r="B13" s="15">
        <v>11</v>
      </c>
      <c r="C13" s="15"/>
      <c r="D13" s="15"/>
      <c r="E13" s="15"/>
      <c r="F13" s="21"/>
      <c r="G13" s="38"/>
      <c r="H13" s="15"/>
      <c r="I13" s="15"/>
      <c r="J13" s="39"/>
      <c r="K13" s="27"/>
      <c r="L13" s="15"/>
      <c r="M13" s="15"/>
      <c r="N13" s="15"/>
    </row>
    <row r="14" spans="1:14" ht="15">
      <c r="A14" s="1208"/>
      <c r="B14" s="15">
        <v>12</v>
      </c>
      <c r="C14" s="15"/>
      <c r="D14" s="15"/>
      <c r="E14" s="15"/>
      <c r="F14" s="21"/>
      <c r="G14" s="38"/>
      <c r="H14" s="15"/>
      <c r="I14" s="15"/>
      <c r="J14" s="39"/>
      <c r="K14" s="27"/>
      <c r="L14" s="15"/>
      <c r="M14" s="15"/>
      <c r="N14" s="15"/>
    </row>
    <row r="15" spans="1:14" ht="15">
      <c r="A15" s="1208"/>
      <c r="B15" s="15">
        <v>13</v>
      </c>
      <c r="C15" s="15"/>
      <c r="D15" s="15"/>
      <c r="E15" s="15"/>
      <c r="F15" s="21"/>
      <c r="G15" s="38"/>
      <c r="H15" s="15"/>
      <c r="I15" s="15"/>
      <c r="J15" s="39"/>
      <c r="K15" s="27"/>
      <c r="L15" s="15"/>
      <c r="M15" s="15"/>
      <c r="N15" s="15"/>
    </row>
    <row r="16" spans="1:14" ht="15">
      <c r="A16" s="1208" t="s">
        <v>27</v>
      </c>
      <c r="B16" s="16">
        <v>14</v>
      </c>
      <c r="C16" s="16"/>
      <c r="D16" s="16"/>
      <c r="E16" s="16"/>
      <c r="F16" s="22"/>
      <c r="G16" s="40"/>
      <c r="H16" s="16"/>
      <c r="I16" s="16"/>
      <c r="J16" s="41"/>
      <c r="K16" s="28"/>
      <c r="L16" s="16"/>
      <c r="M16" s="16"/>
      <c r="N16" s="16"/>
    </row>
    <row r="17" spans="1:14" ht="15">
      <c r="A17" s="1208"/>
      <c r="B17" s="16">
        <v>15</v>
      </c>
      <c r="C17" s="16"/>
      <c r="D17" s="16"/>
      <c r="E17" s="16"/>
      <c r="F17" s="22"/>
      <c r="G17" s="40"/>
      <c r="H17" s="16"/>
      <c r="I17" s="16"/>
      <c r="J17" s="41"/>
      <c r="K17" s="28"/>
      <c r="L17" s="16"/>
      <c r="M17" s="16"/>
      <c r="N17" s="16"/>
    </row>
    <row r="18" spans="1:14" ht="15">
      <c r="A18" s="1208"/>
      <c r="B18" s="16">
        <v>16</v>
      </c>
      <c r="C18" s="16"/>
      <c r="D18" s="16"/>
      <c r="E18" s="16"/>
      <c r="F18" s="22"/>
      <c r="G18" s="40"/>
      <c r="H18" s="16"/>
      <c r="I18" s="16"/>
      <c r="J18" s="41"/>
      <c r="K18" s="28"/>
      <c r="L18" s="16"/>
      <c r="M18" s="16"/>
      <c r="N18" s="16"/>
    </row>
    <row r="19" spans="1:14" ht="15">
      <c r="A19" s="1208" t="s">
        <v>28</v>
      </c>
      <c r="B19" s="19">
        <v>17</v>
      </c>
      <c r="C19" s="19"/>
      <c r="D19" s="19"/>
      <c r="E19" s="19"/>
      <c r="F19" s="23"/>
      <c r="G19" s="42"/>
      <c r="H19" s="19"/>
      <c r="I19" s="19"/>
      <c r="J19" s="43"/>
      <c r="K19" s="29"/>
      <c r="L19" s="19"/>
      <c r="M19" s="19"/>
      <c r="N19" s="19"/>
    </row>
    <row r="20" spans="1:14" ht="15">
      <c r="A20" s="1208"/>
      <c r="B20" s="19">
        <v>18</v>
      </c>
      <c r="C20" s="19"/>
      <c r="D20" s="19"/>
      <c r="E20" s="19"/>
      <c r="F20" s="23"/>
      <c r="G20" s="42"/>
      <c r="H20" s="19"/>
      <c r="I20" s="19"/>
      <c r="J20" s="43"/>
      <c r="K20" s="29"/>
      <c r="L20" s="19"/>
      <c r="M20" s="19"/>
      <c r="N20" s="19"/>
    </row>
    <row r="21" spans="1:14" ht="15">
      <c r="A21" s="1208"/>
      <c r="B21" s="19">
        <v>19</v>
      </c>
      <c r="C21" s="19"/>
      <c r="D21" s="19"/>
      <c r="E21" s="19"/>
      <c r="F21" s="23"/>
      <c r="G21" s="42"/>
      <c r="H21" s="19"/>
      <c r="I21" s="19"/>
      <c r="J21" s="43"/>
      <c r="K21" s="29"/>
      <c r="L21" s="19"/>
      <c r="M21" s="19"/>
      <c r="N21" s="19"/>
    </row>
    <row r="22" spans="1:14" ht="15">
      <c r="A22" s="1208"/>
      <c r="B22" s="19">
        <v>20</v>
      </c>
      <c r="C22" s="19"/>
      <c r="D22" s="19"/>
      <c r="E22" s="19"/>
      <c r="F22" s="23"/>
      <c r="G22" s="42"/>
      <c r="H22" s="19"/>
      <c r="I22" s="19"/>
      <c r="J22" s="43"/>
      <c r="K22" s="29"/>
      <c r="L22" s="19"/>
      <c r="M22" s="19"/>
      <c r="N22" s="19"/>
    </row>
    <row r="23" spans="1:14" ht="15">
      <c r="A23" s="1208" t="s">
        <v>29</v>
      </c>
      <c r="B23" s="14">
        <v>21</v>
      </c>
      <c r="C23" s="14"/>
      <c r="D23" s="14"/>
      <c r="E23" s="14"/>
      <c r="F23" s="24"/>
      <c r="G23" s="44"/>
      <c r="H23" s="14"/>
      <c r="I23" s="14"/>
      <c r="J23" s="45"/>
      <c r="K23" s="30"/>
      <c r="L23" s="14"/>
      <c r="M23" s="14"/>
      <c r="N23" s="14"/>
    </row>
    <row r="24" spans="1:14" ht="15">
      <c r="A24" s="1208"/>
      <c r="B24" s="14">
        <v>22</v>
      </c>
      <c r="C24" s="14"/>
      <c r="D24" s="14"/>
      <c r="E24" s="14"/>
      <c r="F24" s="24"/>
      <c r="G24" s="44"/>
      <c r="H24" s="14"/>
      <c r="I24" s="14"/>
      <c r="J24" s="45"/>
      <c r="K24" s="30"/>
      <c r="L24" s="14"/>
      <c r="M24" s="14"/>
      <c r="N24" s="14"/>
    </row>
    <row r="25" spans="1:14" ht="15">
      <c r="A25" s="1208"/>
      <c r="B25" s="14">
        <v>23</v>
      </c>
      <c r="C25" s="14"/>
      <c r="D25" s="14"/>
      <c r="E25" s="14"/>
      <c r="F25" s="24"/>
      <c r="G25" s="44"/>
      <c r="H25" s="14"/>
      <c r="I25" s="14"/>
      <c r="J25" s="45"/>
      <c r="K25" s="30"/>
      <c r="L25" s="14"/>
      <c r="M25" s="14"/>
      <c r="N25" s="14"/>
    </row>
    <row r="26" spans="1:14" ht="15">
      <c r="A26" s="1208"/>
      <c r="B26" s="14">
        <v>24</v>
      </c>
      <c r="C26" s="14"/>
      <c r="D26" s="14"/>
      <c r="E26" s="14"/>
      <c r="F26" s="24"/>
      <c r="G26" s="44"/>
      <c r="H26" s="14"/>
      <c r="I26" s="14"/>
      <c r="J26" s="45"/>
      <c r="K26" s="30"/>
      <c r="L26" s="14"/>
      <c r="M26" s="14"/>
      <c r="N26" s="14"/>
    </row>
    <row r="27" spans="1:14" ht="15">
      <c r="A27" s="1208" t="s">
        <v>30</v>
      </c>
      <c r="B27" s="10">
        <v>25</v>
      </c>
      <c r="C27" s="10"/>
      <c r="D27" s="10"/>
      <c r="E27" s="10"/>
      <c r="F27" s="10"/>
      <c r="G27" s="10"/>
      <c r="H27" s="10"/>
      <c r="I27" s="10"/>
      <c r="J27" s="10"/>
      <c r="K27" s="10"/>
      <c r="L27" s="10"/>
      <c r="M27" s="10"/>
      <c r="N27" s="10"/>
    </row>
    <row r="28" spans="1:14" ht="15">
      <c r="A28" s="1208"/>
      <c r="B28" s="10">
        <v>26</v>
      </c>
      <c r="C28" s="10"/>
      <c r="D28" s="10"/>
      <c r="E28" s="10"/>
      <c r="F28" s="10"/>
      <c r="G28" s="10"/>
      <c r="H28" s="10"/>
      <c r="I28" s="10"/>
      <c r="J28" s="10"/>
      <c r="K28" s="10"/>
      <c r="L28" s="10"/>
      <c r="M28" s="10"/>
      <c r="N28" s="10"/>
    </row>
    <row r="29" spans="1:14" ht="15">
      <c r="A29" s="1208"/>
      <c r="B29" s="10">
        <v>27</v>
      </c>
      <c r="C29" s="10"/>
      <c r="D29" s="10"/>
      <c r="E29" s="10"/>
      <c r="F29" s="10"/>
      <c r="G29" s="10"/>
      <c r="H29" s="10"/>
      <c r="I29" s="10"/>
      <c r="J29" s="10"/>
      <c r="K29" s="10"/>
      <c r="L29" s="10"/>
      <c r="M29" s="10"/>
      <c r="N29" s="10"/>
    </row>
    <row r="30" spans="1:14" ht="15">
      <c r="A30" s="1208"/>
      <c r="B30" s="10">
        <v>28</v>
      </c>
      <c r="C30" s="10"/>
      <c r="D30" s="10"/>
      <c r="E30" s="10"/>
      <c r="F30" s="10"/>
      <c r="G30" s="10"/>
      <c r="H30" s="10"/>
      <c r="I30" s="10"/>
      <c r="J30" s="10"/>
      <c r="K30" s="10"/>
      <c r="L30" s="10"/>
      <c r="M30" s="10"/>
      <c r="N30" s="10"/>
    </row>
    <row r="31" spans="1:14" ht="15">
      <c r="A31" s="1208"/>
      <c r="B31" s="10">
        <v>29</v>
      </c>
      <c r="C31" s="10"/>
      <c r="D31" s="10"/>
      <c r="E31" s="10"/>
      <c r="F31" s="10"/>
      <c r="G31" s="10"/>
      <c r="H31" s="10"/>
      <c r="I31" s="10"/>
      <c r="J31" s="10"/>
      <c r="K31" s="10"/>
      <c r="L31" s="10"/>
      <c r="M31" s="10"/>
      <c r="N31" s="10"/>
    </row>
    <row r="32" spans="1:14" ht="15">
      <c r="A32" s="1208" t="s">
        <v>31</v>
      </c>
      <c r="B32" s="17">
        <v>30</v>
      </c>
      <c r="C32" s="17"/>
      <c r="D32" s="17"/>
      <c r="E32" s="17"/>
      <c r="F32" s="17"/>
      <c r="G32" s="17"/>
      <c r="H32" s="17"/>
      <c r="I32" s="17"/>
      <c r="J32" s="17"/>
      <c r="K32" s="17"/>
      <c r="L32" s="17"/>
      <c r="M32" s="17"/>
      <c r="N32" s="17"/>
    </row>
    <row r="33" spans="1:14" ht="15">
      <c r="A33" s="1208"/>
      <c r="B33" s="17">
        <v>31</v>
      </c>
      <c r="C33" s="17"/>
      <c r="D33" s="17"/>
      <c r="E33" s="17"/>
      <c r="F33" s="17"/>
      <c r="G33" s="17"/>
      <c r="H33" s="17"/>
      <c r="I33" s="17"/>
      <c r="J33" s="17"/>
      <c r="K33" s="17"/>
      <c r="L33" s="17"/>
      <c r="M33" s="17"/>
      <c r="N33" s="17"/>
    </row>
    <row r="34" spans="1:14" ht="15">
      <c r="A34" s="1208"/>
      <c r="B34" s="17">
        <v>32</v>
      </c>
      <c r="C34" s="17"/>
      <c r="D34" s="17"/>
      <c r="E34" s="17"/>
      <c r="F34" s="17"/>
      <c r="G34" s="17"/>
      <c r="H34" s="17"/>
      <c r="I34" s="17"/>
      <c r="J34" s="17"/>
      <c r="K34" s="17"/>
      <c r="L34" s="17"/>
      <c r="M34" s="17"/>
      <c r="N34" s="17"/>
    </row>
    <row r="35" spans="1:14" ht="15">
      <c r="A35" s="1208" t="s">
        <v>32</v>
      </c>
      <c r="B35" s="18">
        <v>33</v>
      </c>
      <c r="C35" s="15"/>
      <c r="D35" s="15"/>
      <c r="E35" s="15"/>
      <c r="F35" s="15"/>
      <c r="G35" s="15"/>
      <c r="H35" s="15"/>
      <c r="I35" s="15"/>
      <c r="J35" s="15"/>
      <c r="K35" s="15"/>
      <c r="L35" s="15"/>
      <c r="M35" s="15"/>
      <c r="N35" s="15"/>
    </row>
    <row r="36" spans="1:14" ht="15">
      <c r="A36" s="1208"/>
      <c r="B36" s="15">
        <v>34</v>
      </c>
      <c r="C36" s="15"/>
      <c r="D36" s="15"/>
      <c r="E36" s="15"/>
      <c r="F36" s="15"/>
      <c r="G36" s="15"/>
      <c r="H36" s="15"/>
      <c r="I36" s="15"/>
      <c r="J36" s="15"/>
      <c r="K36" s="15"/>
      <c r="L36" s="15"/>
      <c r="M36" s="15"/>
      <c r="N36" s="15"/>
    </row>
    <row r="37" spans="1:14" ht="15">
      <c r="A37" s="1208"/>
      <c r="B37" s="46">
        <v>35</v>
      </c>
      <c r="C37" s="15"/>
      <c r="D37" s="15"/>
      <c r="E37" s="15"/>
      <c r="F37" s="15"/>
      <c r="G37" s="15"/>
      <c r="H37" s="15"/>
      <c r="I37" s="15"/>
      <c r="J37" s="15"/>
      <c r="K37" s="15"/>
      <c r="L37" s="15"/>
      <c r="M37" s="15"/>
      <c r="N37" s="15"/>
    </row>
    <row r="38" spans="1:14" ht="15">
      <c r="A38" s="1208" t="s">
        <v>33</v>
      </c>
      <c r="B38" s="9">
        <v>36</v>
      </c>
      <c r="C38" s="9"/>
      <c r="D38" s="9"/>
      <c r="E38" s="9"/>
      <c r="F38" s="9"/>
      <c r="G38" s="9"/>
      <c r="H38" s="9"/>
      <c r="I38" s="9"/>
      <c r="J38" s="9"/>
      <c r="K38" s="9"/>
      <c r="L38" s="9"/>
      <c r="M38" s="9"/>
      <c r="N38" s="9"/>
    </row>
    <row r="39" spans="1:14" ht="15">
      <c r="A39" s="1208"/>
      <c r="B39" s="9">
        <v>37</v>
      </c>
      <c r="C39" s="9"/>
      <c r="D39" s="9"/>
      <c r="E39" s="9"/>
      <c r="F39" s="9"/>
      <c r="G39" s="9"/>
      <c r="H39" s="9"/>
      <c r="I39" s="9"/>
      <c r="J39" s="9"/>
      <c r="K39" s="9"/>
      <c r="L39" s="9"/>
      <c r="M39" s="9"/>
      <c r="N39" s="9"/>
    </row>
    <row r="40" spans="1:14" ht="15">
      <c r="A40" s="1208"/>
      <c r="B40" s="9">
        <v>38</v>
      </c>
      <c r="C40" s="9"/>
      <c r="D40" s="9"/>
      <c r="E40" s="9"/>
      <c r="F40" s="9"/>
      <c r="G40" s="9"/>
      <c r="H40" s="9"/>
      <c r="I40" s="9"/>
      <c r="J40" s="9"/>
      <c r="K40" s="9"/>
      <c r="L40" s="9"/>
      <c r="M40" s="9"/>
      <c r="N40" s="9"/>
    </row>
    <row r="41" spans="1:14" ht="15">
      <c r="A41" s="1214" t="s">
        <v>34</v>
      </c>
      <c r="B41" s="47">
        <v>39</v>
      </c>
      <c r="C41" s="48"/>
      <c r="D41" s="48"/>
      <c r="E41" s="48"/>
      <c r="F41" s="48"/>
      <c r="G41" s="48"/>
      <c r="H41" s="48"/>
      <c r="I41" s="48"/>
      <c r="J41" s="48"/>
      <c r="K41" s="48"/>
      <c r="L41" s="48"/>
      <c r="M41" s="48"/>
      <c r="N41" s="48"/>
    </row>
    <row r="42" spans="1:14" ht="15">
      <c r="A42" s="1214"/>
      <c r="B42" s="48">
        <v>40</v>
      </c>
      <c r="C42" s="48"/>
      <c r="D42" s="48"/>
      <c r="E42" s="48"/>
      <c r="F42" s="48"/>
      <c r="G42" s="48"/>
      <c r="H42" s="48"/>
      <c r="I42" s="48"/>
      <c r="J42" s="48"/>
      <c r="K42" s="48"/>
      <c r="L42" s="48"/>
      <c r="M42" s="48"/>
      <c r="N42" s="48"/>
    </row>
    <row r="43" spans="1:14" ht="15">
      <c r="A43" s="1214"/>
      <c r="B43" s="48">
        <v>41</v>
      </c>
      <c r="C43" s="48"/>
      <c r="D43" s="48"/>
      <c r="E43" s="48"/>
      <c r="F43" s="48"/>
      <c r="G43" s="48"/>
      <c r="H43" s="48"/>
      <c r="I43" s="48"/>
      <c r="J43" s="48"/>
      <c r="K43" s="48"/>
      <c r="L43" s="48"/>
      <c r="M43" s="48"/>
      <c r="N43" s="48"/>
    </row>
    <row r="44" spans="1:14" ht="15">
      <c r="A44" s="1214"/>
      <c r="B44" s="49">
        <v>42</v>
      </c>
      <c r="C44" s="48"/>
      <c r="D44" s="48"/>
      <c r="E44" s="48"/>
      <c r="F44" s="48"/>
      <c r="G44" s="48"/>
      <c r="H44" s="48"/>
      <c r="I44" s="48"/>
      <c r="J44" s="48"/>
      <c r="K44" s="48"/>
      <c r="L44" s="48"/>
      <c r="M44" s="48"/>
      <c r="N44" s="48"/>
    </row>
    <row r="45" spans="1:14" ht="15">
      <c r="A45" s="1215" t="s">
        <v>35</v>
      </c>
      <c r="B45" s="13">
        <v>43</v>
      </c>
      <c r="C45" s="13"/>
      <c r="D45" s="13"/>
      <c r="E45" s="13"/>
      <c r="F45" s="13"/>
      <c r="G45" s="13"/>
      <c r="H45" s="13"/>
      <c r="I45" s="13"/>
      <c r="J45" s="13"/>
      <c r="K45" s="13"/>
      <c r="L45" s="13"/>
      <c r="M45" s="13"/>
      <c r="N45" s="13"/>
    </row>
    <row r="46" spans="1:14" ht="15">
      <c r="A46" s="1215"/>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802" t="s">
        <v>16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751" t="s">
        <v>423</v>
      </c>
      <c r="AY1" s="752"/>
    </row>
    <row r="2" spans="1:51" ht="15.75" customHeight="1">
      <c r="A2" s="811" t="s">
        <v>17</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2"/>
      <c r="AV2" s="812"/>
      <c r="AW2" s="813"/>
      <c r="AX2" s="799" t="s">
        <v>418</v>
      </c>
      <c r="AY2" s="800"/>
    </row>
    <row r="3" spans="1:51" ht="15" customHeight="1">
      <c r="A3" s="814" t="s">
        <v>195</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6"/>
      <c r="AX3" s="799" t="s">
        <v>424</v>
      </c>
      <c r="AY3" s="800"/>
    </row>
    <row r="4" spans="1:51" ht="15.75" customHeight="1">
      <c r="A4" s="802"/>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4"/>
      <c r="AX4" s="801" t="s">
        <v>176</v>
      </c>
      <c r="AY4" s="801"/>
    </row>
    <row r="5" spans="1:51" ht="15" customHeight="1">
      <c r="A5" s="805" t="s">
        <v>174</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830" t="s">
        <v>69</v>
      </c>
      <c r="AI5" s="831"/>
      <c r="AJ5" s="831"/>
      <c r="AK5" s="831"/>
      <c r="AL5" s="831"/>
      <c r="AM5" s="831"/>
      <c r="AN5" s="831"/>
      <c r="AO5" s="831"/>
      <c r="AP5" s="831"/>
      <c r="AQ5" s="831"/>
      <c r="AR5" s="831"/>
      <c r="AS5" s="831"/>
      <c r="AT5" s="831"/>
      <c r="AU5" s="832"/>
      <c r="AV5" s="820" t="s">
        <v>409</v>
      </c>
      <c r="AW5" s="820" t="s">
        <v>410</v>
      </c>
      <c r="AX5" s="820" t="s">
        <v>298</v>
      </c>
      <c r="AY5" s="820" t="s">
        <v>299</v>
      </c>
    </row>
    <row r="6" spans="1:51" ht="15" customHeight="1">
      <c r="A6" s="839" t="s">
        <v>71</v>
      </c>
      <c r="B6" s="839"/>
      <c r="C6" s="839"/>
      <c r="D6" s="840" t="s">
        <v>74</v>
      </c>
      <c r="E6" s="840"/>
      <c r="F6" s="830" t="s">
        <v>67</v>
      </c>
      <c r="G6" s="832"/>
      <c r="H6" s="829" t="s">
        <v>70</v>
      </c>
      <c r="I6" s="829"/>
      <c r="J6" s="128"/>
      <c r="K6" s="830"/>
      <c r="L6" s="831"/>
      <c r="M6" s="831"/>
      <c r="N6" s="831"/>
      <c r="O6" s="831"/>
      <c r="P6" s="831"/>
      <c r="Q6" s="831"/>
      <c r="R6" s="831"/>
      <c r="S6" s="831"/>
      <c r="T6" s="831"/>
      <c r="U6" s="831"/>
      <c r="V6" s="114"/>
      <c r="W6" s="114"/>
      <c r="X6" s="114"/>
      <c r="Y6" s="114"/>
      <c r="Z6" s="114"/>
      <c r="AA6" s="114"/>
      <c r="AB6" s="114"/>
      <c r="AC6" s="114"/>
      <c r="AD6" s="114"/>
      <c r="AE6" s="114"/>
      <c r="AF6" s="114"/>
      <c r="AG6" s="115"/>
      <c r="AH6" s="833"/>
      <c r="AI6" s="834"/>
      <c r="AJ6" s="834"/>
      <c r="AK6" s="834"/>
      <c r="AL6" s="834"/>
      <c r="AM6" s="834"/>
      <c r="AN6" s="834"/>
      <c r="AO6" s="834"/>
      <c r="AP6" s="834"/>
      <c r="AQ6" s="834"/>
      <c r="AR6" s="834"/>
      <c r="AS6" s="834"/>
      <c r="AT6" s="834"/>
      <c r="AU6" s="835"/>
      <c r="AV6" s="828"/>
      <c r="AW6" s="828"/>
      <c r="AX6" s="828"/>
      <c r="AY6" s="828"/>
    </row>
    <row r="7" spans="1:51" ht="15" customHeight="1">
      <c r="A7" s="839"/>
      <c r="B7" s="839"/>
      <c r="C7" s="839"/>
      <c r="D7" s="840"/>
      <c r="E7" s="840"/>
      <c r="F7" s="833"/>
      <c r="G7" s="835"/>
      <c r="H7" s="829" t="s">
        <v>68</v>
      </c>
      <c r="I7" s="829"/>
      <c r="J7" s="128"/>
      <c r="K7" s="833"/>
      <c r="L7" s="834"/>
      <c r="M7" s="834"/>
      <c r="N7" s="834"/>
      <c r="O7" s="834"/>
      <c r="P7" s="834"/>
      <c r="Q7" s="834"/>
      <c r="R7" s="834"/>
      <c r="S7" s="834"/>
      <c r="T7" s="834"/>
      <c r="U7" s="834"/>
      <c r="V7" s="116"/>
      <c r="W7" s="116"/>
      <c r="X7" s="116"/>
      <c r="Y7" s="116"/>
      <c r="Z7" s="116"/>
      <c r="AA7" s="116"/>
      <c r="AB7" s="116"/>
      <c r="AC7" s="116"/>
      <c r="AD7" s="116"/>
      <c r="AE7" s="116"/>
      <c r="AF7" s="116"/>
      <c r="AG7" s="117"/>
      <c r="AH7" s="833"/>
      <c r="AI7" s="834"/>
      <c r="AJ7" s="834"/>
      <c r="AK7" s="834"/>
      <c r="AL7" s="834"/>
      <c r="AM7" s="834"/>
      <c r="AN7" s="834"/>
      <c r="AO7" s="834"/>
      <c r="AP7" s="834"/>
      <c r="AQ7" s="834"/>
      <c r="AR7" s="834"/>
      <c r="AS7" s="834"/>
      <c r="AT7" s="834"/>
      <c r="AU7" s="835"/>
      <c r="AV7" s="828"/>
      <c r="AW7" s="828"/>
      <c r="AX7" s="828"/>
      <c r="AY7" s="828"/>
    </row>
    <row r="8" spans="1:51" ht="15" customHeight="1">
      <c r="A8" s="839"/>
      <c r="B8" s="839"/>
      <c r="C8" s="839"/>
      <c r="D8" s="840"/>
      <c r="E8" s="840"/>
      <c r="F8" s="836"/>
      <c r="G8" s="838"/>
      <c r="H8" s="829" t="s">
        <v>69</v>
      </c>
      <c r="I8" s="829"/>
      <c r="J8" s="128"/>
      <c r="K8" s="836"/>
      <c r="L8" s="837"/>
      <c r="M8" s="837"/>
      <c r="N8" s="837"/>
      <c r="O8" s="837"/>
      <c r="P8" s="837"/>
      <c r="Q8" s="837"/>
      <c r="R8" s="837"/>
      <c r="S8" s="837"/>
      <c r="T8" s="837"/>
      <c r="U8" s="837"/>
      <c r="V8" s="118"/>
      <c r="W8" s="118"/>
      <c r="X8" s="118"/>
      <c r="Y8" s="118"/>
      <c r="Z8" s="118"/>
      <c r="AA8" s="118"/>
      <c r="AB8" s="118"/>
      <c r="AC8" s="118"/>
      <c r="AD8" s="118"/>
      <c r="AE8" s="118"/>
      <c r="AF8" s="118"/>
      <c r="AG8" s="119"/>
      <c r="AH8" s="833"/>
      <c r="AI8" s="834"/>
      <c r="AJ8" s="834"/>
      <c r="AK8" s="834"/>
      <c r="AL8" s="834"/>
      <c r="AM8" s="834"/>
      <c r="AN8" s="834"/>
      <c r="AO8" s="834"/>
      <c r="AP8" s="834"/>
      <c r="AQ8" s="834"/>
      <c r="AR8" s="834"/>
      <c r="AS8" s="834"/>
      <c r="AT8" s="834"/>
      <c r="AU8" s="835"/>
      <c r="AV8" s="828"/>
      <c r="AW8" s="828"/>
      <c r="AX8" s="828"/>
      <c r="AY8" s="828"/>
    </row>
    <row r="9" spans="1:51" ht="15" customHeight="1">
      <c r="A9" s="808" t="s">
        <v>399</v>
      </c>
      <c r="B9" s="809"/>
      <c r="C9" s="810"/>
      <c r="D9" s="844"/>
      <c r="E9" s="845"/>
      <c r="F9" s="845"/>
      <c r="G9" s="845"/>
      <c r="H9" s="845"/>
      <c r="I9" s="845"/>
      <c r="J9" s="845"/>
      <c r="K9" s="846"/>
      <c r="L9" s="846"/>
      <c r="M9" s="846"/>
      <c r="N9" s="846"/>
      <c r="O9" s="846"/>
      <c r="P9" s="846"/>
      <c r="Q9" s="846"/>
      <c r="R9" s="846"/>
      <c r="S9" s="846"/>
      <c r="T9" s="846"/>
      <c r="U9" s="846"/>
      <c r="V9" s="846"/>
      <c r="W9" s="846"/>
      <c r="X9" s="846"/>
      <c r="Y9" s="846"/>
      <c r="Z9" s="846"/>
      <c r="AA9" s="846"/>
      <c r="AB9" s="846"/>
      <c r="AC9" s="846"/>
      <c r="AD9" s="846"/>
      <c r="AE9" s="846"/>
      <c r="AF9" s="846"/>
      <c r="AG9" s="847"/>
      <c r="AH9" s="833"/>
      <c r="AI9" s="834"/>
      <c r="AJ9" s="834"/>
      <c r="AK9" s="834"/>
      <c r="AL9" s="834"/>
      <c r="AM9" s="834"/>
      <c r="AN9" s="834"/>
      <c r="AO9" s="834"/>
      <c r="AP9" s="834"/>
      <c r="AQ9" s="834"/>
      <c r="AR9" s="834"/>
      <c r="AS9" s="834"/>
      <c r="AT9" s="834"/>
      <c r="AU9" s="835"/>
      <c r="AV9" s="828"/>
      <c r="AW9" s="828"/>
      <c r="AX9" s="828"/>
      <c r="AY9" s="828"/>
    </row>
    <row r="10" spans="1:51" ht="15" customHeight="1">
      <c r="A10" s="841" t="s">
        <v>287</v>
      </c>
      <c r="B10" s="842"/>
      <c r="C10" s="843"/>
      <c r="D10" s="848"/>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36"/>
      <c r="AI10" s="837"/>
      <c r="AJ10" s="837"/>
      <c r="AK10" s="837"/>
      <c r="AL10" s="837"/>
      <c r="AM10" s="837"/>
      <c r="AN10" s="837"/>
      <c r="AO10" s="837"/>
      <c r="AP10" s="837"/>
      <c r="AQ10" s="837"/>
      <c r="AR10" s="837"/>
      <c r="AS10" s="837"/>
      <c r="AT10" s="837"/>
      <c r="AU10" s="838"/>
      <c r="AV10" s="828"/>
      <c r="AW10" s="828"/>
      <c r="AX10" s="828"/>
      <c r="AY10" s="828"/>
    </row>
    <row r="11" spans="1:51" ht="39.75" customHeight="1">
      <c r="A11" s="817" t="s">
        <v>168</v>
      </c>
      <c r="B11" s="822"/>
      <c r="C11" s="822"/>
      <c r="D11" s="822"/>
      <c r="E11" s="822"/>
      <c r="F11" s="818"/>
      <c r="G11" s="817" t="s">
        <v>278</v>
      </c>
      <c r="H11" s="818"/>
      <c r="I11" s="820" t="s">
        <v>179</v>
      </c>
      <c r="J11" s="820" t="s">
        <v>279</v>
      </c>
      <c r="K11" s="820" t="s">
        <v>323</v>
      </c>
      <c r="L11" s="820" t="s">
        <v>363</v>
      </c>
      <c r="M11" s="820" t="s">
        <v>167</v>
      </c>
      <c r="N11" s="820" t="s">
        <v>182</v>
      </c>
      <c r="O11" s="817" t="s">
        <v>284</v>
      </c>
      <c r="P11" s="822"/>
      <c r="Q11" s="822"/>
      <c r="R11" s="822"/>
      <c r="S11" s="818"/>
      <c r="T11" s="820" t="s">
        <v>173</v>
      </c>
      <c r="U11" s="820" t="s">
        <v>285</v>
      </c>
      <c r="V11" s="805" t="s">
        <v>370</v>
      </c>
      <c r="W11" s="806"/>
      <c r="X11" s="806"/>
      <c r="Y11" s="806"/>
      <c r="Z11" s="806"/>
      <c r="AA11" s="806"/>
      <c r="AB11" s="806"/>
      <c r="AC11" s="806"/>
      <c r="AD11" s="806"/>
      <c r="AE11" s="806"/>
      <c r="AF11" s="806"/>
      <c r="AG11" s="807"/>
      <c r="AH11" s="805" t="s">
        <v>87</v>
      </c>
      <c r="AI11" s="806"/>
      <c r="AJ11" s="806"/>
      <c r="AK11" s="806"/>
      <c r="AL11" s="806"/>
      <c r="AM11" s="806"/>
      <c r="AN11" s="806"/>
      <c r="AO11" s="806"/>
      <c r="AP11" s="806"/>
      <c r="AQ11" s="806"/>
      <c r="AR11" s="806"/>
      <c r="AS11" s="807"/>
      <c r="AT11" s="817" t="s">
        <v>8</v>
      </c>
      <c r="AU11" s="818"/>
      <c r="AV11" s="828"/>
      <c r="AW11" s="828"/>
      <c r="AX11" s="828"/>
      <c r="AY11" s="828"/>
    </row>
    <row r="12" spans="1:51" ht="42.75">
      <c r="A12" s="120" t="s">
        <v>169</v>
      </c>
      <c r="B12" s="120" t="s">
        <v>170</v>
      </c>
      <c r="C12" s="120" t="s">
        <v>171</v>
      </c>
      <c r="D12" s="120" t="s">
        <v>178</v>
      </c>
      <c r="E12" s="120" t="s">
        <v>185</v>
      </c>
      <c r="F12" s="120" t="s">
        <v>186</v>
      </c>
      <c r="G12" s="120" t="s">
        <v>277</v>
      </c>
      <c r="H12" s="120" t="s">
        <v>184</v>
      </c>
      <c r="I12" s="821"/>
      <c r="J12" s="821"/>
      <c r="K12" s="821"/>
      <c r="L12" s="821"/>
      <c r="M12" s="821"/>
      <c r="N12" s="821"/>
      <c r="O12" s="120">
        <v>2020</v>
      </c>
      <c r="P12" s="120">
        <v>2021</v>
      </c>
      <c r="Q12" s="120">
        <v>2022</v>
      </c>
      <c r="R12" s="120">
        <v>2023</v>
      </c>
      <c r="S12" s="120">
        <v>2024</v>
      </c>
      <c r="T12" s="821"/>
      <c r="U12" s="821"/>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821"/>
      <c r="AW12" s="821"/>
      <c r="AX12" s="821"/>
      <c r="AY12" s="821"/>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825" t="s">
        <v>294</v>
      </c>
      <c r="B28" s="826"/>
      <c r="C28" s="826"/>
      <c r="D28" s="826"/>
      <c r="E28" s="826"/>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6"/>
      <c r="AY28" s="827"/>
    </row>
    <row r="29" spans="1:51" ht="15">
      <c r="A29" s="823" t="s">
        <v>64</v>
      </c>
      <c r="B29" s="823"/>
      <c r="C29" s="823"/>
      <c r="D29" s="819" t="s">
        <v>66</v>
      </c>
      <c r="E29" s="819"/>
      <c r="F29" s="819"/>
      <c r="G29" s="819"/>
      <c r="H29" s="819"/>
      <c r="I29" s="819"/>
      <c r="J29" s="824" t="s">
        <v>300</v>
      </c>
      <c r="K29" s="824"/>
      <c r="L29" s="824"/>
      <c r="M29" s="824"/>
      <c r="N29" s="824"/>
      <c r="O29" s="824"/>
      <c r="P29" s="819" t="s">
        <v>66</v>
      </c>
      <c r="Q29" s="819"/>
      <c r="R29" s="819"/>
      <c r="S29" s="819"/>
      <c r="T29" s="819"/>
      <c r="U29" s="819"/>
      <c r="V29" s="819" t="s">
        <v>66</v>
      </c>
      <c r="W29" s="819"/>
      <c r="X29" s="819"/>
      <c r="Y29" s="819"/>
      <c r="Z29" s="819"/>
      <c r="AA29" s="819"/>
      <c r="AB29" s="819"/>
      <c r="AC29" s="819"/>
      <c r="AD29" s="819" t="s">
        <v>66</v>
      </c>
      <c r="AE29" s="819"/>
      <c r="AF29" s="819"/>
      <c r="AG29" s="819"/>
      <c r="AH29" s="819"/>
      <c r="AI29" s="819"/>
      <c r="AJ29" s="819"/>
      <c r="AK29" s="819"/>
      <c r="AL29" s="819"/>
      <c r="AM29" s="819"/>
      <c r="AN29" s="819"/>
      <c r="AO29" s="819"/>
      <c r="AP29" s="824" t="s">
        <v>318</v>
      </c>
      <c r="AQ29" s="824"/>
      <c r="AR29" s="824"/>
      <c r="AS29" s="824"/>
      <c r="AT29" s="819" t="s">
        <v>13</v>
      </c>
      <c r="AU29" s="819"/>
      <c r="AV29" s="819"/>
      <c r="AW29" s="819"/>
      <c r="AX29" s="819"/>
      <c r="AY29" s="819"/>
    </row>
    <row r="30" spans="1:51" ht="15">
      <c r="A30" s="823"/>
      <c r="B30" s="823"/>
      <c r="C30" s="823"/>
      <c r="D30" s="819" t="s">
        <v>65</v>
      </c>
      <c r="E30" s="819"/>
      <c r="F30" s="819"/>
      <c r="G30" s="819"/>
      <c r="H30" s="819"/>
      <c r="I30" s="819"/>
      <c r="J30" s="824"/>
      <c r="K30" s="824"/>
      <c r="L30" s="824"/>
      <c r="M30" s="824"/>
      <c r="N30" s="824"/>
      <c r="O30" s="824"/>
      <c r="P30" s="819" t="s">
        <v>65</v>
      </c>
      <c r="Q30" s="819"/>
      <c r="R30" s="819"/>
      <c r="S30" s="819"/>
      <c r="T30" s="819"/>
      <c r="U30" s="819"/>
      <c r="V30" s="819" t="s">
        <v>65</v>
      </c>
      <c r="W30" s="819"/>
      <c r="X30" s="819"/>
      <c r="Y30" s="819"/>
      <c r="Z30" s="819"/>
      <c r="AA30" s="819"/>
      <c r="AB30" s="819"/>
      <c r="AC30" s="819"/>
      <c r="AD30" s="819" t="s">
        <v>65</v>
      </c>
      <c r="AE30" s="819"/>
      <c r="AF30" s="819"/>
      <c r="AG30" s="819"/>
      <c r="AH30" s="819"/>
      <c r="AI30" s="819"/>
      <c r="AJ30" s="819"/>
      <c r="AK30" s="819"/>
      <c r="AL30" s="819"/>
      <c r="AM30" s="819"/>
      <c r="AN30" s="819"/>
      <c r="AO30" s="819"/>
      <c r="AP30" s="824"/>
      <c r="AQ30" s="824"/>
      <c r="AR30" s="824"/>
      <c r="AS30" s="824"/>
      <c r="AT30" s="819" t="s">
        <v>65</v>
      </c>
      <c r="AU30" s="819"/>
      <c r="AV30" s="819"/>
      <c r="AW30" s="819"/>
      <c r="AX30" s="819"/>
      <c r="AY30" s="819"/>
    </row>
    <row r="31" spans="1:51" ht="15.75" customHeight="1">
      <c r="A31" s="823"/>
      <c r="B31" s="823"/>
      <c r="C31" s="823"/>
      <c r="D31" s="819" t="s">
        <v>297</v>
      </c>
      <c r="E31" s="819"/>
      <c r="F31" s="819"/>
      <c r="G31" s="819"/>
      <c r="H31" s="819"/>
      <c r="I31" s="819"/>
      <c r="J31" s="824"/>
      <c r="K31" s="824"/>
      <c r="L31" s="824"/>
      <c r="M31" s="824"/>
      <c r="N31" s="824"/>
      <c r="O31" s="824"/>
      <c r="P31" s="819" t="s">
        <v>297</v>
      </c>
      <c r="Q31" s="819"/>
      <c r="R31" s="819"/>
      <c r="S31" s="819"/>
      <c r="T31" s="819"/>
      <c r="U31" s="819"/>
      <c r="V31" s="819" t="s">
        <v>297</v>
      </c>
      <c r="W31" s="819"/>
      <c r="X31" s="819"/>
      <c r="Y31" s="819"/>
      <c r="Z31" s="819"/>
      <c r="AA31" s="819"/>
      <c r="AB31" s="819"/>
      <c r="AC31" s="819"/>
      <c r="AD31" s="819" t="s">
        <v>297</v>
      </c>
      <c r="AE31" s="819"/>
      <c r="AF31" s="819"/>
      <c r="AG31" s="819"/>
      <c r="AH31" s="819"/>
      <c r="AI31" s="819"/>
      <c r="AJ31" s="819"/>
      <c r="AK31" s="819"/>
      <c r="AL31" s="819"/>
      <c r="AM31" s="819"/>
      <c r="AN31" s="819"/>
      <c r="AO31" s="819"/>
      <c r="AP31" s="824"/>
      <c r="AQ31" s="824"/>
      <c r="AR31" s="824"/>
      <c r="AS31" s="824"/>
      <c r="AT31" s="819" t="s">
        <v>75</v>
      </c>
      <c r="AU31" s="819"/>
      <c r="AV31" s="819"/>
      <c r="AW31" s="819"/>
      <c r="AX31" s="819"/>
      <c r="AY31" s="819"/>
    </row>
  </sheetData>
  <sheetProtection/>
  <mergeCells count="57">
    <mergeCell ref="AV5:AV12"/>
    <mergeCell ref="A5:AG5"/>
    <mergeCell ref="A6:C8"/>
    <mergeCell ref="D6:E8"/>
    <mergeCell ref="F6:G8"/>
    <mergeCell ref="H6:I6"/>
    <mergeCell ref="A10:C10"/>
    <mergeCell ref="D9:AG9"/>
    <mergeCell ref="D10:AG10"/>
    <mergeCell ref="L11:L12"/>
    <mergeCell ref="AP29:AS31"/>
    <mergeCell ref="AX5:AX12"/>
    <mergeCell ref="AY5:AY12"/>
    <mergeCell ref="H7:I7"/>
    <mergeCell ref="H8:I8"/>
    <mergeCell ref="V30:AC30"/>
    <mergeCell ref="V31:AC31"/>
    <mergeCell ref="AW5:AW12"/>
    <mergeCell ref="AH5:AU10"/>
    <mergeCell ref="K6:U8"/>
    <mergeCell ref="A29:C31"/>
    <mergeCell ref="J29:O31"/>
    <mergeCell ref="P30:U30"/>
    <mergeCell ref="P31:U31"/>
    <mergeCell ref="V29:AC29"/>
    <mergeCell ref="A28:AY28"/>
    <mergeCell ref="AT30:AY30"/>
    <mergeCell ref="AT29:AY29"/>
    <mergeCell ref="AT31:AY31"/>
    <mergeCell ref="D29:I29"/>
    <mergeCell ref="U11:U12"/>
    <mergeCell ref="O11:S11"/>
    <mergeCell ref="T11:T12"/>
    <mergeCell ref="N11:N12"/>
    <mergeCell ref="A11:F11"/>
    <mergeCell ref="G11:H11"/>
    <mergeCell ref="M11:M12"/>
    <mergeCell ref="D30:I30"/>
    <mergeCell ref="D31:I31"/>
    <mergeCell ref="AD29:AO29"/>
    <mergeCell ref="AD30:AO30"/>
    <mergeCell ref="AD31:AO31"/>
    <mergeCell ref="AH11:AS11"/>
    <mergeCell ref="P29:U29"/>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852" t="s">
        <v>16</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852"/>
      <c r="BB1" s="852"/>
      <c r="BC1" s="852"/>
      <c r="BD1" s="852"/>
      <c r="BE1" s="852"/>
      <c r="BF1" s="852"/>
      <c r="BG1" s="852"/>
      <c r="BH1" s="852"/>
      <c r="BI1" s="853" t="s">
        <v>18</v>
      </c>
      <c r="BJ1" s="853"/>
      <c r="BK1" s="853"/>
    </row>
    <row r="2" spans="1:63" ht="15.75" customHeight="1">
      <c r="A2" s="852" t="s">
        <v>17</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4" t="s">
        <v>418</v>
      </c>
      <c r="BJ2" s="854"/>
      <c r="BK2" s="854"/>
    </row>
    <row r="3" spans="1:63" ht="25.5" customHeight="1">
      <c r="A3" s="852" t="s">
        <v>187</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852"/>
      <c r="BG3" s="852"/>
      <c r="BH3" s="852"/>
      <c r="BI3" s="854" t="s">
        <v>424</v>
      </c>
      <c r="BJ3" s="854"/>
      <c r="BK3" s="854"/>
    </row>
    <row r="4" spans="1:63" ht="15.75" customHeight="1">
      <c r="A4" s="852" t="s">
        <v>172</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852"/>
      <c r="BB4" s="852"/>
      <c r="BC4" s="852"/>
      <c r="BD4" s="852"/>
      <c r="BE4" s="852"/>
      <c r="BF4" s="852"/>
      <c r="BG4" s="852"/>
      <c r="BH4" s="852"/>
      <c r="BI4" s="849" t="s">
        <v>183</v>
      </c>
      <c r="BJ4" s="850"/>
      <c r="BK4" s="851"/>
    </row>
    <row r="5" spans="1:63" ht="25.5" customHeight="1">
      <c r="A5" s="855" t="s">
        <v>319</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G5" s="855" t="s">
        <v>320</v>
      </c>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6"/>
      <c r="BJ5" s="856"/>
      <c r="BK5" s="856"/>
    </row>
    <row r="6" spans="1:63" ht="31.5" customHeight="1">
      <c r="A6" s="169" t="s">
        <v>290</v>
      </c>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c r="BA6" s="861"/>
      <c r="BB6" s="861"/>
      <c r="BC6" s="861"/>
      <c r="BD6" s="861"/>
      <c r="BE6" s="861"/>
      <c r="BF6" s="861"/>
      <c r="BG6" s="861"/>
      <c r="BH6" s="861"/>
      <c r="BI6" s="861"/>
      <c r="BJ6" s="861"/>
      <c r="BK6" s="861"/>
    </row>
    <row r="7" spans="1:63" ht="31.5" customHeight="1">
      <c r="A7" s="170" t="s">
        <v>177</v>
      </c>
      <c r="B7" s="859"/>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60"/>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857" t="s">
        <v>90</v>
      </c>
      <c r="B9" s="213" t="s">
        <v>39</v>
      </c>
      <c r="C9" s="213" t="s">
        <v>40</v>
      </c>
      <c r="D9" s="859" t="s">
        <v>41</v>
      </c>
      <c r="E9" s="860"/>
      <c r="F9" s="213" t="s">
        <v>42</v>
      </c>
      <c r="G9" s="213" t="s">
        <v>43</v>
      </c>
      <c r="H9" s="859" t="s">
        <v>44</v>
      </c>
      <c r="I9" s="860"/>
      <c r="J9" s="213" t="s">
        <v>45</v>
      </c>
      <c r="K9" s="213" t="s">
        <v>46</v>
      </c>
      <c r="L9" s="859" t="s">
        <v>47</v>
      </c>
      <c r="M9" s="860"/>
      <c r="N9" s="213" t="s">
        <v>48</v>
      </c>
      <c r="O9" s="213" t="s">
        <v>49</v>
      </c>
      <c r="P9" s="859" t="s">
        <v>50</v>
      </c>
      <c r="Q9" s="860"/>
      <c r="R9" s="859" t="s">
        <v>91</v>
      </c>
      <c r="S9" s="860"/>
      <c r="T9" s="859" t="s">
        <v>289</v>
      </c>
      <c r="U9" s="862"/>
      <c r="V9" s="862"/>
      <c r="W9" s="862"/>
      <c r="X9" s="862"/>
      <c r="Y9" s="860"/>
      <c r="Z9" s="859" t="s">
        <v>288</v>
      </c>
      <c r="AA9" s="862"/>
      <c r="AB9" s="862"/>
      <c r="AC9" s="862"/>
      <c r="AD9" s="862"/>
      <c r="AE9" s="860"/>
      <c r="AG9" s="857" t="s">
        <v>90</v>
      </c>
      <c r="AH9" s="213" t="s">
        <v>39</v>
      </c>
      <c r="AI9" s="213" t="s">
        <v>40</v>
      </c>
      <c r="AJ9" s="859" t="s">
        <v>41</v>
      </c>
      <c r="AK9" s="860"/>
      <c r="AL9" s="213" t="s">
        <v>42</v>
      </c>
      <c r="AM9" s="213" t="s">
        <v>43</v>
      </c>
      <c r="AN9" s="859" t="s">
        <v>44</v>
      </c>
      <c r="AO9" s="860"/>
      <c r="AP9" s="213" t="s">
        <v>45</v>
      </c>
      <c r="AQ9" s="213" t="s">
        <v>46</v>
      </c>
      <c r="AR9" s="859" t="s">
        <v>47</v>
      </c>
      <c r="AS9" s="860"/>
      <c r="AT9" s="213" t="s">
        <v>48</v>
      </c>
      <c r="AU9" s="213" t="s">
        <v>49</v>
      </c>
      <c r="AV9" s="859" t="s">
        <v>50</v>
      </c>
      <c r="AW9" s="860"/>
      <c r="AX9" s="859" t="s">
        <v>91</v>
      </c>
      <c r="AY9" s="860"/>
      <c r="AZ9" s="859" t="s">
        <v>289</v>
      </c>
      <c r="BA9" s="862"/>
      <c r="BB9" s="862"/>
      <c r="BC9" s="862"/>
      <c r="BD9" s="862"/>
      <c r="BE9" s="860"/>
      <c r="BF9" s="859" t="s">
        <v>288</v>
      </c>
      <c r="BG9" s="862"/>
      <c r="BH9" s="862"/>
      <c r="BI9" s="862"/>
      <c r="BJ9" s="862"/>
      <c r="BK9" s="860"/>
    </row>
    <row r="10" spans="1:63" ht="36" customHeight="1">
      <c r="A10" s="858"/>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858"/>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857" t="s">
        <v>90</v>
      </c>
      <c r="B35" s="213" t="s">
        <v>39</v>
      </c>
      <c r="C35" s="213" t="s">
        <v>40</v>
      </c>
      <c r="D35" s="859" t="s">
        <v>41</v>
      </c>
      <c r="E35" s="860"/>
      <c r="F35" s="213" t="s">
        <v>42</v>
      </c>
      <c r="G35" s="213" t="s">
        <v>43</v>
      </c>
      <c r="H35" s="859" t="s">
        <v>44</v>
      </c>
      <c r="I35" s="860"/>
      <c r="J35" s="213" t="s">
        <v>45</v>
      </c>
      <c r="K35" s="213" t="s">
        <v>46</v>
      </c>
      <c r="L35" s="859" t="s">
        <v>47</v>
      </c>
      <c r="M35" s="860"/>
      <c r="N35" s="213" t="s">
        <v>48</v>
      </c>
      <c r="O35" s="213" t="s">
        <v>49</v>
      </c>
      <c r="P35" s="859" t="s">
        <v>50</v>
      </c>
      <c r="Q35" s="860"/>
      <c r="R35" s="859" t="s">
        <v>91</v>
      </c>
      <c r="S35" s="860"/>
      <c r="T35" s="859" t="s">
        <v>289</v>
      </c>
      <c r="U35" s="862"/>
      <c r="V35" s="862"/>
      <c r="W35" s="862"/>
      <c r="X35" s="862"/>
      <c r="Y35" s="860"/>
      <c r="Z35" s="859" t="s">
        <v>288</v>
      </c>
      <c r="AA35" s="862"/>
      <c r="AB35" s="862"/>
      <c r="AC35" s="862"/>
      <c r="AD35" s="862"/>
      <c r="AE35" s="860"/>
      <c r="AG35" s="857" t="s">
        <v>90</v>
      </c>
      <c r="AH35" s="213" t="s">
        <v>39</v>
      </c>
      <c r="AI35" s="213" t="s">
        <v>40</v>
      </c>
      <c r="AJ35" s="859" t="s">
        <v>41</v>
      </c>
      <c r="AK35" s="860"/>
      <c r="AL35" s="213" t="s">
        <v>42</v>
      </c>
      <c r="AM35" s="213" t="s">
        <v>43</v>
      </c>
      <c r="AN35" s="859" t="s">
        <v>44</v>
      </c>
      <c r="AO35" s="860"/>
      <c r="AP35" s="213" t="s">
        <v>45</v>
      </c>
      <c r="AQ35" s="213" t="s">
        <v>46</v>
      </c>
      <c r="AR35" s="859" t="s">
        <v>47</v>
      </c>
      <c r="AS35" s="860"/>
      <c r="AT35" s="213" t="s">
        <v>48</v>
      </c>
      <c r="AU35" s="213" t="s">
        <v>49</v>
      </c>
      <c r="AV35" s="859" t="s">
        <v>50</v>
      </c>
      <c r="AW35" s="860"/>
      <c r="AX35" s="859" t="s">
        <v>91</v>
      </c>
      <c r="AY35" s="860"/>
      <c r="AZ35" s="859" t="s">
        <v>289</v>
      </c>
      <c r="BA35" s="862"/>
      <c r="BB35" s="862"/>
      <c r="BC35" s="862"/>
      <c r="BD35" s="862"/>
      <c r="BE35" s="860"/>
      <c r="BF35" s="859" t="s">
        <v>288</v>
      </c>
      <c r="BG35" s="862"/>
      <c r="BH35" s="862"/>
      <c r="BI35" s="862"/>
      <c r="BJ35" s="862"/>
      <c r="BK35" s="860"/>
    </row>
    <row r="36" spans="1:63" ht="36" customHeight="1">
      <c r="A36" s="858"/>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858"/>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865" t="s">
        <v>195</v>
      </c>
      <c r="B1" s="866"/>
    </row>
    <row r="2" spans="1:2" ht="25.5" customHeight="1">
      <c r="A2" s="867" t="s">
        <v>400</v>
      </c>
      <c r="B2" s="868"/>
    </row>
    <row r="3" spans="1:2" ht="15">
      <c r="A3" s="218" t="s">
        <v>324</v>
      </c>
      <c r="B3" s="147" t="s">
        <v>325</v>
      </c>
    </row>
    <row r="4" spans="1:2" ht="15">
      <c r="A4" s="219" t="s">
        <v>71</v>
      </c>
      <c r="B4" s="155" t="s">
        <v>357</v>
      </c>
    </row>
    <row r="5" spans="1:2" ht="105">
      <c r="A5" s="219" t="s">
        <v>67</v>
      </c>
      <c r="B5" s="223" t="s">
        <v>422</v>
      </c>
    </row>
    <row r="6" spans="1:2" s="146" customFormat="1" ht="15">
      <c r="A6" s="219" t="s">
        <v>0</v>
      </c>
      <c r="B6" s="869" t="s">
        <v>352</v>
      </c>
    </row>
    <row r="7" spans="1:2" s="146" customFormat="1" ht="15">
      <c r="A7" s="219" t="s">
        <v>77</v>
      </c>
      <c r="B7" s="870"/>
    </row>
    <row r="8" spans="1:2" s="146" customFormat="1" ht="15">
      <c r="A8" s="219" t="s">
        <v>73</v>
      </c>
      <c r="B8" s="870"/>
    </row>
    <row r="9" spans="1:2" s="146" customFormat="1" ht="15">
      <c r="A9" s="219" t="s">
        <v>333</v>
      </c>
      <c r="B9" s="871"/>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867" t="s">
        <v>401</v>
      </c>
      <c r="B17" s="868"/>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60">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867" t="s">
        <v>350</v>
      </c>
      <c r="B41" s="868"/>
    </row>
    <row r="42" spans="1:2" ht="15">
      <c r="A42" s="865" t="s">
        <v>351</v>
      </c>
      <c r="B42" s="866"/>
    </row>
    <row r="43" spans="1:2" ht="72" customHeight="1">
      <c r="A43" s="863" t="s">
        <v>397</v>
      </c>
      <c r="B43" s="864"/>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872" t="s">
        <v>222</v>
      </c>
      <c r="E27" s="134" t="s">
        <v>223</v>
      </c>
    </row>
    <row r="28" spans="4:5" ht="15">
      <c r="D28" s="873"/>
      <c r="E28" s="134" t="s">
        <v>224</v>
      </c>
    </row>
    <row r="29" spans="4:5" ht="15">
      <c r="D29" s="873"/>
      <c r="E29" s="134" t="s">
        <v>225</v>
      </c>
    </row>
    <row r="30" spans="4:5" ht="15">
      <c r="D30" s="874"/>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V2">
      <selection activeCell="X12" sqref="X12:Y12"/>
    </sheetView>
  </sheetViews>
  <sheetFormatPr defaultColWidth="11.421875" defaultRowHeight="15"/>
  <cols>
    <col min="2" max="2" width="25.28125" style="0" customWidth="1"/>
    <col min="3" max="3" width="29.28125" style="386" bestFit="1" customWidth="1"/>
    <col min="4" max="5" width="19.140625" style="0" customWidth="1"/>
    <col min="6" max="7" width="15.421875" style="0" customWidth="1"/>
    <col min="8" max="10" width="17.421875" style="0" customWidth="1"/>
    <col min="11" max="11" width="15.421875" style="0" customWidth="1"/>
    <col min="12" max="13" width="15.57421875" style="0" customWidth="1"/>
    <col min="14" max="14" width="15.28125" style="0" customWidth="1"/>
    <col min="15" max="15" width="13.00390625" style="0" customWidth="1"/>
    <col min="16" max="16" width="15.28125" style="0" customWidth="1"/>
    <col min="17" max="17" width="13.00390625" style="0" customWidth="1"/>
    <col min="18" max="18" width="15.8515625" style="0" customWidth="1"/>
    <col min="19" max="19" width="16.140625" style="0" customWidth="1"/>
    <col min="20" max="20" width="15.28125" style="0" bestFit="1" customWidth="1"/>
    <col min="21" max="21" width="13.00390625" style="0" bestFit="1" customWidth="1"/>
    <col min="22" max="22" width="15.28125" style="0" bestFit="1" customWidth="1"/>
    <col min="23" max="23" width="16.57421875" style="0" customWidth="1"/>
    <col min="24" max="25" width="14.7109375" style="0" customWidth="1"/>
    <col min="26" max="27" width="11.421875" style="0"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748</v>
      </c>
      <c r="C2" s="387">
        <v>44927</v>
      </c>
    </row>
    <row r="4" spans="2:3" ht="15">
      <c r="B4" t="s">
        <v>749</v>
      </c>
      <c r="C4" s="386" t="s">
        <v>750</v>
      </c>
    </row>
    <row r="5" spans="2:6" ht="15">
      <c r="B5" t="s">
        <v>751</v>
      </c>
      <c r="C5" s="386">
        <v>78887973</v>
      </c>
      <c r="D5" s="388">
        <f>+C5/$C$9</f>
        <v>0.2651661426887374</v>
      </c>
      <c r="F5" s="386">
        <v>78887973</v>
      </c>
    </row>
    <row r="6" spans="2:6" ht="15">
      <c r="B6" t="s">
        <v>752</v>
      </c>
      <c r="C6" s="386">
        <v>148248728</v>
      </c>
      <c r="D6" s="388">
        <f>+C6/$C$9</f>
        <v>0.49830844762954957</v>
      </c>
      <c r="F6" s="386">
        <v>135888728</v>
      </c>
    </row>
    <row r="7" spans="2:6" ht="15">
      <c r="B7" t="s">
        <v>753</v>
      </c>
      <c r="C7" s="386">
        <v>49583934</v>
      </c>
      <c r="D7" s="388">
        <f>+C7/$C$9</f>
        <v>0.16666647675321736</v>
      </c>
      <c r="F7" s="386">
        <v>11205600</v>
      </c>
    </row>
    <row r="8" spans="2:6" ht="15">
      <c r="B8" t="s">
        <v>754</v>
      </c>
      <c r="C8" s="386">
        <v>20783308</v>
      </c>
      <c r="D8" s="388">
        <f>+C8/$C$9</f>
        <v>0.06985893292849567</v>
      </c>
      <c r="F8" s="386">
        <v>20760985</v>
      </c>
    </row>
    <row r="9" spans="2:3" ht="15">
      <c r="B9" t="s">
        <v>755</v>
      </c>
      <c r="C9" s="386">
        <v>297503943</v>
      </c>
    </row>
    <row r="11" spans="4:30" s="386" customFormat="1" ht="15">
      <c r="D11" s="876" t="s">
        <v>816</v>
      </c>
      <c r="E11" s="876"/>
      <c r="F11" s="876" t="s">
        <v>817</v>
      </c>
      <c r="G11" s="876"/>
      <c r="H11" s="876" t="s">
        <v>818</v>
      </c>
      <c r="I11" s="876"/>
      <c r="J11" s="876" t="s">
        <v>819</v>
      </c>
      <c r="K11" s="876"/>
      <c r="L11" s="876" t="s">
        <v>820</v>
      </c>
      <c r="M11" s="876"/>
      <c r="N11" s="876" t="s">
        <v>821</v>
      </c>
      <c r="O11" s="876"/>
      <c r="P11" s="876" t="s">
        <v>822</v>
      </c>
      <c r="Q11" s="876"/>
      <c r="R11" s="876" t="s">
        <v>823</v>
      </c>
      <c r="S11" s="876"/>
      <c r="T11" s="876" t="s">
        <v>824</v>
      </c>
      <c r="U11" s="876"/>
      <c r="V11" s="876" t="s">
        <v>825</v>
      </c>
      <c r="W11" s="876"/>
      <c r="X11" s="876" t="s">
        <v>826</v>
      </c>
      <c r="Y11" s="876"/>
      <c r="Z11" s="876" t="s">
        <v>827</v>
      </c>
      <c r="AA11" s="876"/>
      <c r="AB11" s="877" t="s">
        <v>63</v>
      </c>
      <c r="AC11" s="878"/>
      <c r="AD11" s="879"/>
    </row>
    <row r="12" spans="2:30" s="386" customFormat="1" ht="15">
      <c r="B12" s="419"/>
      <c r="C12" s="420" t="s">
        <v>828</v>
      </c>
      <c r="D12" s="420" t="s">
        <v>829</v>
      </c>
      <c r="E12" s="421" t="s">
        <v>381</v>
      </c>
      <c r="F12" s="420" t="s">
        <v>829</v>
      </c>
      <c r="G12" s="421" t="s">
        <v>381</v>
      </c>
      <c r="H12" s="420" t="s">
        <v>829</v>
      </c>
      <c r="I12" s="421" t="s">
        <v>381</v>
      </c>
      <c r="J12" s="420" t="s">
        <v>829</v>
      </c>
      <c r="K12" s="421" t="s">
        <v>381</v>
      </c>
      <c r="L12" s="420" t="s">
        <v>829</v>
      </c>
      <c r="M12" s="421" t="s">
        <v>381</v>
      </c>
      <c r="N12" s="420" t="s">
        <v>829</v>
      </c>
      <c r="O12" s="421" t="s">
        <v>381</v>
      </c>
      <c r="P12" s="420" t="s">
        <v>829</v>
      </c>
      <c r="Q12" s="421" t="s">
        <v>381</v>
      </c>
      <c r="R12" s="420" t="s">
        <v>829</v>
      </c>
      <c r="S12" s="421" t="s">
        <v>381</v>
      </c>
      <c r="T12" s="420" t="s">
        <v>829</v>
      </c>
      <c r="U12" s="421" t="s">
        <v>381</v>
      </c>
      <c r="V12" s="420" t="s">
        <v>829</v>
      </c>
      <c r="W12" s="421" t="s">
        <v>381</v>
      </c>
      <c r="X12" s="421" t="s">
        <v>829</v>
      </c>
      <c r="Y12" s="421" t="s">
        <v>381</v>
      </c>
      <c r="Z12" s="420" t="s">
        <v>829</v>
      </c>
      <c r="AA12" s="421" t="s">
        <v>381</v>
      </c>
      <c r="AB12" s="421" t="s">
        <v>829</v>
      </c>
      <c r="AC12" s="420" t="s">
        <v>828</v>
      </c>
      <c r="AD12" s="421" t="s">
        <v>381</v>
      </c>
    </row>
    <row r="13" spans="1:31" s="386" customFormat="1" ht="15">
      <c r="A13" s="875" t="s">
        <v>830</v>
      </c>
      <c r="B13" s="419" t="s">
        <v>24</v>
      </c>
      <c r="C13" s="419">
        <f>+C5</f>
        <v>78887973</v>
      </c>
      <c r="D13" s="419">
        <v>0</v>
      </c>
      <c r="E13" s="419">
        <v>10197469</v>
      </c>
      <c r="F13" s="419">
        <v>0</v>
      </c>
      <c r="G13" s="419">
        <v>10197468</v>
      </c>
      <c r="H13" s="419">
        <f>0-D13-F13</f>
        <v>0</v>
      </c>
      <c r="I13" s="419">
        <f>30592405-E13-G13</f>
        <v>10197468</v>
      </c>
      <c r="J13" s="419">
        <f>0-D13-F13-H13</f>
        <v>0</v>
      </c>
      <c r="K13" s="419">
        <f>30592405-E13-G13-I13</f>
        <v>0</v>
      </c>
      <c r="L13" s="419">
        <f>9782202-D13-F13-H13-J13</f>
        <v>9782202</v>
      </c>
      <c r="M13" s="419">
        <f>36486058-E13-G13-I13-K13</f>
        <v>5893653</v>
      </c>
      <c r="N13" s="419">
        <f>9782202-D13-F13-H13-J13-L13</f>
        <v>0</v>
      </c>
      <c r="O13" s="419">
        <f>36486058-E13-G13-I13-K13-M13</f>
        <v>0</v>
      </c>
      <c r="P13" s="419">
        <f>9782202-D13-F13-H13-J13-L13-N13</f>
        <v>0</v>
      </c>
      <c r="Q13" s="419">
        <f>40674894-E13-G13-I13-K13-M13-O13</f>
        <v>4188836</v>
      </c>
      <c r="R13" s="419">
        <f>9782203-D13-F13-H13-J13-L13-N13-P13</f>
        <v>1</v>
      </c>
      <c r="S13" s="419">
        <f>40674894-E13-G13-I13-K13-M13-O13-Q13</f>
        <v>0</v>
      </c>
      <c r="T13" s="419">
        <f>9782203-D13-F13-H13-J13-L13-N13-P13-R13</f>
        <v>0</v>
      </c>
      <c r="U13" s="419">
        <f>40674894-E13-G13-I13-K13-M13-O13-Q13-S13</f>
        <v>0</v>
      </c>
      <c r="V13" s="419">
        <f>9782203-D13-F13-H13-J13-L13-N13-P13-R13-T13</f>
        <v>0</v>
      </c>
      <c r="W13" s="419">
        <f>40674894-E13-G13-I13-K13-M13-O13-Q13-S13-U13</f>
        <v>0</v>
      </c>
      <c r="X13" s="419">
        <f>9782203-D13-F13-H13-J13-L13-N13-P13-R13-T13-V13</f>
        <v>0</v>
      </c>
      <c r="Y13" s="419">
        <v>0</v>
      </c>
      <c r="Z13" s="419"/>
      <c r="AA13" s="419"/>
      <c r="AB13" s="419">
        <f>+D13+F13+H13+J13+L13+N13+P13+R13+T13+V13</f>
        <v>9782203</v>
      </c>
      <c r="AC13" s="419">
        <f>+C13-D13-F13-H13-J13-L13-N13-P13-R13-T13-V13</f>
        <v>69105770</v>
      </c>
      <c r="AD13" s="419">
        <f>+E13+G13+I13+K13+M13+O13+Q13+S13+U13+W13</f>
        <v>40674894</v>
      </c>
      <c r="AE13" s="386">
        <v>40674894</v>
      </c>
    </row>
    <row r="14" spans="1:31" s="386" customFormat="1" ht="15">
      <c r="A14" s="875"/>
      <c r="B14" s="419" t="s">
        <v>25</v>
      </c>
      <c r="C14" s="419">
        <f>+C6</f>
        <v>148248728</v>
      </c>
      <c r="D14" s="419">
        <v>12360000</v>
      </c>
      <c r="E14" s="419">
        <v>613145</v>
      </c>
      <c r="F14" s="419">
        <v>0</v>
      </c>
      <c r="G14" s="419">
        <v>450994</v>
      </c>
      <c r="H14" s="419">
        <f>12360000-D14-F14</f>
        <v>0</v>
      </c>
      <c r="I14" s="419">
        <f>1698219-E14-G14</f>
        <v>634080</v>
      </c>
      <c r="J14" s="419">
        <f>12360000-D14-F14-H14</f>
        <v>0</v>
      </c>
      <c r="K14" s="419">
        <f>2213447-E14-G14-I14</f>
        <v>515228</v>
      </c>
      <c r="L14" s="419">
        <f>13013334-D14-F14-H14-J14</f>
        <v>653334</v>
      </c>
      <c r="M14" s="419">
        <f>3831685-E14-G14-I14-K14</f>
        <v>1618238</v>
      </c>
      <c r="N14" s="419">
        <f>36413334-D14-F14-H14-J14-L14</f>
        <v>23400000</v>
      </c>
      <c r="O14" s="419">
        <f>6706689-E14-G14-I14-K14-M14</f>
        <v>2875004</v>
      </c>
      <c r="P14" s="419">
        <f>36449334-D14-F14-H14-J14-L14-N14</f>
        <v>36000</v>
      </c>
      <c r="Q14" s="419">
        <f>7512535-E14-G14-I14-K14-M14-O14</f>
        <v>805846</v>
      </c>
      <c r="R14" s="419">
        <f>36449334-D14-F14-H14-J14-L14-N14-P14</f>
        <v>0</v>
      </c>
      <c r="S14" s="419">
        <f>8144067-E14-G14-I14-K14-M14-O14-Q14</f>
        <v>631532</v>
      </c>
      <c r="T14" s="419">
        <f>37989334-D14-F14-H14-J14-L14-N14-P14-R14</f>
        <v>1540000</v>
      </c>
      <c r="U14" s="419">
        <f>12105977-E14-G14-I14-K14-M14-O14-Q14-S14</f>
        <v>3961910</v>
      </c>
      <c r="V14" s="419">
        <f>113049334-D14-F14-H14-J14-L14-N14-P14-R14-T14</f>
        <v>75060000</v>
      </c>
      <c r="W14" s="419">
        <f>12548394-E14-G14-I14-K14-M14-O14-Q14-S14-U14</f>
        <v>442417</v>
      </c>
      <c r="X14" s="419">
        <f>113049334-D14-F14-H14-J14-L14-N14-P14-R14-T14-V14</f>
        <v>0</v>
      </c>
      <c r="Y14" s="419">
        <v>0</v>
      </c>
      <c r="Z14" s="419"/>
      <c r="AA14" s="419"/>
      <c r="AB14" s="419">
        <f>+D14+F14+H14+J14+L14+N14+P14+R14+T14+V14</f>
        <v>113049334</v>
      </c>
      <c r="AC14" s="419">
        <f>+C14-D14-F14-H14-J14-L14-N14-P14-R14-T14-V14</f>
        <v>35199394</v>
      </c>
      <c r="AD14" s="419">
        <f>+E14+G14+I14+K14+M14+O14+Q14+S14+U14+W14</f>
        <v>12548394</v>
      </c>
      <c r="AE14" s="386">
        <v>12105977</v>
      </c>
    </row>
    <row r="15" spans="1:31" s="386" customFormat="1" ht="15">
      <c r="A15" s="875"/>
      <c r="B15" s="419" t="s">
        <v>26</v>
      </c>
      <c r="C15" s="419">
        <f>+C7</f>
        <v>49583934</v>
      </c>
      <c r="D15" s="419">
        <v>25434667</v>
      </c>
      <c r="E15" s="419">
        <v>8240000</v>
      </c>
      <c r="F15" s="419">
        <v>12943667</v>
      </c>
      <c r="G15" s="419">
        <v>0</v>
      </c>
      <c r="H15" s="419">
        <f>38378334-D15-F15</f>
        <v>0</v>
      </c>
      <c r="I15" s="419">
        <f>8240000-E15-G15</f>
        <v>0</v>
      </c>
      <c r="J15" s="419">
        <f>38378334-D15-F15-H15</f>
        <v>0</v>
      </c>
      <c r="K15" s="419">
        <f>8240000-E15-G15-I15</f>
        <v>0</v>
      </c>
      <c r="L15" s="419">
        <f>38378334-D15-F15-H15-J15</f>
        <v>0</v>
      </c>
      <c r="M15" s="419">
        <f>8240000-E15-G15-I15-K15</f>
        <v>0</v>
      </c>
      <c r="N15" s="419">
        <f>38378334-D15-F15-H15-J15-L15</f>
        <v>0</v>
      </c>
      <c r="O15" s="419">
        <f>8240000-E15-G15-I15-K15-M15</f>
        <v>0</v>
      </c>
      <c r="P15" s="419">
        <f>38378334-D15-F15-H15-J15-L15-N15</f>
        <v>0</v>
      </c>
      <c r="Q15" s="419">
        <f>8240000-E15-G15-I15-K15-M15-O15</f>
        <v>0</v>
      </c>
      <c r="R15" s="419">
        <f>38378334-D15-F15-H15-J15-L15-N15-P15</f>
        <v>0</v>
      </c>
      <c r="S15" s="419">
        <f>8240000-E15-G15-I15-K15-M15-O15-Q15</f>
        <v>0</v>
      </c>
      <c r="T15" s="419">
        <f>41343934-D15-F15-H15-J15-L15-N15-P15-R15</f>
        <v>2965600</v>
      </c>
      <c r="U15" s="419">
        <f>8240000-E15-G15-I15-K15-M15-O15-Q15-S15</f>
        <v>0</v>
      </c>
      <c r="V15" s="419">
        <f>41343934-D15-F15-H15-J15-L15-N15-P15-R15-T15</f>
        <v>0</v>
      </c>
      <c r="W15" s="419">
        <f>8240000-E15-G15-I15-K15-M15-O15-Q15-S15-U15</f>
        <v>0</v>
      </c>
      <c r="X15" s="419">
        <f>41343934-D15-F15-H15-J15-L15-N15-P15-R15-T15-V15</f>
        <v>0</v>
      </c>
      <c r="Y15" s="419">
        <v>0</v>
      </c>
      <c r="Z15" s="419"/>
      <c r="AA15" s="419"/>
      <c r="AB15" s="419">
        <f>+D15+F15+H15+J15+L15+N15+P15+R15+T15+V15</f>
        <v>41343934</v>
      </c>
      <c r="AC15" s="419">
        <f>+C15-D15-F15-H15-J15-L15-N15-P15-R15-T15-V15</f>
        <v>8240000</v>
      </c>
      <c r="AD15" s="419">
        <f>+E15+G15+I15+K15+M15+O15+Q15+S15+U15+W15</f>
        <v>8240000</v>
      </c>
      <c r="AE15" s="386">
        <v>8240000</v>
      </c>
    </row>
    <row r="16" spans="1:31" s="386" customFormat="1" ht="15">
      <c r="A16" s="875"/>
      <c r="B16" s="419" t="s">
        <v>27</v>
      </c>
      <c r="C16" s="419">
        <f>+C8</f>
        <v>20783308</v>
      </c>
      <c r="D16" s="419">
        <v>0</v>
      </c>
      <c r="E16" s="419">
        <v>10423312</v>
      </c>
      <c r="F16" s="419">
        <v>22323</v>
      </c>
      <c r="G16" s="419">
        <v>0</v>
      </c>
      <c r="H16" s="419">
        <f>22323-D16-F16</f>
        <v>0</v>
      </c>
      <c r="I16" s="419">
        <f>10423312-E16-G16</f>
        <v>0</v>
      </c>
      <c r="J16" s="419">
        <f>22323-D16-F16-H16</f>
        <v>0</v>
      </c>
      <c r="K16" s="419">
        <f>10423312-E16-G16-I16</f>
        <v>0</v>
      </c>
      <c r="L16" s="419">
        <f>22323-D16-F16-H16-J16</f>
        <v>0</v>
      </c>
      <c r="M16" s="419">
        <f>16912312-E16-G16-I16-K16</f>
        <v>6489000</v>
      </c>
      <c r="N16" s="419">
        <f>1744323-D16-F16-H16-J16-L16</f>
        <v>1722000</v>
      </c>
      <c r="O16" s="419">
        <f>16912312-E16-G16-I16-K16-M16</f>
        <v>0</v>
      </c>
      <c r="P16" s="419">
        <f>1744323-D16-F16-H16-J16-L16-N16</f>
        <v>0</v>
      </c>
      <c r="Q16" s="419">
        <f>16912312-E16-G16-I16-K16-M16-O16</f>
        <v>0</v>
      </c>
      <c r="R16" s="419">
        <f>1744323-D16-F16-H16-J16-L16-N16-P16</f>
        <v>0</v>
      </c>
      <c r="S16" s="419">
        <f>16912312-E16-G16-I16-K16-M16-O16-Q16</f>
        <v>0</v>
      </c>
      <c r="T16" s="419">
        <f>3870996-D16-F16-H16-J16-L16-N16-P16-R16</f>
        <v>2126673</v>
      </c>
      <c r="U16" s="419">
        <f>16912312-E16-G16-I16-K16-M16-O16-Q16-S16</f>
        <v>0</v>
      </c>
      <c r="V16" s="419">
        <f>3870996-D16-F16-H16-J16-L16-N16-P16-R16-T16</f>
        <v>0</v>
      </c>
      <c r="W16" s="419">
        <f>16912312-E16-G16-I16-K16-M16-O16-Q16-S16-U16</f>
        <v>0</v>
      </c>
      <c r="X16" s="419">
        <f>3870996-D16-F16-H16-J16-L16-N16-P16-R16-T16-V16</f>
        <v>0</v>
      </c>
      <c r="Y16" s="419">
        <v>0</v>
      </c>
      <c r="Z16" s="419"/>
      <c r="AA16" s="419"/>
      <c r="AB16" s="419">
        <f>+D16+F16+H16+J16+L16+N16+P16+R16+T16+V16</f>
        <v>3870996</v>
      </c>
      <c r="AC16" s="419">
        <f>+C16-D16-F16-H16-J16-L16-N16-P16-R16-T16-V16</f>
        <v>16912312</v>
      </c>
      <c r="AD16" s="419">
        <f>+E16+G16+I16+K16+M16+O16+Q16+S16+U16+W16</f>
        <v>16912312</v>
      </c>
      <c r="AE16" s="386">
        <v>16912312</v>
      </c>
    </row>
    <row r="17" spans="1:30" s="386" customFormat="1" ht="15">
      <c r="A17" s="875"/>
      <c r="B17" s="420" t="s">
        <v>8</v>
      </c>
      <c r="C17" s="420">
        <f aca="true" t="shared" si="0" ref="C17:W17">SUM(C13:C16)</f>
        <v>297503943</v>
      </c>
      <c r="D17" s="420">
        <f t="shared" si="0"/>
        <v>37794667</v>
      </c>
      <c r="E17" s="420">
        <f t="shared" si="0"/>
        <v>29473926</v>
      </c>
      <c r="F17" s="420">
        <f t="shared" si="0"/>
        <v>12965990</v>
      </c>
      <c r="G17" s="420">
        <f t="shared" si="0"/>
        <v>10648462</v>
      </c>
      <c r="H17" s="420">
        <f t="shared" si="0"/>
        <v>0</v>
      </c>
      <c r="I17" s="420">
        <f t="shared" si="0"/>
        <v>10831548</v>
      </c>
      <c r="J17" s="420">
        <f t="shared" si="0"/>
        <v>0</v>
      </c>
      <c r="K17" s="420">
        <f t="shared" si="0"/>
        <v>515228</v>
      </c>
      <c r="L17" s="420">
        <f t="shared" si="0"/>
        <v>10435536</v>
      </c>
      <c r="M17" s="420">
        <f t="shared" si="0"/>
        <v>14000891</v>
      </c>
      <c r="N17" s="420">
        <f t="shared" si="0"/>
        <v>25122000</v>
      </c>
      <c r="O17" s="420">
        <f t="shared" si="0"/>
        <v>2875004</v>
      </c>
      <c r="P17" s="420">
        <f t="shared" si="0"/>
        <v>36000</v>
      </c>
      <c r="Q17" s="420">
        <f t="shared" si="0"/>
        <v>4994682</v>
      </c>
      <c r="R17" s="420">
        <f t="shared" si="0"/>
        <v>1</v>
      </c>
      <c r="S17" s="420">
        <f t="shared" si="0"/>
        <v>631532</v>
      </c>
      <c r="T17" s="420">
        <f t="shared" si="0"/>
        <v>6632273</v>
      </c>
      <c r="U17" s="420">
        <f t="shared" si="0"/>
        <v>3961910</v>
      </c>
      <c r="V17" s="420">
        <f t="shared" si="0"/>
        <v>75060000</v>
      </c>
      <c r="W17" s="420">
        <f t="shared" si="0"/>
        <v>442417</v>
      </c>
      <c r="X17" s="419">
        <f>SUM(X13:X16)</f>
        <v>0</v>
      </c>
      <c r="Y17" s="419">
        <f>SUM(Y13:Y16)</f>
        <v>0</v>
      </c>
      <c r="Z17" s="419"/>
      <c r="AA17" s="420"/>
      <c r="AB17" s="420">
        <f>SUM(AB13:AB16)</f>
        <v>168046467</v>
      </c>
      <c r="AC17" s="420">
        <f>SUM(AC13:AC16)</f>
        <v>129457476</v>
      </c>
      <c r="AD17" s="420">
        <f>SUM(AD13:AD16)</f>
        <v>78375600</v>
      </c>
    </row>
    <row r="18" spans="3:31" ht="15">
      <c r="C18" s="426">
        <v>297503943</v>
      </c>
      <c r="AB18" s="454">
        <v>168046467</v>
      </c>
      <c r="AC18" s="455">
        <v>129457476</v>
      </c>
      <c r="AD18" s="427">
        <v>78375600</v>
      </c>
      <c r="AE18" s="440">
        <f>+AD18/AC18</f>
        <v>0.6054157891970642</v>
      </c>
    </row>
    <row r="19" spans="28:30" ht="15">
      <c r="AB19" s="434">
        <f>+AB17-AB18</f>
        <v>0</v>
      </c>
      <c r="AC19" s="434">
        <f>+AC17-AC18</f>
        <v>0</v>
      </c>
      <c r="AD19" s="434">
        <f>+AD17-AD18</f>
        <v>0</v>
      </c>
    </row>
    <row r="20" spans="2:3" ht="15">
      <c r="B20" t="s">
        <v>24</v>
      </c>
      <c r="C20" s="386">
        <f>+'Meta 1'!O24</f>
        <v>50674894</v>
      </c>
    </row>
    <row r="21" spans="2:29" ht="15">
      <c r="B21" t="s">
        <v>25</v>
      </c>
      <c r="C21" s="386">
        <f>+'Metas 2'!O24</f>
        <v>13710394</v>
      </c>
      <c r="AC21" s="441"/>
    </row>
    <row r="22" spans="2:29" ht="15">
      <c r="B22" t="s">
        <v>26</v>
      </c>
      <c r="C22" s="386">
        <f>+'Meta 3'!O24</f>
        <v>8240000</v>
      </c>
      <c r="AC22" s="441"/>
    </row>
    <row r="23" spans="2:29" ht="15">
      <c r="B23" t="s">
        <v>27</v>
      </c>
      <c r="C23" s="386">
        <f>+'Meta 4'!O24</f>
        <v>16912312</v>
      </c>
      <c r="AC23" s="441"/>
    </row>
    <row r="24" spans="2:29" ht="15">
      <c r="B24" t="s">
        <v>8</v>
      </c>
      <c r="AC24" s="441"/>
    </row>
    <row r="25" ht="15">
      <c r="C25" s="386">
        <f>+C13-C20</f>
        <v>28213079</v>
      </c>
    </row>
    <row r="26" ht="15">
      <c r="C26" s="441">
        <f>+C14-C21</f>
        <v>134538334</v>
      </c>
    </row>
    <row r="27" ht="15">
      <c r="C27" s="441">
        <f>+C15-C22</f>
        <v>41343934</v>
      </c>
    </row>
    <row r="28" ht="15">
      <c r="C28" s="441">
        <f>+C16-C23</f>
        <v>3870996</v>
      </c>
    </row>
  </sheetData>
  <sheetProtection/>
  <mergeCells count="14">
    <mergeCell ref="Z11:AA11"/>
    <mergeCell ref="D11:E11"/>
    <mergeCell ref="F11:G11"/>
    <mergeCell ref="AB11:AD11"/>
    <mergeCell ref="H11:I11"/>
    <mergeCell ref="J11:K11"/>
    <mergeCell ref="L11:M11"/>
    <mergeCell ref="N11:O11"/>
    <mergeCell ref="A13:A17"/>
    <mergeCell ref="P11:Q11"/>
    <mergeCell ref="R11:S11"/>
    <mergeCell ref="T11:U11"/>
    <mergeCell ref="V11:W11"/>
    <mergeCell ref="X11:Y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2"/>
  <sheetViews>
    <sheetView zoomScalePageLayoutView="0" workbookViewId="0" topLeftCell="V5">
      <selection activeCell="X12" sqref="X12:Y12"/>
    </sheetView>
  </sheetViews>
  <sheetFormatPr defaultColWidth="11.421875" defaultRowHeight="15"/>
  <cols>
    <col min="1" max="1" width="14.8515625" style="0" customWidth="1"/>
    <col min="2" max="2" width="25.28125" style="0" customWidth="1"/>
    <col min="3" max="3" width="18.8515625" style="386" customWidth="1"/>
    <col min="4" max="4" width="19.28125" style="0" customWidth="1"/>
    <col min="5" max="5" width="16.28125" style="0" customWidth="1"/>
    <col min="6" max="6" width="16.57421875" style="0" customWidth="1"/>
    <col min="7" max="7" width="14.00390625" style="0" customWidth="1"/>
    <col min="8" max="8" width="16.57421875" style="0" customWidth="1"/>
    <col min="9" max="9" width="16.421875" style="0" customWidth="1"/>
    <col min="10" max="10" width="16.57421875" style="0" customWidth="1"/>
    <col min="11" max="11" width="15.8515625" style="0" customWidth="1"/>
    <col min="12" max="12" width="16.7109375" style="0" customWidth="1"/>
    <col min="13" max="13" width="19.421875" style="0" customWidth="1"/>
    <col min="14" max="14" width="16.7109375" style="0" customWidth="1"/>
    <col min="15" max="15" width="15.57421875" style="0" customWidth="1"/>
    <col min="16" max="16" width="16.7109375" style="0" customWidth="1"/>
    <col min="17" max="17" width="15.57421875" style="0" customWidth="1"/>
    <col min="18" max="19" width="16.57421875" style="0" customWidth="1"/>
    <col min="20" max="21" width="16.8515625" style="0" customWidth="1"/>
    <col min="22" max="22" width="16.7109375" style="0" bestFit="1" customWidth="1"/>
    <col min="23" max="23" width="15.57421875" style="0" bestFit="1" customWidth="1"/>
    <col min="24" max="24" width="16.7109375" style="0" bestFit="1" customWidth="1"/>
    <col min="25" max="25" width="15.57421875" style="0" bestFit="1" customWidth="1"/>
    <col min="26" max="27" width="11.421875" style="0"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757</v>
      </c>
    </row>
    <row r="5" spans="2:6" ht="15">
      <c r="B5" t="s">
        <v>749</v>
      </c>
      <c r="C5" s="386" t="s">
        <v>756</v>
      </c>
      <c r="E5" t="s">
        <v>832</v>
      </c>
      <c r="F5" t="s">
        <v>833</v>
      </c>
    </row>
    <row r="6" spans="2:6" ht="15">
      <c r="B6" t="s">
        <v>751</v>
      </c>
      <c r="C6" s="386">
        <v>2430523029</v>
      </c>
      <c r="D6" s="388">
        <v>0.21</v>
      </c>
      <c r="E6" s="422">
        <f>+'Meta 1'!AC22</f>
        <v>2436169826</v>
      </c>
      <c r="F6" s="423">
        <f>+C6-E6</f>
        <v>-5646797</v>
      </c>
    </row>
    <row r="7" spans="2:6" ht="15">
      <c r="B7" t="s">
        <v>752</v>
      </c>
      <c r="C7" s="386">
        <v>6698541216</v>
      </c>
      <c r="D7" s="388">
        <v>0.58</v>
      </c>
      <c r="E7" s="422">
        <f>+'Metas 2'!AC22</f>
        <v>6820592651</v>
      </c>
      <c r="F7" s="423">
        <f>+C7-E7</f>
        <v>-122051435</v>
      </c>
    </row>
    <row r="8" spans="2:6" ht="15">
      <c r="B8" t="s">
        <v>753</v>
      </c>
      <c r="C8" s="386">
        <v>1523808689</v>
      </c>
      <c r="D8" s="388">
        <v>0.13</v>
      </c>
      <c r="E8" s="422">
        <f>+'Meta 3'!AC22</f>
        <v>1523808689</v>
      </c>
      <c r="F8" s="423">
        <f>+C8-E8</f>
        <v>0</v>
      </c>
    </row>
    <row r="9" spans="2:6" ht="15">
      <c r="B9" t="s">
        <v>754</v>
      </c>
      <c r="C9" s="386">
        <v>937784066</v>
      </c>
      <c r="D9" s="388">
        <v>0.08</v>
      </c>
      <c r="E9" s="422">
        <f>+'Meta 4'!AC22</f>
        <v>810085834</v>
      </c>
      <c r="F9" s="423">
        <f>+C9-E9</f>
        <v>127698232</v>
      </c>
    </row>
    <row r="10" spans="2:5" ht="15">
      <c r="B10" t="s">
        <v>755</v>
      </c>
      <c r="C10" s="386">
        <v>11590657000</v>
      </c>
      <c r="E10" s="423">
        <f>SUM(E6:E9)</f>
        <v>11590657000</v>
      </c>
    </row>
    <row r="13" spans="4:29" s="386" customFormat="1" ht="15">
      <c r="D13" s="876" t="s">
        <v>816</v>
      </c>
      <c r="E13" s="876"/>
      <c r="F13" s="876" t="s">
        <v>817</v>
      </c>
      <c r="G13" s="876"/>
      <c r="H13" s="876" t="s">
        <v>818</v>
      </c>
      <c r="I13" s="876"/>
      <c r="J13" s="876" t="s">
        <v>819</v>
      </c>
      <c r="K13" s="876"/>
      <c r="L13" s="876" t="s">
        <v>820</v>
      </c>
      <c r="M13" s="876"/>
      <c r="N13" s="876" t="s">
        <v>821</v>
      </c>
      <c r="O13" s="876"/>
      <c r="P13" s="876" t="s">
        <v>822</v>
      </c>
      <c r="Q13" s="876"/>
      <c r="R13" s="876" t="s">
        <v>823</v>
      </c>
      <c r="S13" s="876"/>
      <c r="T13" s="876" t="s">
        <v>824</v>
      </c>
      <c r="U13" s="876"/>
      <c r="V13" s="876" t="s">
        <v>825</v>
      </c>
      <c r="W13" s="876"/>
      <c r="X13" s="876" t="s">
        <v>826</v>
      </c>
      <c r="Y13" s="876"/>
      <c r="Z13" s="876" t="s">
        <v>827</v>
      </c>
      <c r="AA13" s="876"/>
      <c r="AB13" s="876" t="s">
        <v>63</v>
      </c>
      <c r="AC13" s="876"/>
    </row>
    <row r="14" spans="2:29" s="386" customFormat="1" ht="15">
      <c r="B14" s="419"/>
      <c r="C14" s="420" t="s">
        <v>831</v>
      </c>
      <c r="D14" s="420" t="s">
        <v>379</v>
      </c>
      <c r="E14" s="421" t="s">
        <v>381</v>
      </c>
      <c r="F14" s="420" t="s">
        <v>379</v>
      </c>
      <c r="G14" s="421" t="s">
        <v>381</v>
      </c>
      <c r="H14" s="420" t="s">
        <v>379</v>
      </c>
      <c r="I14" s="421" t="s">
        <v>381</v>
      </c>
      <c r="J14" s="420" t="s">
        <v>379</v>
      </c>
      <c r="K14" s="421" t="s">
        <v>381</v>
      </c>
      <c r="L14" s="420" t="s">
        <v>379</v>
      </c>
      <c r="M14" s="421" t="s">
        <v>381</v>
      </c>
      <c r="N14" s="420" t="s">
        <v>379</v>
      </c>
      <c r="O14" s="421" t="s">
        <v>381</v>
      </c>
      <c r="P14" s="420" t="s">
        <v>379</v>
      </c>
      <c r="Q14" s="421" t="s">
        <v>381</v>
      </c>
      <c r="R14" s="420" t="s">
        <v>379</v>
      </c>
      <c r="S14" s="421" t="s">
        <v>381</v>
      </c>
      <c r="T14" s="420" t="s">
        <v>379</v>
      </c>
      <c r="U14" s="421" t="s">
        <v>381</v>
      </c>
      <c r="V14" s="420" t="s">
        <v>379</v>
      </c>
      <c r="W14" s="421" t="s">
        <v>381</v>
      </c>
      <c r="X14" s="420" t="s">
        <v>379</v>
      </c>
      <c r="Y14" s="421" t="s">
        <v>381</v>
      </c>
      <c r="Z14" s="420" t="s">
        <v>379</v>
      </c>
      <c r="AA14" s="421" t="s">
        <v>381</v>
      </c>
      <c r="AB14" s="420" t="s">
        <v>379</v>
      </c>
      <c r="AC14" s="421" t="s">
        <v>381</v>
      </c>
    </row>
    <row r="15" spans="1:33" s="386" customFormat="1" ht="15">
      <c r="A15" s="875" t="s">
        <v>830</v>
      </c>
      <c r="B15" s="419" t="s">
        <v>24</v>
      </c>
      <c r="C15" s="419">
        <f>+C6</f>
        <v>2430523029</v>
      </c>
      <c r="D15" s="419">
        <v>525838496</v>
      </c>
      <c r="E15" s="419">
        <v>0</v>
      </c>
      <c r="F15" s="419">
        <v>142212061</v>
      </c>
      <c r="G15" s="419">
        <v>12534268</v>
      </c>
      <c r="H15" s="419">
        <f>649450759-D15-F15</f>
        <v>-18599798</v>
      </c>
      <c r="I15" s="419">
        <f>59840731-E15-G15</f>
        <v>47306463</v>
      </c>
      <c r="J15" s="419">
        <f>930184092-D15-F15-H15</f>
        <v>280733333</v>
      </c>
      <c r="K15" s="419">
        <f>114813861-E15-G15-I15</f>
        <v>54973130</v>
      </c>
      <c r="L15" s="419">
        <f>1739755706-D15-F15-H15-J15</f>
        <v>809571614</v>
      </c>
      <c r="M15" s="419">
        <f>482499236-E15-G15-I15-K15</f>
        <v>367685375</v>
      </c>
      <c r="N15" s="419">
        <f>2043191375-D15-F15-H15-J15-L15</f>
        <v>303435669</v>
      </c>
      <c r="O15" s="419">
        <f>537472366-E15-G15-I15-K15-M15</f>
        <v>54973130</v>
      </c>
      <c r="P15" s="419">
        <f>2120333880-D15-F15-H15-J15-L15-N15</f>
        <v>77142505</v>
      </c>
      <c r="Q15" s="419">
        <f>1415742392-E15-G15-I15-K15-M15-O15</f>
        <v>878270026</v>
      </c>
      <c r="R15" s="419">
        <f>2107718872-D15-F15-H15-J15-L15-N15-P15</f>
        <v>-12615008</v>
      </c>
      <c r="S15" s="419">
        <f>1539571527-E15-G15-I15-K15-M15-O15-Q15</f>
        <v>123829135</v>
      </c>
      <c r="T15" s="419">
        <f>2167191671-D15-F15-H15-J15-L15-N15-P15-R15</f>
        <v>59472799</v>
      </c>
      <c r="U15" s="419">
        <f>1673380431-E15-G15-I15-K15-M15-O15-Q15-S15</f>
        <v>133808904</v>
      </c>
      <c r="V15" s="419">
        <f>2176330871-D15-F15-H15-J15-L15-N15-P15-R15-T15</f>
        <v>9139200</v>
      </c>
      <c r="W15" s="419">
        <f>1797467313-E15-G15-I15-K15-M15-O15-Q15-S15-U15</f>
        <v>124086882</v>
      </c>
      <c r="X15" s="419">
        <f>2296330871-D15-F15-H15-J15-L15-N15-P15-R15-T15-V15</f>
        <v>120000000</v>
      </c>
      <c r="Y15" s="419">
        <f>1926579604-E15-G15-I15-K15-M15-O15-Q15-S15-U15-W15</f>
        <v>129112291</v>
      </c>
      <c r="Z15" s="419"/>
      <c r="AA15" s="419"/>
      <c r="AB15" s="419">
        <f aca="true" t="shared" si="0" ref="AB15:AC18">+D15+F15+H15+J15+L15+N15+P15+R15+T15+V15+X15</f>
        <v>2296330871</v>
      </c>
      <c r="AC15" s="419">
        <f t="shared" si="0"/>
        <v>1926579604</v>
      </c>
      <c r="AD15" s="386">
        <v>1926579604</v>
      </c>
      <c r="AE15" s="437">
        <f>+AC15/AB15</f>
        <v>0.8389817113598348</v>
      </c>
      <c r="AG15" s="386">
        <v>649450759</v>
      </c>
    </row>
    <row r="16" spans="1:33" s="386" customFormat="1" ht="15">
      <c r="A16" s="875"/>
      <c r="B16" s="419" t="s">
        <v>25</v>
      </c>
      <c r="C16" s="419">
        <f>+C7</f>
        <v>6698541216</v>
      </c>
      <c r="D16" s="419">
        <v>6153982761</v>
      </c>
      <c r="E16" s="419">
        <v>7763070</v>
      </c>
      <c r="F16" s="419">
        <v>187249867</v>
      </c>
      <c r="G16" s="419">
        <v>354001805</v>
      </c>
      <c r="H16" s="419">
        <f>6353623948-D16-F16</f>
        <v>12391320</v>
      </c>
      <c r="I16" s="419">
        <f>887313432-E16-G16</f>
        <v>525548557</v>
      </c>
      <c r="J16" s="419">
        <f>6430070848-D16-F16-H16</f>
        <v>76446900</v>
      </c>
      <c r="K16" s="419">
        <f>1434537815-E16-G16-I16</f>
        <v>547224383</v>
      </c>
      <c r="L16" s="419">
        <f>6410965201-D16-F16-H16-J16</f>
        <v>-19105647</v>
      </c>
      <c r="M16" s="419">
        <f>1992466214-E16-G16-I16-K16</f>
        <v>557928399</v>
      </c>
      <c r="N16" s="419">
        <f>6479279201-D16-F16-H16-J16-L16</f>
        <v>68314000</v>
      </c>
      <c r="O16" s="419">
        <f>2529061280-E16-G16-I16-K16-M16</f>
        <v>536595066</v>
      </c>
      <c r="P16" s="419">
        <f>6473884534-D16-F16-H16-J16-L16-N16</f>
        <v>-5394667</v>
      </c>
      <c r="Q16" s="419">
        <f>3088833679-E16-G16-I16-K16-M16-O16</f>
        <v>559772399</v>
      </c>
      <c r="R16" s="419">
        <f>6525337867-D16-F16-H16-J16-L16-N16-P16</f>
        <v>51453333</v>
      </c>
      <c r="S16" s="419">
        <f>3657738745-E16-G16-I16-K16-M16-O16-Q16</f>
        <v>568905066</v>
      </c>
      <c r="T16" s="419">
        <f>6581151159-D16-F16-H16-J16-L16-N16-P16-R16</f>
        <v>55813292</v>
      </c>
      <c r="U16" s="419">
        <f>4207741811-E16-G16-I16-K16-M16-O16-Q16-S16</f>
        <v>550003066</v>
      </c>
      <c r="V16" s="419">
        <f>6653698826-D16-F16-H16-J16-L16-N16-P16-R16-T16</f>
        <v>72547667</v>
      </c>
      <c r="W16" s="419">
        <f>4760010442-E16-G16-I16-K16-M16-O16-Q16-S16-U16</f>
        <v>552268631</v>
      </c>
      <c r="X16" s="419">
        <f>6700244168-D16-F16-H16-J16-L16-N16-P16-R16-T16-V16</f>
        <v>46545342</v>
      </c>
      <c r="Y16" s="419">
        <f>5335219797-E16-G16-I16-K16-M16-O16-Q16-S16-U16-W16</f>
        <v>575209355</v>
      </c>
      <c r="Z16" s="419"/>
      <c r="AA16" s="419"/>
      <c r="AB16" s="419">
        <f t="shared" si="0"/>
        <v>6700244168</v>
      </c>
      <c r="AC16" s="419">
        <f t="shared" si="0"/>
        <v>5335219797</v>
      </c>
      <c r="AD16" s="386">
        <v>5335219797</v>
      </c>
      <c r="AE16" s="437">
        <f>+AC16/AB16</f>
        <v>0.7962724436940251</v>
      </c>
      <c r="AG16" s="422">
        <v>6353623948</v>
      </c>
    </row>
    <row r="17" spans="1:33" s="386" customFormat="1" ht="15">
      <c r="A17" s="875"/>
      <c r="B17" s="419" t="s">
        <v>26</v>
      </c>
      <c r="C17" s="419">
        <f>+C8</f>
        <v>1523808689</v>
      </c>
      <c r="D17" s="419">
        <v>1112475156</v>
      </c>
      <c r="E17" s="419">
        <v>0</v>
      </c>
      <c r="F17" s="419">
        <v>308525999</v>
      </c>
      <c r="G17" s="419">
        <v>45917998</v>
      </c>
      <c r="H17" s="419">
        <f>1500080199-D17-F17</f>
        <v>79079044</v>
      </c>
      <c r="I17" s="419">
        <f>155918395-E17-G17</f>
        <v>110000397</v>
      </c>
      <c r="J17" s="419">
        <f>1465602433-D17-F17-H17</f>
        <v>-34477766</v>
      </c>
      <c r="K17" s="419">
        <f>280178392-E17-G17-I17</f>
        <v>124259997</v>
      </c>
      <c r="L17" s="419">
        <f>1445311434-D17-F17-H17-J17</f>
        <v>-20290999</v>
      </c>
      <c r="M17" s="419">
        <f>410481056-E17-G17-I17-K17</f>
        <v>130302664</v>
      </c>
      <c r="N17" s="419">
        <f>1472091434-D17-F17-H17-J17-L17</f>
        <v>26780000</v>
      </c>
      <c r="O17" s="419">
        <f>540783720-E17-G17-I17-K17-M17</f>
        <v>130302664</v>
      </c>
      <c r="P17" s="419">
        <f>1472091434-D17-F17-H17-J17-L17-N17</f>
        <v>0</v>
      </c>
      <c r="Q17" s="419">
        <f>677781384-E17-G17-I17-K17-M17-O17</f>
        <v>136997664</v>
      </c>
      <c r="R17" s="419">
        <f>1472091434-D17-F17-H17-J17-L17-N17-P17</f>
        <v>0</v>
      </c>
      <c r="S17" s="419">
        <f>814779048-E17-G17-I17-K17-M17-O17-Q17</f>
        <v>136997664</v>
      </c>
      <c r="T17" s="419">
        <f>1472091434-D17-F17-H17-J17-L17-N17-P17-R17</f>
        <v>0</v>
      </c>
      <c r="U17" s="419">
        <f>951776712-E17-G17-I17-K17-M17-O17-Q17-S17</f>
        <v>136997664</v>
      </c>
      <c r="V17" s="419">
        <f>1472091434-D17-F17-H17-J17-L17-N17-P17-R17-T17</f>
        <v>0</v>
      </c>
      <c r="W17" s="419">
        <f>1088774376-E17-G17-I17-K17-M17-O17-Q17-S17-U17</f>
        <v>136997664</v>
      </c>
      <c r="X17" s="419">
        <f>1475438934-D17-F17-H17-J17-L17-N17-P17-R17-T17-V17</f>
        <v>3347500</v>
      </c>
      <c r="Y17" s="419">
        <f>1209585040-E17-G17-I17-K17-M17-O17-Q17-S17-U17-W17</f>
        <v>120810664</v>
      </c>
      <c r="Z17" s="419"/>
      <c r="AA17" s="419"/>
      <c r="AB17" s="419">
        <f t="shared" si="0"/>
        <v>1475438934</v>
      </c>
      <c r="AC17" s="419">
        <f t="shared" si="0"/>
        <v>1209585040</v>
      </c>
      <c r="AD17" s="386">
        <v>1209585040</v>
      </c>
      <c r="AE17" s="437">
        <f>+AC17/AB17</f>
        <v>0.8198136921334624</v>
      </c>
      <c r="AG17" s="422">
        <v>1500080199</v>
      </c>
    </row>
    <row r="18" spans="1:33" s="386" customFormat="1" ht="15">
      <c r="A18" s="875"/>
      <c r="B18" s="419" t="s">
        <v>27</v>
      </c>
      <c r="C18" s="419">
        <f>+C9</f>
        <v>937784066</v>
      </c>
      <c r="D18" s="419">
        <v>582044581</v>
      </c>
      <c r="E18" s="419">
        <v>0</v>
      </c>
      <c r="F18" s="419">
        <v>67850000</v>
      </c>
      <c r="G18" s="419">
        <v>24978180</v>
      </c>
      <c r="H18" s="419">
        <f>715793783-D18-F18</f>
        <v>65899202</v>
      </c>
      <c r="I18" s="419">
        <f>85150492-E18-G18</f>
        <v>60172312</v>
      </c>
      <c r="J18" s="419">
        <f>711713783-D18-F18-H18</f>
        <v>-4080000</v>
      </c>
      <c r="K18" s="419">
        <f>150902804-E18-G18-I18</f>
        <v>65752312</v>
      </c>
      <c r="L18" s="419">
        <f>696027116-D18-F18-H18-J18</f>
        <v>-15686667</v>
      </c>
      <c r="M18" s="419">
        <f>221535116-E18-G18-I18-K18</f>
        <v>70632312</v>
      </c>
      <c r="N18" s="419">
        <f>769387116-D18-F18-H18-J18-L18</f>
        <v>73360000</v>
      </c>
      <c r="O18" s="419">
        <f>289324116-E18-G18-I18-K18-M18</f>
        <v>67789000</v>
      </c>
      <c r="P18" s="419">
        <f>769387116-D18-F18-H18-J18-L18-N18</f>
        <v>0</v>
      </c>
      <c r="Q18" s="419">
        <f>357113116-E18-G18-I18-K18-M18-O18</f>
        <v>67789000</v>
      </c>
      <c r="R18" s="419">
        <f>769387116-D18-F18-H18-J18-L18-N18-P18</f>
        <v>0</v>
      </c>
      <c r="S18" s="419">
        <f>418413116-E18-G18-I18-K18-M18-O18-Q18</f>
        <v>61300000</v>
      </c>
      <c r="T18" s="419">
        <f>796319899-D18-F18-H18-J18-L18-N18-P18-R18</f>
        <v>26932783</v>
      </c>
      <c r="U18" s="419">
        <f>492691116-E18-G18-I18-K18-M18-O18-Q18-S18</f>
        <v>74278000</v>
      </c>
      <c r="V18" s="419">
        <f>776799899-D18-F18-H18-J18-L18-N18-P18-R18-T18</f>
        <v>-19520000</v>
      </c>
      <c r="W18" s="419">
        <f>553991116-E18-G18-I18-K18-M18-O18-Q18-S18-U18</f>
        <v>61300000</v>
      </c>
      <c r="X18" s="419">
        <f>776799899-D18-F18-H18-J18-L18-N18-P18-R18-T18-V18</f>
        <v>0</v>
      </c>
      <c r="Y18" s="419">
        <f>621347516-E18-G18-I18-K18-M18-O18-Q18-S18-U18-W18</f>
        <v>67356400</v>
      </c>
      <c r="Z18" s="419"/>
      <c r="AA18" s="419"/>
      <c r="AB18" s="419">
        <f t="shared" si="0"/>
        <v>776799899</v>
      </c>
      <c r="AC18" s="419">
        <f t="shared" si="0"/>
        <v>621347516</v>
      </c>
      <c r="AD18" s="386">
        <v>621347516</v>
      </c>
      <c r="AE18" s="437">
        <f>+AC18/AB18</f>
        <v>0.7998810463285089</v>
      </c>
      <c r="AG18" s="422">
        <v>715793783</v>
      </c>
    </row>
    <row r="19" spans="1:33" s="386" customFormat="1" ht="15">
      <c r="A19" s="875"/>
      <c r="B19" s="419"/>
      <c r="C19" s="420">
        <f>SUM(C15:C18)</f>
        <v>11590657000</v>
      </c>
      <c r="D19" s="420">
        <f>SUM(D15:D18)</f>
        <v>8374340994</v>
      </c>
      <c r="E19" s="420">
        <f>SUM(E15:E18)</f>
        <v>7763070</v>
      </c>
      <c r="F19" s="420">
        <f>SUM(F15:F18)</f>
        <v>705837927</v>
      </c>
      <c r="G19" s="420">
        <f>SUM(G15:G18)</f>
        <v>437432251</v>
      </c>
      <c r="H19" s="420">
        <f aca="true" t="shared" si="1" ref="H19:AA19">SUM(H15:H18)</f>
        <v>138769768</v>
      </c>
      <c r="I19" s="420">
        <f t="shared" si="1"/>
        <v>743027729</v>
      </c>
      <c r="J19" s="420">
        <f>SUM(J15:J18)</f>
        <v>318622467</v>
      </c>
      <c r="K19" s="420">
        <f t="shared" si="1"/>
        <v>792209822</v>
      </c>
      <c r="L19" s="420">
        <f t="shared" si="1"/>
        <v>754488301</v>
      </c>
      <c r="M19" s="420">
        <f t="shared" si="1"/>
        <v>1126548750</v>
      </c>
      <c r="N19" s="420">
        <f t="shared" si="1"/>
        <v>471889669</v>
      </c>
      <c r="O19" s="420">
        <f t="shared" si="1"/>
        <v>789659860</v>
      </c>
      <c r="P19" s="420">
        <f t="shared" si="1"/>
        <v>71747838</v>
      </c>
      <c r="Q19" s="420">
        <f t="shared" si="1"/>
        <v>1642829089</v>
      </c>
      <c r="R19" s="420">
        <f t="shared" si="1"/>
        <v>38838325</v>
      </c>
      <c r="S19" s="420">
        <f t="shared" si="1"/>
        <v>891031865</v>
      </c>
      <c r="T19" s="420">
        <f t="shared" si="1"/>
        <v>142218874</v>
      </c>
      <c r="U19" s="420">
        <f t="shared" si="1"/>
        <v>895087634</v>
      </c>
      <c r="V19" s="420">
        <f t="shared" si="1"/>
        <v>62166867</v>
      </c>
      <c r="W19" s="420">
        <f t="shared" si="1"/>
        <v>874653177</v>
      </c>
      <c r="X19" s="420">
        <f t="shared" si="1"/>
        <v>169892842</v>
      </c>
      <c r="Y19" s="420">
        <f t="shared" si="1"/>
        <v>892488710</v>
      </c>
      <c r="Z19" s="420">
        <f t="shared" si="1"/>
        <v>0</v>
      </c>
      <c r="AA19" s="420">
        <f t="shared" si="1"/>
        <v>0</v>
      </c>
      <c r="AB19" s="420">
        <f>SUM(AB15:AB18)</f>
        <v>11248813872</v>
      </c>
      <c r="AC19" s="420">
        <f>SUM(AC15:AC18)</f>
        <v>9092731957</v>
      </c>
      <c r="AG19" s="422"/>
    </row>
    <row r="20" spans="28:30" ht="15">
      <c r="AB20" s="427">
        <v>11248813872</v>
      </c>
      <c r="AC20" s="427">
        <v>9092731957</v>
      </c>
      <c r="AD20" s="428">
        <f>+AC20/AB20</f>
        <v>0.8083280655601552</v>
      </c>
    </row>
    <row r="21" spans="28:29" ht="15">
      <c r="AB21" s="423">
        <f>+AB19-AB20</f>
        <v>0</v>
      </c>
      <c r="AC21" s="423">
        <f>+AC19-AC20</f>
        <v>0</v>
      </c>
    </row>
    <row r="22" spans="16:30" ht="15">
      <c r="P22" s="423">
        <f>+P15+R15+T15</f>
        <v>124000296</v>
      </c>
      <c r="AD22" s="438" t="s">
        <v>836</v>
      </c>
    </row>
    <row r="23" ht="15">
      <c r="P23" s="423">
        <f>+P16+R16+T16</f>
        <v>101871958</v>
      </c>
    </row>
    <row r="24" ht="15">
      <c r="P24" s="423">
        <f>+P17+R17+T17</f>
        <v>0</v>
      </c>
    </row>
    <row r="25" ht="15">
      <c r="P25" s="423">
        <f>+P18+R18+T18</f>
        <v>26932783</v>
      </c>
    </row>
    <row r="26" spans="3:6" ht="15">
      <c r="C26">
        <v>2020</v>
      </c>
      <c r="D26">
        <v>2021</v>
      </c>
      <c r="E26">
        <v>2022</v>
      </c>
      <c r="F26">
        <v>2023</v>
      </c>
    </row>
    <row r="27" spans="2:28" ht="15">
      <c r="B27" s="429" t="s">
        <v>832</v>
      </c>
      <c r="C27" s="430">
        <v>0.1</v>
      </c>
      <c r="D27" s="430">
        <v>0.35</v>
      </c>
      <c r="E27" s="430">
        <v>0.6</v>
      </c>
      <c r="F27" s="430">
        <v>0.85</v>
      </c>
      <c r="AB27" s="423"/>
    </row>
    <row r="28" spans="3:28" ht="15">
      <c r="C28" s="431">
        <v>0.1</v>
      </c>
      <c r="D28" s="431">
        <v>0.35</v>
      </c>
      <c r="E28" s="431">
        <v>0.6</v>
      </c>
      <c r="F28" s="431">
        <v>0.85</v>
      </c>
      <c r="AB28" s="423"/>
    </row>
    <row r="29" spans="2:28" ht="15">
      <c r="B29" s="432" t="s">
        <v>834</v>
      </c>
      <c r="C29" s="433">
        <f>+C28</f>
        <v>0.1</v>
      </c>
      <c r="D29" s="434">
        <f>+D28-C28</f>
        <v>0.24999999999999997</v>
      </c>
      <c r="E29" s="434">
        <f>+E28-D28</f>
        <v>0.25</v>
      </c>
      <c r="F29" s="434">
        <f>+F28-E28</f>
        <v>0.25</v>
      </c>
      <c r="AA29" t="s">
        <v>852</v>
      </c>
      <c r="AB29" s="423" t="s">
        <v>851</v>
      </c>
    </row>
    <row r="30" spans="2:28" ht="15">
      <c r="B30" s="429"/>
      <c r="C30" s="429"/>
      <c r="D30" s="429"/>
      <c r="F30" s="435">
        <f>+'Meta 4'!P35</f>
        <v>0.8474999999999999</v>
      </c>
      <c r="G30" t="s">
        <v>835</v>
      </c>
      <c r="AA30" t="s">
        <v>854</v>
      </c>
      <c r="AB30" s="423" t="s">
        <v>853</v>
      </c>
    </row>
    <row r="31" spans="2:28" ht="15">
      <c r="B31" s="429"/>
      <c r="C31" s="429"/>
      <c r="D31" s="429"/>
      <c r="F31" s="436">
        <f>+F30-E27</f>
        <v>0.24749999999999994</v>
      </c>
      <c r="G31" t="s">
        <v>834</v>
      </c>
      <c r="AA31" t="s">
        <v>857</v>
      </c>
      <c r="AB31" t="s">
        <v>858</v>
      </c>
    </row>
    <row r="32" spans="27:28" ht="15">
      <c r="AA32" t="s">
        <v>856</v>
      </c>
      <c r="AB32" t="s">
        <v>855</v>
      </c>
    </row>
  </sheetData>
  <sheetProtection/>
  <mergeCells count="14">
    <mergeCell ref="X13:Y13"/>
    <mergeCell ref="Z13:AA13"/>
    <mergeCell ref="D13:E13"/>
    <mergeCell ref="F13:G13"/>
    <mergeCell ref="H13:I13"/>
    <mergeCell ref="J13:K13"/>
    <mergeCell ref="L13:M13"/>
    <mergeCell ref="N13:O13"/>
    <mergeCell ref="AB13:AC13"/>
    <mergeCell ref="A15:A19"/>
    <mergeCell ref="P13:Q13"/>
    <mergeCell ref="R13:S13"/>
    <mergeCell ref="T13:U13"/>
    <mergeCell ref="V13:W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view="pageBreakPreview" zoomScale="70" zoomScaleNormal="70" zoomScaleSheetLayoutView="70" workbookViewId="0" topLeftCell="A1">
      <selection activeCell="I7" sqref="I7:J9"/>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19" width="18.140625" style="246" customWidth="1"/>
    <col min="20" max="22" width="21.7109375" style="246" customWidth="1"/>
    <col min="23" max="27" width="18.140625" style="246" customWidth="1"/>
    <col min="28" max="28" width="22.7109375" style="246" customWidth="1"/>
    <col min="29" max="29" width="19.00390625" style="246" customWidth="1"/>
    <col min="30" max="30" width="19.421875" style="246" customWidth="1"/>
    <col min="31" max="31" width="14.57421875" style="246" hidden="1" customWidth="1"/>
    <col min="32" max="32" width="22.8515625" style="246" hidden="1"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97"/>
      <c r="B1" s="900" t="s">
        <v>16</v>
      </c>
      <c r="C1" s="901"/>
      <c r="D1" s="901"/>
      <c r="E1" s="901"/>
      <c r="F1" s="901"/>
      <c r="G1" s="901"/>
      <c r="H1" s="901"/>
      <c r="I1" s="901"/>
      <c r="J1" s="901"/>
      <c r="K1" s="901"/>
      <c r="L1" s="901"/>
      <c r="M1" s="901"/>
      <c r="N1" s="901"/>
      <c r="O1" s="901"/>
      <c r="P1" s="901"/>
      <c r="Q1" s="901"/>
      <c r="R1" s="901"/>
      <c r="S1" s="901"/>
      <c r="T1" s="901"/>
      <c r="U1" s="901"/>
      <c r="V1" s="901"/>
      <c r="W1" s="901"/>
      <c r="X1" s="901"/>
      <c r="Y1" s="901"/>
      <c r="Z1" s="901"/>
      <c r="AA1" s="902"/>
      <c r="AB1" s="903" t="s">
        <v>423</v>
      </c>
      <c r="AC1" s="904"/>
      <c r="AD1" s="905"/>
    </row>
    <row r="2" spans="1:30" ht="30.75" customHeight="1" thickBot="1">
      <c r="A2" s="898"/>
      <c r="B2" s="900" t="s">
        <v>17</v>
      </c>
      <c r="C2" s="901"/>
      <c r="D2" s="901"/>
      <c r="E2" s="901"/>
      <c r="F2" s="901"/>
      <c r="G2" s="901"/>
      <c r="H2" s="901"/>
      <c r="I2" s="901"/>
      <c r="J2" s="901"/>
      <c r="K2" s="901"/>
      <c r="L2" s="901"/>
      <c r="M2" s="901"/>
      <c r="N2" s="901"/>
      <c r="O2" s="901"/>
      <c r="P2" s="901"/>
      <c r="Q2" s="901"/>
      <c r="R2" s="901"/>
      <c r="S2" s="901"/>
      <c r="T2" s="901"/>
      <c r="U2" s="901"/>
      <c r="V2" s="901"/>
      <c r="W2" s="901"/>
      <c r="X2" s="901"/>
      <c r="Y2" s="901"/>
      <c r="Z2" s="901"/>
      <c r="AA2" s="902"/>
      <c r="AB2" s="906" t="s">
        <v>418</v>
      </c>
      <c r="AC2" s="907"/>
      <c r="AD2" s="908"/>
    </row>
    <row r="3" spans="1:30" ht="24" customHeight="1">
      <c r="A3" s="898"/>
      <c r="B3" s="909" t="s">
        <v>295</v>
      </c>
      <c r="C3" s="910"/>
      <c r="D3" s="910"/>
      <c r="E3" s="910"/>
      <c r="F3" s="910"/>
      <c r="G3" s="910"/>
      <c r="H3" s="910"/>
      <c r="I3" s="910"/>
      <c r="J3" s="910"/>
      <c r="K3" s="910"/>
      <c r="L3" s="910"/>
      <c r="M3" s="910"/>
      <c r="N3" s="910"/>
      <c r="O3" s="910"/>
      <c r="P3" s="910"/>
      <c r="Q3" s="910"/>
      <c r="R3" s="910"/>
      <c r="S3" s="910"/>
      <c r="T3" s="910"/>
      <c r="U3" s="910"/>
      <c r="V3" s="910"/>
      <c r="W3" s="910"/>
      <c r="X3" s="910"/>
      <c r="Y3" s="910"/>
      <c r="Z3" s="910"/>
      <c r="AA3" s="911"/>
      <c r="AB3" s="906" t="s">
        <v>424</v>
      </c>
      <c r="AC3" s="907"/>
      <c r="AD3" s="908"/>
    </row>
    <row r="4" spans="1:30" ht="21.75" customHeight="1" thickBot="1">
      <c r="A4" s="899"/>
      <c r="B4" s="912"/>
      <c r="C4" s="913"/>
      <c r="D4" s="913"/>
      <c r="E4" s="913"/>
      <c r="F4" s="913"/>
      <c r="G4" s="913"/>
      <c r="H4" s="913"/>
      <c r="I4" s="913"/>
      <c r="J4" s="913"/>
      <c r="K4" s="913"/>
      <c r="L4" s="913"/>
      <c r="M4" s="913"/>
      <c r="N4" s="913"/>
      <c r="O4" s="913"/>
      <c r="P4" s="913"/>
      <c r="Q4" s="913"/>
      <c r="R4" s="913"/>
      <c r="S4" s="913"/>
      <c r="T4" s="913"/>
      <c r="U4" s="913"/>
      <c r="V4" s="913"/>
      <c r="W4" s="913"/>
      <c r="X4" s="913"/>
      <c r="Y4" s="913"/>
      <c r="Z4" s="913"/>
      <c r="AA4" s="914"/>
      <c r="AB4" s="669" t="s">
        <v>774</v>
      </c>
      <c r="AC4" s="670"/>
      <c r="AD4" s="671"/>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72" t="s">
        <v>293</v>
      </c>
      <c r="B7" s="673"/>
      <c r="C7" s="934" t="s">
        <v>50</v>
      </c>
      <c r="D7" s="672" t="s">
        <v>71</v>
      </c>
      <c r="E7" s="678"/>
      <c r="F7" s="678"/>
      <c r="G7" s="678"/>
      <c r="H7" s="673"/>
      <c r="I7" s="889">
        <v>45300</v>
      </c>
      <c r="J7" s="890"/>
      <c r="K7" s="672" t="s">
        <v>67</v>
      </c>
      <c r="L7" s="673"/>
      <c r="M7" s="895" t="s">
        <v>70</v>
      </c>
      <c r="N7" s="896"/>
      <c r="O7" s="915"/>
      <c r="P7" s="916"/>
      <c r="Q7" s="252"/>
      <c r="R7" s="252"/>
      <c r="S7" s="252"/>
      <c r="T7" s="252"/>
      <c r="U7" s="252"/>
      <c r="V7" s="252"/>
      <c r="W7" s="252"/>
      <c r="X7" s="252"/>
      <c r="Y7" s="252"/>
      <c r="Z7" s="253"/>
      <c r="AA7" s="252"/>
      <c r="AB7" s="252"/>
      <c r="AC7" s="258"/>
      <c r="AD7" s="259"/>
    </row>
    <row r="8" spans="1:30" ht="15" customHeight="1">
      <c r="A8" s="674"/>
      <c r="B8" s="675"/>
      <c r="C8" s="935"/>
      <c r="D8" s="674"/>
      <c r="E8" s="937"/>
      <c r="F8" s="937"/>
      <c r="G8" s="937"/>
      <c r="H8" s="675"/>
      <c r="I8" s="891"/>
      <c r="J8" s="892"/>
      <c r="K8" s="674"/>
      <c r="L8" s="675"/>
      <c r="M8" s="917" t="s">
        <v>68</v>
      </c>
      <c r="N8" s="918"/>
      <c r="O8" s="919"/>
      <c r="P8" s="920"/>
      <c r="Q8" s="252"/>
      <c r="R8" s="252"/>
      <c r="S8" s="252"/>
      <c r="T8" s="252"/>
      <c r="U8" s="252"/>
      <c r="V8" s="252"/>
      <c r="W8" s="252"/>
      <c r="X8" s="252"/>
      <c r="Y8" s="252"/>
      <c r="Z8" s="253"/>
      <c r="AA8" s="252"/>
      <c r="AB8" s="252"/>
      <c r="AC8" s="258"/>
      <c r="AD8" s="259"/>
    </row>
    <row r="9" spans="1:30" ht="15.75" customHeight="1" thickBot="1">
      <c r="A9" s="676"/>
      <c r="B9" s="677"/>
      <c r="C9" s="936"/>
      <c r="D9" s="676"/>
      <c r="E9" s="680"/>
      <c r="F9" s="680"/>
      <c r="G9" s="680"/>
      <c r="H9" s="677"/>
      <c r="I9" s="893"/>
      <c r="J9" s="894"/>
      <c r="K9" s="676"/>
      <c r="L9" s="677"/>
      <c r="M9" s="921" t="s">
        <v>69</v>
      </c>
      <c r="N9" s="922"/>
      <c r="O9" s="923" t="s">
        <v>425</v>
      </c>
      <c r="P9" s="924"/>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72" t="s">
        <v>0</v>
      </c>
      <c r="B11" s="673"/>
      <c r="C11" s="925" t="s">
        <v>497</v>
      </c>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7"/>
    </row>
    <row r="12" spans="1:30" ht="15" customHeight="1">
      <c r="A12" s="674"/>
      <c r="B12" s="675"/>
      <c r="C12" s="928"/>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30"/>
    </row>
    <row r="13" spans="1:30" ht="15" customHeight="1" thickBot="1">
      <c r="A13" s="676"/>
      <c r="B13" s="677"/>
      <c r="C13" s="931"/>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3"/>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42" t="s">
        <v>77</v>
      </c>
      <c r="B15" s="643"/>
      <c r="C15" s="938" t="s">
        <v>426</v>
      </c>
      <c r="D15" s="939"/>
      <c r="E15" s="939"/>
      <c r="F15" s="939"/>
      <c r="G15" s="939"/>
      <c r="H15" s="939"/>
      <c r="I15" s="939"/>
      <c r="J15" s="939"/>
      <c r="K15" s="940"/>
      <c r="L15" s="636" t="s">
        <v>73</v>
      </c>
      <c r="M15" s="712"/>
      <c r="N15" s="712"/>
      <c r="O15" s="712"/>
      <c r="P15" s="712"/>
      <c r="Q15" s="637"/>
      <c r="R15" s="941" t="s">
        <v>622</v>
      </c>
      <c r="S15" s="942"/>
      <c r="T15" s="942"/>
      <c r="U15" s="942"/>
      <c r="V15" s="942"/>
      <c r="W15" s="942"/>
      <c r="X15" s="943"/>
      <c r="Y15" s="636" t="s">
        <v>72</v>
      </c>
      <c r="Z15" s="637"/>
      <c r="AA15" s="938" t="s">
        <v>623</v>
      </c>
      <c r="AB15" s="939"/>
      <c r="AC15" s="939"/>
      <c r="AD15" s="940"/>
    </row>
    <row r="16" spans="1:30" ht="9" customHeight="1" thickBot="1">
      <c r="A16" s="257"/>
      <c r="B16" s="252"/>
      <c r="C16" s="944"/>
      <c r="D16" s="944"/>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271"/>
      <c r="AD16" s="272"/>
    </row>
    <row r="17" spans="1:30" s="273" customFormat="1" ht="37.5" customHeight="1" thickBot="1">
      <c r="A17" s="642" t="s">
        <v>79</v>
      </c>
      <c r="B17" s="643"/>
      <c r="C17" s="945" t="s">
        <v>624</v>
      </c>
      <c r="D17" s="946"/>
      <c r="E17" s="946"/>
      <c r="F17" s="946"/>
      <c r="G17" s="946"/>
      <c r="H17" s="946"/>
      <c r="I17" s="946"/>
      <c r="J17" s="946"/>
      <c r="K17" s="946"/>
      <c r="L17" s="946"/>
      <c r="M17" s="946"/>
      <c r="N17" s="946"/>
      <c r="O17" s="946"/>
      <c r="P17" s="946"/>
      <c r="Q17" s="947"/>
      <c r="R17" s="636" t="s">
        <v>374</v>
      </c>
      <c r="S17" s="712"/>
      <c r="T17" s="712"/>
      <c r="U17" s="712"/>
      <c r="V17" s="637"/>
      <c r="W17" s="638">
        <v>0.16</v>
      </c>
      <c r="X17" s="639"/>
      <c r="Y17" s="712" t="s">
        <v>15</v>
      </c>
      <c r="Z17" s="712"/>
      <c r="AA17" s="712"/>
      <c r="AB17" s="637"/>
      <c r="AC17" s="948">
        <f>+VIGENCIA!D6</f>
        <v>0.21</v>
      </c>
      <c r="AD17" s="949"/>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636" t="s">
        <v>1</v>
      </c>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637"/>
      <c r="AE19" s="275"/>
      <c r="AF19" s="275"/>
    </row>
    <row r="20" spans="1:32" ht="31.5" customHeight="1" thickBot="1">
      <c r="A20" s="276"/>
      <c r="B20" s="258"/>
      <c r="C20" s="740" t="s">
        <v>376</v>
      </c>
      <c r="D20" s="788"/>
      <c r="E20" s="788"/>
      <c r="F20" s="788"/>
      <c r="G20" s="788"/>
      <c r="H20" s="788"/>
      <c r="I20" s="788"/>
      <c r="J20" s="788"/>
      <c r="K20" s="788"/>
      <c r="L20" s="788"/>
      <c r="M20" s="788"/>
      <c r="N20" s="788"/>
      <c r="O20" s="788"/>
      <c r="P20" s="741"/>
      <c r="Q20" s="738" t="s">
        <v>377</v>
      </c>
      <c r="R20" s="950"/>
      <c r="S20" s="950"/>
      <c r="T20" s="950"/>
      <c r="U20" s="950"/>
      <c r="V20" s="950"/>
      <c r="W20" s="950"/>
      <c r="X20" s="950"/>
      <c r="Y20" s="950"/>
      <c r="Z20" s="950"/>
      <c r="AA20" s="950"/>
      <c r="AB20" s="950"/>
      <c r="AC20" s="950"/>
      <c r="AD20" s="739"/>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3" ht="31.5" customHeight="1">
      <c r="A22" s="951" t="s">
        <v>378</v>
      </c>
      <c r="B22" s="952"/>
      <c r="C22" s="197">
        <v>78887973</v>
      </c>
      <c r="D22" s="195"/>
      <c r="E22" s="195"/>
      <c r="F22" s="195"/>
      <c r="G22" s="195"/>
      <c r="H22" s="195"/>
      <c r="I22" s="195"/>
      <c r="J22" s="195"/>
      <c r="K22" s="195"/>
      <c r="L22" s="195"/>
      <c r="M22" s="195"/>
      <c r="N22" s="195"/>
      <c r="O22" s="191"/>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5646797</v>
      </c>
      <c r="AC22" s="195">
        <f>SUM(Q22:AB22)</f>
        <v>2436169826</v>
      </c>
      <c r="AD22" s="202"/>
      <c r="AE22" s="565">
        <f>+AC22+'Metas 2'!AC22+'Meta 3'!AC22+'Meta 4'!AC22</f>
        <v>11590657000</v>
      </c>
      <c r="AF22" s="565">
        <f>+O22+'Metas 2'!O22+'Meta 3'!O22+'Meta 4'!O22</f>
        <v>0</v>
      </c>
      <c r="AG22" s="553"/>
    </row>
    <row r="23" spans="1:33" ht="31.5" customHeight="1">
      <c r="A23" s="953" t="s">
        <v>379</v>
      </c>
      <c r="B23" s="954"/>
      <c r="C23" s="192"/>
      <c r="D23" s="191"/>
      <c r="E23" s="191"/>
      <c r="F23" s="191"/>
      <c r="G23" s="191"/>
      <c r="H23" s="191"/>
      <c r="I23" s="191"/>
      <c r="J23" s="191"/>
      <c r="L23" s="191"/>
      <c r="M23" s="191"/>
      <c r="N23" s="191"/>
      <c r="O23" s="191"/>
      <c r="P23" s="211"/>
      <c r="Q23" s="192">
        <v>525838496</v>
      </c>
      <c r="R23" s="191">
        <v>142212061</v>
      </c>
      <c r="S23" s="191">
        <v>-18599798</v>
      </c>
      <c r="T23" s="191">
        <v>280733333</v>
      </c>
      <c r="U23" s="191">
        <v>809571614</v>
      </c>
      <c r="V23" s="191">
        <v>303435669</v>
      </c>
      <c r="W23" s="191">
        <v>77142505</v>
      </c>
      <c r="X23" s="191">
        <v>-12615008</v>
      </c>
      <c r="Y23" s="191">
        <v>59472799</v>
      </c>
      <c r="Z23" s="191">
        <v>9139200</v>
      </c>
      <c r="AA23" s="191">
        <v>120000000</v>
      </c>
      <c r="AB23" s="191">
        <v>139838955</v>
      </c>
      <c r="AC23" s="191">
        <f>SUM(Q23:AB23)</f>
        <v>2436169826</v>
      </c>
      <c r="AD23" s="447">
        <f>+AC23/AC22</f>
        <v>1</v>
      </c>
      <c r="AE23" s="565">
        <f>+AC23+'Metas 2'!AC23+'Meta 3'!AC23+'Meta 4'!AC23</f>
        <v>11464610979</v>
      </c>
      <c r="AF23" s="565">
        <f>+O23+'Metas 2'!O23+'Meta 3'!O23+'Meta 4'!O23</f>
        <v>0</v>
      </c>
      <c r="AG23" s="553"/>
    </row>
    <row r="24" spans="1:33" ht="31.5" customHeight="1">
      <c r="A24" s="953" t="s">
        <v>380</v>
      </c>
      <c r="B24" s="954"/>
      <c r="C24" s="403">
        <v>10197469</v>
      </c>
      <c r="D24" s="482">
        <v>10197469</v>
      </c>
      <c r="E24" s="482">
        <v>10197466</v>
      </c>
      <c r="F24" s="482">
        <v>23162555</v>
      </c>
      <c r="G24" s="191">
        <v>-9782202</v>
      </c>
      <c r="H24" s="191">
        <v>25133014</v>
      </c>
      <c r="I24" s="191"/>
      <c r="J24" s="191">
        <v>-1</v>
      </c>
      <c r="K24" s="191">
        <v>0</v>
      </c>
      <c r="L24" s="191">
        <v>0</v>
      </c>
      <c r="N24" s="191">
        <v>-18430876</v>
      </c>
      <c r="O24" s="191">
        <f>SUM(C24:N24)</f>
        <v>50674894</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200144328</v>
      </c>
      <c r="AC24" s="191">
        <f>SUM(Q24:AB24)</f>
        <v>2436169826</v>
      </c>
      <c r="AD24" s="447"/>
      <c r="AE24" s="565">
        <f>+AC24+'Metas 2'!AC24+'Meta 3'!AC24+'Meta 4'!AC24</f>
        <v>11590657000</v>
      </c>
      <c r="AF24" s="565">
        <f>+O24+'Metas 2'!O24+'Meta 3'!O24+'Meta 4'!O24</f>
        <v>89537600</v>
      </c>
      <c r="AG24" s="553"/>
    </row>
    <row r="25" spans="1:33" ht="31.5" customHeight="1" thickBot="1">
      <c r="A25" s="956" t="s">
        <v>381</v>
      </c>
      <c r="B25" s="957"/>
      <c r="C25" s="193">
        <v>10197469</v>
      </c>
      <c r="D25" s="194">
        <v>10197468</v>
      </c>
      <c r="E25" s="194">
        <v>10197468</v>
      </c>
      <c r="F25" s="194"/>
      <c r="G25" s="194">
        <v>5893653</v>
      </c>
      <c r="H25" s="194">
        <v>0</v>
      </c>
      <c r="I25" s="194">
        <v>4188836</v>
      </c>
      <c r="J25" s="194">
        <v>0</v>
      </c>
      <c r="K25" s="194">
        <v>0</v>
      </c>
      <c r="L25" s="194">
        <v>0</v>
      </c>
      <c r="M25" s="194"/>
      <c r="N25" s="194"/>
      <c r="O25" s="194">
        <f>SUM(C25:N25)</f>
        <v>40674894</v>
      </c>
      <c r="P25" s="446">
        <f>+O25/O24</f>
        <v>0.8026636227398917</v>
      </c>
      <c r="Q25" s="193">
        <v>0</v>
      </c>
      <c r="R25" s="194">
        <v>12534268</v>
      </c>
      <c r="S25" s="194">
        <v>47306463</v>
      </c>
      <c r="T25" s="194">
        <v>54973130</v>
      </c>
      <c r="U25" s="194">
        <v>367685375</v>
      </c>
      <c r="V25" s="194">
        <v>54973130</v>
      </c>
      <c r="W25" s="194">
        <v>878270026</v>
      </c>
      <c r="X25" s="194">
        <v>123829135</v>
      </c>
      <c r="Y25" s="194">
        <v>133808904</v>
      </c>
      <c r="Z25" s="194">
        <v>124086882</v>
      </c>
      <c r="AA25" s="194">
        <v>129112291</v>
      </c>
      <c r="AB25" s="194">
        <v>310892266</v>
      </c>
      <c r="AC25" s="194">
        <f>SUM(Q25:AB25)</f>
        <v>2237471870</v>
      </c>
      <c r="AD25" s="448">
        <f>+AC25/AC24</f>
        <v>0.9184383806582784</v>
      </c>
      <c r="AE25" s="565">
        <f>+AC25+'Metas 2'!AC25+'Meta 3'!AC25+'Meta 4'!AC25</f>
        <v>10777753003</v>
      </c>
      <c r="AF25" s="565">
        <f>+O25+'Metas 2'!O25+'Meta 3'!O25+'Meta 4'!O25</f>
        <v>79537600</v>
      </c>
      <c r="AG25" s="553"/>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58" t="s">
        <v>76</v>
      </c>
      <c r="B27" s="959"/>
      <c r="C27" s="960"/>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1"/>
    </row>
    <row r="28" spans="1:30" ht="15" customHeight="1">
      <c r="A28" s="962" t="s">
        <v>189</v>
      </c>
      <c r="B28" s="964" t="s">
        <v>6</v>
      </c>
      <c r="C28" s="965"/>
      <c r="D28" s="954" t="s">
        <v>398</v>
      </c>
      <c r="E28" s="968"/>
      <c r="F28" s="968"/>
      <c r="G28" s="968"/>
      <c r="H28" s="968"/>
      <c r="I28" s="968"/>
      <c r="J28" s="968"/>
      <c r="K28" s="968"/>
      <c r="L28" s="968"/>
      <c r="M28" s="968"/>
      <c r="N28" s="968"/>
      <c r="O28" s="969"/>
      <c r="P28" s="955" t="s">
        <v>8</v>
      </c>
      <c r="Q28" s="955" t="s">
        <v>84</v>
      </c>
      <c r="R28" s="955"/>
      <c r="S28" s="955"/>
      <c r="T28" s="955"/>
      <c r="U28" s="955"/>
      <c r="V28" s="955"/>
      <c r="W28" s="955"/>
      <c r="X28" s="955"/>
      <c r="Y28" s="955"/>
      <c r="Z28" s="955"/>
      <c r="AA28" s="955"/>
      <c r="AB28" s="955"/>
      <c r="AC28" s="955"/>
      <c r="AD28" s="970"/>
    </row>
    <row r="29" spans="1:30" ht="27" customHeight="1">
      <c r="A29" s="963"/>
      <c r="B29" s="966"/>
      <c r="C29" s="967"/>
      <c r="D29" s="281" t="s">
        <v>39</v>
      </c>
      <c r="E29" s="281" t="s">
        <v>40</v>
      </c>
      <c r="F29" s="281" t="s">
        <v>41</v>
      </c>
      <c r="G29" s="281" t="s">
        <v>42</v>
      </c>
      <c r="H29" s="281" t="s">
        <v>43</v>
      </c>
      <c r="I29" s="281" t="s">
        <v>44</v>
      </c>
      <c r="J29" s="281" t="s">
        <v>45</v>
      </c>
      <c r="K29" s="281" t="s">
        <v>46</v>
      </c>
      <c r="L29" s="281" t="s">
        <v>47</v>
      </c>
      <c r="M29" s="281" t="s">
        <v>48</v>
      </c>
      <c r="N29" s="281" t="s">
        <v>49</v>
      </c>
      <c r="O29" s="281" t="s">
        <v>50</v>
      </c>
      <c r="P29" s="969"/>
      <c r="Q29" s="955"/>
      <c r="R29" s="955"/>
      <c r="S29" s="955"/>
      <c r="T29" s="955"/>
      <c r="U29" s="955"/>
      <c r="V29" s="955"/>
      <c r="W29" s="955"/>
      <c r="X29" s="955"/>
      <c r="Y29" s="955"/>
      <c r="Z29" s="955"/>
      <c r="AA29" s="955"/>
      <c r="AB29" s="955"/>
      <c r="AC29" s="955"/>
      <c r="AD29" s="970"/>
    </row>
    <row r="30" spans="1:30" ht="65.25" customHeight="1" thickBot="1">
      <c r="A30" s="330" t="str">
        <f>C17</f>
        <v>Avanzar en el 80% en las políticas de Gobierno Digital y Seguridad Digital contenidas en la Dimensión Gestión con valores para Resultados</v>
      </c>
      <c r="B30" s="977" t="s">
        <v>450</v>
      </c>
      <c r="C30" s="978"/>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79"/>
      <c r="R30" s="979"/>
      <c r="S30" s="979"/>
      <c r="T30" s="979"/>
      <c r="U30" s="979"/>
      <c r="V30" s="979"/>
      <c r="W30" s="979"/>
      <c r="X30" s="979"/>
      <c r="Y30" s="979"/>
      <c r="Z30" s="979"/>
      <c r="AA30" s="979"/>
      <c r="AB30" s="979"/>
      <c r="AC30" s="979"/>
      <c r="AD30" s="980"/>
    </row>
    <row r="31" spans="1:30" ht="45" customHeight="1">
      <c r="A31" s="909" t="s">
        <v>292</v>
      </c>
      <c r="B31" s="910"/>
      <c r="C31" s="910"/>
      <c r="D31" s="910"/>
      <c r="E31" s="910"/>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1"/>
    </row>
    <row r="32" spans="1:41" ht="22.5" customHeight="1">
      <c r="A32" s="953" t="s">
        <v>190</v>
      </c>
      <c r="B32" s="955" t="s">
        <v>62</v>
      </c>
      <c r="C32" s="955" t="s">
        <v>6</v>
      </c>
      <c r="D32" s="955" t="s">
        <v>60</v>
      </c>
      <c r="E32" s="955"/>
      <c r="F32" s="955"/>
      <c r="G32" s="955"/>
      <c r="H32" s="955"/>
      <c r="I32" s="955"/>
      <c r="J32" s="955"/>
      <c r="K32" s="955"/>
      <c r="L32" s="955"/>
      <c r="M32" s="955"/>
      <c r="N32" s="955"/>
      <c r="O32" s="955"/>
      <c r="P32" s="955"/>
      <c r="Q32" s="955" t="s">
        <v>85</v>
      </c>
      <c r="R32" s="955"/>
      <c r="S32" s="955"/>
      <c r="T32" s="955"/>
      <c r="U32" s="955"/>
      <c r="V32" s="955"/>
      <c r="W32" s="955"/>
      <c r="X32" s="955"/>
      <c r="Y32" s="955"/>
      <c r="Z32" s="955"/>
      <c r="AA32" s="955"/>
      <c r="AB32" s="955"/>
      <c r="AC32" s="955"/>
      <c r="AD32" s="970"/>
      <c r="AG32" s="90"/>
      <c r="AH32" s="90"/>
      <c r="AI32" s="90"/>
      <c r="AJ32" s="90"/>
      <c r="AK32" s="90"/>
      <c r="AL32" s="90"/>
      <c r="AM32" s="90"/>
      <c r="AN32" s="90"/>
      <c r="AO32" s="90"/>
    </row>
    <row r="33" spans="1:41" ht="27" customHeight="1">
      <c r="A33" s="953"/>
      <c r="B33" s="955"/>
      <c r="C33" s="981"/>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55" t="s">
        <v>403</v>
      </c>
      <c r="R33" s="955"/>
      <c r="S33" s="955"/>
      <c r="T33" s="955" t="s">
        <v>406</v>
      </c>
      <c r="U33" s="955"/>
      <c r="V33" s="955"/>
      <c r="W33" s="966" t="s">
        <v>81</v>
      </c>
      <c r="X33" s="987"/>
      <c r="Y33" s="987"/>
      <c r="Z33" s="967"/>
      <c r="AA33" s="966" t="s">
        <v>82</v>
      </c>
      <c r="AB33" s="987"/>
      <c r="AC33" s="987"/>
      <c r="AD33" s="988"/>
      <c r="AG33" s="90"/>
      <c r="AH33" s="90"/>
      <c r="AI33" s="90"/>
      <c r="AJ33" s="90"/>
      <c r="AK33" s="90"/>
      <c r="AL33" s="90"/>
      <c r="AM33" s="90"/>
      <c r="AN33" s="90"/>
      <c r="AO33" s="90"/>
    </row>
    <row r="34" spans="1:41" ht="288.75" customHeight="1">
      <c r="A34" s="989" t="s">
        <v>624</v>
      </c>
      <c r="B34" s="991">
        <f>+AC17</f>
        <v>0.21</v>
      </c>
      <c r="C34" s="284" t="s">
        <v>9</v>
      </c>
      <c r="D34" s="177">
        <f>((D38*($B$38/$B$34))+(D40*($B$40/$B$34))+(D42*($B$42/$B$34)))*$P$34</f>
        <v>0.013600000000000001</v>
      </c>
      <c r="E34" s="177">
        <f aca="true" t="shared" si="0" ref="E34:O34">((E38*($B$38/$B$34))+(E40*($B$40/$B$34))+(E42*($B$42/$B$34)))*$P$34</f>
        <v>0.013600000000000001</v>
      </c>
      <c r="F34" s="177">
        <f t="shared" si="0"/>
        <v>0.015300000000000001</v>
      </c>
      <c r="G34" s="177">
        <f t="shared" si="0"/>
        <v>0.013600000000000001</v>
      </c>
      <c r="H34" s="177">
        <f t="shared" si="0"/>
        <v>0.013600000000000001</v>
      </c>
      <c r="I34" s="177">
        <f t="shared" si="0"/>
        <v>0.015300000000000001</v>
      </c>
      <c r="J34" s="177">
        <f t="shared" si="0"/>
        <v>0.013600000000000001</v>
      </c>
      <c r="K34" s="177">
        <f t="shared" si="0"/>
        <v>0.013600000000000001</v>
      </c>
      <c r="L34" s="177">
        <f t="shared" si="0"/>
        <v>0.015300000000000001</v>
      </c>
      <c r="M34" s="177">
        <f t="shared" si="0"/>
        <v>0.013600000000000001</v>
      </c>
      <c r="N34" s="177">
        <f t="shared" si="0"/>
        <v>0.013600000000000001</v>
      </c>
      <c r="O34" s="177">
        <f t="shared" si="0"/>
        <v>0.015300000000000001</v>
      </c>
      <c r="P34" s="177">
        <v>0.17</v>
      </c>
      <c r="Q34" s="993" t="s">
        <v>931</v>
      </c>
      <c r="R34" s="972"/>
      <c r="S34" s="994"/>
      <c r="T34" s="971" t="s">
        <v>932</v>
      </c>
      <c r="U34" s="972"/>
      <c r="V34" s="994"/>
      <c r="W34" s="996" t="s">
        <v>933</v>
      </c>
      <c r="X34" s="997"/>
      <c r="Y34" s="997"/>
      <c r="Z34" s="998"/>
      <c r="AA34" s="971" t="s">
        <v>934</v>
      </c>
      <c r="AB34" s="972"/>
      <c r="AC34" s="972"/>
      <c r="AD34" s="973"/>
      <c r="AG34" s="90"/>
      <c r="AH34" s="90"/>
      <c r="AI34" s="90"/>
      <c r="AJ34" s="90"/>
      <c r="AK34" s="90"/>
      <c r="AL34" s="90"/>
      <c r="AM34" s="90"/>
      <c r="AN34" s="90"/>
      <c r="AO34" s="90"/>
    </row>
    <row r="35" spans="1:41" ht="288.75" customHeight="1" thickBot="1">
      <c r="A35" s="990"/>
      <c r="B35" s="992"/>
      <c r="C35" s="285" t="s">
        <v>10</v>
      </c>
      <c r="D35" s="412">
        <f>((D39*($B$38/$B$34))+(D41*($B$40/$B$34))+(D43*($B$42/$B$34)))*$P$34</f>
        <v>0.013600000000000001</v>
      </c>
      <c r="E35" s="412">
        <f aca="true" t="shared" si="1" ref="E35:N35">((E39*($B$38/$B$34))+(E41*($B$40/$B$34))+(E43*($B$42/$B$34)))*$P$34</f>
        <v>0.011009523809523811</v>
      </c>
      <c r="F35" s="412">
        <f t="shared" si="1"/>
        <v>0.012385714285714285</v>
      </c>
      <c r="G35" s="412">
        <f t="shared" si="1"/>
        <v>0.011009523809523811</v>
      </c>
      <c r="H35" s="412">
        <f t="shared" si="1"/>
        <v>0.011009523809523811</v>
      </c>
      <c r="I35" s="474">
        <f t="shared" si="1"/>
        <v>0.015300000000000001</v>
      </c>
      <c r="J35" s="474">
        <f t="shared" si="1"/>
        <v>0.013600000000000001</v>
      </c>
      <c r="K35" s="474">
        <f t="shared" si="1"/>
        <v>0.013600000000000001</v>
      </c>
      <c r="L35" s="474">
        <f t="shared" si="1"/>
        <v>0.015300000000000001</v>
      </c>
      <c r="M35" s="474">
        <f t="shared" si="1"/>
        <v>0.013600000000000001</v>
      </c>
      <c r="N35" s="474">
        <f t="shared" si="1"/>
        <v>0.013600000000000001</v>
      </c>
      <c r="O35" s="474">
        <v>0.03</v>
      </c>
      <c r="P35" s="178">
        <f>SUM(D35:O35)</f>
        <v>0.17401428571428573</v>
      </c>
      <c r="Q35" s="974"/>
      <c r="R35" s="975"/>
      <c r="S35" s="995"/>
      <c r="T35" s="974"/>
      <c r="U35" s="975"/>
      <c r="V35" s="995"/>
      <c r="W35" s="999"/>
      <c r="X35" s="1000"/>
      <c r="Y35" s="1000"/>
      <c r="Z35" s="1001"/>
      <c r="AA35" s="974"/>
      <c r="AB35" s="975"/>
      <c r="AC35" s="975"/>
      <c r="AD35" s="976"/>
      <c r="AE35" s="50"/>
      <c r="AG35" s="90"/>
      <c r="AH35" s="90"/>
      <c r="AI35" s="90"/>
      <c r="AJ35" s="90"/>
      <c r="AK35" s="90"/>
      <c r="AL35" s="90"/>
      <c r="AM35" s="90"/>
      <c r="AN35" s="90"/>
      <c r="AO35" s="90"/>
    </row>
    <row r="36" spans="1:41" ht="25.5" customHeight="1">
      <c r="A36" s="1009" t="s">
        <v>191</v>
      </c>
      <c r="B36" s="1011" t="s">
        <v>61</v>
      </c>
      <c r="C36" s="952" t="s">
        <v>11</v>
      </c>
      <c r="D36" s="1013"/>
      <c r="E36" s="1013"/>
      <c r="F36" s="1013"/>
      <c r="G36" s="1013"/>
      <c r="H36" s="1013"/>
      <c r="I36" s="1013"/>
      <c r="J36" s="1013"/>
      <c r="K36" s="1013"/>
      <c r="L36" s="1013"/>
      <c r="M36" s="1013"/>
      <c r="N36" s="1013"/>
      <c r="O36" s="1013"/>
      <c r="P36" s="1014"/>
      <c r="Q36" s="952" t="s">
        <v>78</v>
      </c>
      <c r="R36" s="1013"/>
      <c r="S36" s="1013"/>
      <c r="T36" s="1013"/>
      <c r="U36" s="1013"/>
      <c r="V36" s="1013"/>
      <c r="W36" s="1013"/>
      <c r="X36" s="1013"/>
      <c r="Y36" s="1013"/>
      <c r="Z36" s="1013"/>
      <c r="AA36" s="1013"/>
      <c r="AB36" s="1013"/>
      <c r="AC36" s="1013"/>
      <c r="AD36" s="1015"/>
      <c r="AG36" s="90"/>
      <c r="AH36" s="90"/>
      <c r="AI36" s="90"/>
      <c r="AJ36" s="90"/>
      <c r="AK36" s="90"/>
      <c r="AL36" s="90"/>
      <c r="AM36" s="90"/>
      <c r="AN36" s="90"/>
      <c r="AO36" s="90"/>
    </row>
    <row r="37" spans="1:41" ht="42.75" customHeight="1">
      <c r="A37" s="1010"/>
      <c r="B37" s="1012"/>
      <c r="C37" s="486" t="s">
        <v>12</v>
      </c>
      <c r="D37" s="486" t="s">
        <v>36</v>
      </c>
      <c r="E37" s="486" t="s">
        <v>37</v>
      </c>
      <c r="F37" s="486" t="s">
        <v>38</v>
      </c>
      <c r="G37" s="486" t="s">
        <v>51</v>
      </c>
      <c r="H37" s="486" t="s">
        <v>52</v>
      </c>
      <c r="I37" s="486" t="s">
        <v>53</v>
      </c>
      <c r="J37" s="486" t="s">
        <v>54</v>
      </c>
      <c r="K37" s="486" t="s">
        <v>55</v>
      </c>
      <c r="L37" s="486" t="s">
        <v>56</v>
      </c>
      <c r="M37" s="486" t="s">
        <v>57</v>
      </c>
      <c r="N37" s="486" t="s">
        <v>58</v>
      </c>
      <c r="O37" s="486" t="s">
        <v>59</v>
      </c>
      <c r="P37" s="486" t="s">
        <v>63</v>
      </c>
      <c r="Q37" s="954" t="s">
        <v>83</v>
      </c>
      <c r="R37" s="968"/>
      <c r="S37" s="968"/>
      <c r="T37" s="968"/>
      <c r="U37" s="968"/>
      <c r="V37" s="968"/>
      <c r="W37" s="968"/>
      <c r="X37" s="968"/>
      <c r="Y37" s="968"/>
      <c r="Z37" s="968"/>
      <c r="AA37" s="968"/>
      <c r="AB37" s="968"/>
      <c r="AC37" s="968"/>
      <c r="AD37" s="1016"/>
      <c r="AG37" s="98"/>
      <c r="AH37" s="98"/>
      <c r="AI37" s="98"/>
      <c r="AJ37" s="98"/>
      <c r="AK37" s="98"/>
      <c r="AL37" s="98"/>
      <c r="AM37" s="98"/>
      <c r="AN37" s="98"/>
      <c r="AO37" s="98"/>
    </row>
    <row r="38" spans="1:41" ht="282.75" customHeight="1">
      <c r="A38" s="982" t="s">
        <v>625</v>
      </c>
      <c r="B38" s="984">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2" ref="P38:P43">SUM(D38:O38)</f>
        <v>0.9999999999999998</v>
      </c>
      <c r="Q38" s="986" t="s">
        <v>935</v>
      </c>
      <c r="R38" s="881"/>
      <c r="S38" s="881"/>
      <c r="T38" s="881"/>
      <c r="U38" s="881"/>
      <c r="V38" s="881"/>
      <c r="W38" s="881"/>
      <c r="X38" s="881"/>
      <c r="Y38" s="881"/>
      <c r="Z38" s="881"/>
      <c r="AA38" s="881"/>
      <c r="AB38" s="881"/>
      <c r="AC38" s="881"/>
      <c r="AD38" s="882"/>
      <c r="AE38" s="287"/>
      <c r="AG38" s="102"/>
      <c r="AH38" s="102"/>
      <c r="AI38" s="102"/>
      <c r="AJ38" s="102"/>
      <c r="AK38" s="102"/>
      <c r="AL38" s="102"/>
      <c r="AM38" s="102"/>
      <c r="AN38" s="102"/>
      <c r="AO38" s="102"/>
    </row>
    <row r="39" spans="1:31" ht="312.75" customHeight="1">
      <c r="A39" s="983"/>
      <c r="B39" s="985"/>
      <c r="C39" s="288" t="s">
        <v>10</v>
      </c>
      <c r="D39" s="104">
        <v>0.08</v>
      </c>
      <c r="E39" s="104">
        <v>0</v>
      </c>
      <c r="F39" s="104">
        <v>0</v>
      </c>
      <c r="G39" s="104">
        <v>0</v>
      </c>
      <c r="H39" s="104">
        <v>0</v>
      </c>
      <c r="I39" s="104">
        <v>0.09</v>
      </c>
      <c r="J39" s="104">
        <v>0.08</v>
      </c>
      <c r="K39" s="104">
        <v>0.08</v>
      </c>
      <c r="L39" s="104">
        <v>0.09</v>
      </c>
      <c r="M39" s="104">
        <v>0.08</v>
      </c>
      <c r="N39" s="104">
        <v>0.08</v>
      </c>
      <c r="O39" s="104">
        <v>0.42</v>
      </c>
      <c r="P39" s="289">
        <f t="shared" si="2"/>
        <v>1</v>
      </c>
      <c r="Q39" s="880" t="s">
        <v>936</v>
      </c>
      <c r="R39" s="881"/>
      <c r="S39" s="881"/>
      <c r="T39" s="881"/>
      <c r="U39" s="881"/>
      <c r="V39" s="881"/>
      <c r="W39" s="881"/>
      <c r="X39" s="881"/>
      <c r="Y39" s="881"/>
      <c r="Z39" s="881"/>
      <c r="AA39" s="881"/>
      <c r="AB39" s="881"/>
      <c r="AC39" s="881"/>
      <c r="AD39" s="882"/>
      <c r="AE39" s="287"/>
    </row>
    <row r="40" spans="1:31" ht="301.5" customHeight="1">
      <c r="A40" s="982" t="s">
        <v>626</v>
      </c>
      <c r="B40" s="984">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2"/>
        <v>0.9999999999999998</v>
      </c>
      <c r="Q40" s="883" t="s">
        <v>937</v>
      </c>
      <c r="R40" s="884"/>
      <c r="S40" s="884"/>
      <c r="T40" s="884"/>
      <c r="U40" s="884"/>
      <c r="V40" s="884"/>
      <c r="W40" s="884"/>
      <c r="X40" s="884"/>
      <c r="Y40" s="884"/>
      <c r="Z40" s="884"/>
      <c r="AA40" s="884"/>
      <c r="AB40" s="884"/>
      <c r="AC40" s="884"/>
      <c r="AD40" s="885"/>
      <c r="AE40" s="287"/>
    </row>
    <row r="41" spans="1:31" ht="301.5" customHeight="1">
      <c r="A41" s="983"/>
      <c r="B41" s="985"/>
      <c r="C41" s="288" t="s">
        <v>10</v>
      </c>
      <c r="D41" s="104">
        <v>0.08</v>
      </c>
      <c r="E41" s="104">
        <v>0.08</v>
      </c>
      <c r="F41" s="104">
        <v>0.09</v>
      </c>
      <c r="G41" s="104">
        <v>0.08</v>
      </c>
      <c r="H41" s="104">
        <v>0.08</v>
      </c>
      <c r="I41" s="104">
        <v>0.09</v>
      </c>
      <c r="J41" s="104">
        <v>0.08</v>
      </c>
      <c r="K41" s="104">
        <v>0.08</v>
      </c>
      <c r="L41" s="108">
        <v>0.09</v>
      </c>
      <c r="M41" s="108">
        <v>0.08</v>
      </c>
      <c r="N41" s="108">
        <v>0.08</v>
      </c>
      <c r="O41" s="108">
        <v>0.09</v>
      </c>
      <c r="P41" s="289">
        <f t="shared" si="2"/>
        <v>0.9999999999999998</v>
      </c>
      <c r="Q41" s="886"/>
      <c r="R41" s="887"/>
      <c r="S41" s="887"/>
      <c r="T41" s="887"/>
      <c r="U41" s="887"/>
      <c r="V41" s="887"/>
      <c r="W41" s="887"/>
      <c r="X41" s="887"/>
      <c r="Y41" s="887"/>
      <c r="Z41" s="887"/>
      <c r="AA41" s="887"/>
      <c r="AB41" s="887"/>
      <c r="AC41" s="887"/>
      <c r="AD41" s="888"/>
      <c r="AE41" s="287"/>
    </row>
    <row r="42" spans="1:31" ht="131.25" customHeight="1">
      <c r="A42" s="982" t="s">
        <v>627</v>
      </c>
      <c r="B42" s="984">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2"/>
        <v>0.9999999999999998</v>
      </c>
      <c r="Q42" s="1004" t="s">
        <v>938</v>
      </c>
      <c r="R42" s="884"/>
      <c r="S42" s="884"/>
      <c r="T42" s="884"/>
      <c r="U42" s="884"/>
      <c r="V42" s="884"/>
      <c r="W42" s="884"/>
      <c r="X42" s="884"/>
      <c r="Y42" s="884"/>
      <c r="Z42" s="884"/>
      <c r="AA42" s="884"/>
      <c r="AB42" s="884"/>
      <c r="AC42" s="884"/>
      <c r="AD42" s="1005"/>
      <c r="AE42" s="287"/>
    </row>
    <row r="43" spans="1:31" ht="131.25" customHeight="1" thickBot="1">
      <c r="A43" s="1002"/>
      <c r="B43" s="1003"/>
      <c r="C43" s="285" t="s">
        <v>10</v>
      </c>
      <c r="D43" s="110">
        <v>0.08</v>
      </c>
      <c r="E43" s="110">
        <v>0.08</v>
      </c>
      <c r="F43" s="110">
        <v>0.09</v>
      </c>
      <c r="G43" s="110">
        <v>0.08</v>
      </c>
      <c r="H43" s="110">
        <v>0.08</v>
      </c>
      <c r="I43" s="110">
        <v>0.09</v>
      </c>
      <c r="J43" s="110">
        <v>0.08</v>
      </c>
      <c r="K43" s="110">
        <v>0.08</v>
      </c>
      <c r="L43" s="111">
        <v>0.09</v>
      </c>
      <c r="M43" s="111">
        <v>0.08</v>
      </c>
      <c r="N43" s="111">
        <v>0.08</v>
      </c>
      <c r="O43" s="111">
        <v>0.09</v>
      </c>
      <c r="P43" s="291">
        <f t="shared" si="2"/>
        <v>0.9999999999999998</v>
      </c>
      <c r="Q43" s="1006"/>
      <c r="R43" s="1007"/>
      <c r="S43" s="1007"/>
      <c r="T43" s="1007"/>
      <c r="U43" s="1007"/>
      <c r="V43" s="1007"/>
      <c r="W43" s="1007"/>
      <c r="X43" s="1007"/>
      <c r="Y43" s="1007"/>
      <c r="Z43" s="1007"/>
      <c r="AA43" s="1007"/>
      <c r="AB43" s="1007"/>
      <c r="AC43" s="1007"/>
      <c r="AD43" s="1008"/>
      <c r="AE43" s="287"/>
    </row>
  </sheetData>
  <sheetProtection/>
  <mergeCells count="80">
    <mergeCell ref="A40:A41"/>
    <mergeCell ref="B40:B41"/>
    <mergeCell ref="A42:A43"/>
    <mergeCell ref="B42:B43"/>
    <mergeCell ref="Q42:AD43"/>
    <mergeCell ref="A36:A37"/>
    <mergeCell ref="B36:B37"/>
    <mergeCell ref="C36:P36"/>
    <mergeCell ref="Q36:AD36"/>
    <mergeCell ref="Q37:AD37"/>
    <mergeCell ref="A38:A39"/>
    <mergeCell ref="B38:B39"/>
    <mergeCell ref="Q38:AD38"/>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B3:AA4"/>
    <mergeCell ref="AB3:AD3"/>
    <mergeCell ref="O7:P7"/>
    <mergeCell ref="M8:N8"/>
    <mergeCell ref="O8:P8"/>
    <mergeCell ref="M9:N9"/>
    <mergeCell ref="O9:P9"/>
    <mergeCell ref="AB4:AD4"/>
    <mergeCell ref="Q39:AD39"/>
    <mergeCell ref="Q40:AD41"/>
    <mergeCell ref="I7:J9"/>
    <mergeCell ref="K7:L9"/>
    <mergeCell ref="M7:N7"/>
    <mergeCell ref="A1:A4"/>
    <mergeCell ref="B1:AA1"/>
    <mergeCell ref="AB1:AD1"/>
    <mergeCell ref="B2:AA2"/>
    <mergeCell ref="AB2:AD2"/>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T34 AA34 Q34 W34 Q42 Q38:Q40">
      <formula1>2000</formula1>
    </dataValidation>
  </dataValidations>
  <printOptions/>
  <pageMargins left="0.25" right="0.25" top="0.75" bottom="0.75" header="0.3" footer="0.3"/>
  <pageSetup fitToHeight="1" fitToWidth="1" horizontalDpi="600" verticalDpi="600" orientation="landscape" scale="1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lastPrinted>2023-12-07T23:23:57Z</cp:lastPrinted>
  <dcterms:created xsi:type="dcterms:W3CDTF">2011-04-26T22:16:52Z</dcterms:created>
  <dcterms:modified xsi:type="dcterms:W3CDTF">2024-01-24T15:57:23Z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