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drawings/drawing7.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8.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drawings/drawing9.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0.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1.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drawings/drawing12.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980" firstSheet="8" activeTab="24"/>
  </bookViews>
  <sheets>
    <sheet name="Metas PA proyecto" sheetId="1" state="hidden" r:id="rId1"/>
    <sheet name="Meta 1..n" sheetId="2" state="hidden" r:id="rId2"/>
    <sheet name="Indicadores PA" sheetId="3" state="hidden" r:id="rId3"/>
    <sheet name="Territorialización PA" sheetId="4" state="hidden" r:id="rId4"/>
    <sheet name="Instructivo" sheetId="5" state="hidden" r:id="rId5"/>
    <sheet name="Generalidades" sheetId="6" state="hidden" r:id="rId6"/>
    <sheet name="RESERVA" sheetId="7" state="hidden" r:id="rId7"/>
    <sheet name="VIGENCIA" sheetId="8" state="hidden" r:id="rId8"/>
    <sheet name="Meta 1" sheetId="9" r:id="rId9"/>
    <sheet name="Metas 2" sheetId="10" r:id="rId10"/>
    <sheet name="Meta 3" sheetId="11" r:id="rId11"/>
    <sheet name="Meta 4" sheetId="12" r:id="rId12"/>
    <sheet name="META PDD" sheetId="13" state="hidden" r:id="rId13"/>
    <sheet name="1. Ind. PA - DE" sheetId="14" r:id="rId14"/>
    <sheet name="2. Ind PA - GT" sheetId="15" r:id="rId15"/>
    <sheet name="3. Ind PA - TH" sheetId="16" r:id="rId16"/>
    <sheet name="4. Ind PA - Planeación" sheetId="17" r:id="rId17"/>
    <sheet name="5. Ind PA - Seg Ev y C" sheetId="18" r:id="rId18"/>
    <sheet name="6. Ind PA - GD" sheetId="19" r:id="rId19"/>
    <sheet name="7. Ind PA - GF" sheetId="20" r:id="rId20"/>
    <sheet name="8. Ind PA - GA" sheetId="21" r:id="rId21"/>
    <sheet name="9. Ind PA - CDI" sheetId="22" r:id="rId22"/>
    <sheet name="10. Ind PA - Contratación" sheetId="23" r:id="rId23"/>
    <sheet name="11. Ind PA - AC" sheetId="24" r:id="rId24"/>
    <sheet name="12. Ind PA - OAJ" sheetId="25" r:id="rId25"/>
    <sheet name="Hoja13" sheetId="26" state="hidden" r:id="rId26"/>
    <sheet name="Hoja1" sheetId="27" state="hidden" r:id="rId27"/>
  </sheets>
  <externalReferences>
    <externalReference r:id="rId30"/>
  </externalReferences>
  <definedNames>
    <definedName name="_xlfn.IFERROR" hidden="1">#NAME?</definedName>
    <definedName name="_xlnm.Print_Area" localSheetId="13">'1. Ind. PA - DE'!$A$1:$AY$21</definedName>
    <definedName name="_xlnm.Print_Area" localSheetId="22">'10. Ind PA - Contratación'!$A$3:$AY$23</definedName>
    <definedName name="_xlnm.Print_Area" localSheetId="23">'11. Ind PA - AC'!$A$1:$AY$25</definedName>
    <definedName name="_xlnm.Print_Area" localSheetId="24">'12. Ind PA - OAJ'!$A$1:$AY$22</definedName>
    <definedName name="_xlnm.Print_Area" localSheetId="14">'2. Ind PA - GT'!$A$1:$AY$23</definedName>
    <definedName name="_xlnm.Print_Area" localSheetId="15">'3. Ind PA - TH'!$A$1:$AY$21</definedName>
    <definedName name="_xlnm.Print_Area" localSheetId="16">'4. Ind PA - Planeación'!$A$1:$AY$22</definedName>
    <definedName name="_xlnm.Print_Area" localSheetId="17">'5. Ind PA - Seg Ev y C'!$A$1:$AY$19</definedName>
    <definedName name="_xlnm.Print_Area" localSheetId="18">'6. Ind PA - GD'!$A$1:$AY$20</definedName>
    <definedName name="_xlnm.Print_Area" localSheetId="19">'7. Ind PA - GF'!$A$1:$AY$19</definedName>
    <definedName name="_xlnm.Print_Area" localSheetId="20">'8. Ind PA - GA'!$A$1:$AY$20</definedName>
    <definedName name="_xlnm.Print_Area" localSheetId="21">'9. Ind PA - CDI'!$A$1:$AY$18</definedName>
    <definedName name="_xlnm.Print_Area" localSheetId="8">'Meta 1'!$A$1:$AD$43</definedName>
    <definedName name="_xlnm.Print_Area" localSheetId="10">'Meta 3'!$A$1:$AD$43</definedName>
    <definedName name="_xlnm.Print_Area" localSheetId="11">'Meta 4'!$A$1:$AD$50</definedName>
    <definedName name="_xlnm.Print_Area" localSheetId="9">'Metas 2'!$A$1:$AD$49</definedName>
    <definedName name="_xlnm.Print_Area" localSheetId="0">'Metas PA proyecto'!$A$1:$AD$45</definedName>
  </definedNames>
  <calcPr fullCalcOnLoad="1"/>
</workbook>
</file>

<file path=xl/comments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0.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2.xml><?xml version="1.0" encoding="utf-8"?>
<comments xmlns="http://schemas.openxmlformats.org/spreadsheetml/2006/main">
  <authors>
    <author>Usuario de Microsoft Office</author>
    <author>Microsoft Office User</author>
    <author/>
  </authors>
  <commentList>
    <comment ref="O24" authorId="0">
      <text>
        <r>
          <rPr>
            <b/>
            <sz val="10"/>
            <rFont val="Calibri"/>
            <family val="2"/>
          </rPr>
          <t>Usuario de Microsoft Office:</t>
        </r>
        <r>
          <rPr>
            <sz val="10"/>
            <rFont val="Calibri"/>
            <family val="2"/>
          </rPr>
          <t xml:space="preserve">
Se tiene prevista la liberación de $2´200.000</t>
        </r>
      </text>
    </comment>
    <comment ref="C32"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4.xml><?xml version="1.0" encoding="utf-8"?>
<comments xmlns="http://schemas.openxmlformats.org/spreadsheetml/2006/main">
  <authors>
    <author>Microsoft Office User</author>
    <author>Usuario de Microsoft Office</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N13"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4"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5"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6"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7"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List>
</comments>
</file>

<file path=xl/comments15.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6.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7.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8.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9.xml><?xml version="1.0" encoding="utf-8"?>
<comments xmlns="http://schemas.openxmlformats.org/spreadsheetml/2006/main">
  <authors>
    <author>Microsoft Office User</author>
    <author>stefania vidal p</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W13" authorId="1">
      <text>
        <r>
          <rPr>
            <b/>
            <sz val="9"/>
            <rFont val="Tahoma"/>
            <family val="2"/>
          </rPr>
          <t>stefania vidal p:</t>
        </r>
        <r>
          <rPr>
            <sz val="9"/>
            <rFont val="Tahoma"/>
            <family val="2"/>
          </rPr>
          <t xml:space="preserve">
LA INFORMACIÓN A REPORTAR DEBE SER DE LOS 2 TRIMESTRES (1 ENERO - 30 DE JUNIO) NO SE DEBE ENUNCIAR EL MES MAYO. </t>
        </r>
      </text>
    </comment>
  </commentList>
</comments>
</file>

<file path=xl/comments2.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20.xml><?xml version="1.0" encoding="utf-8"?>
<comments xmlns="http://schemas.openxmlformats.org/spreadsheetml/2006/main">
  <authors>
    <author>Microsoft Office User</author>
    <author>nayla isaza</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W15" authorId="1">
      <text>
        <r>
          <rPr>
            <b/>
            <sz val="14"/>
            <rFont val="Tahoma"/>
            <family val="2"/>
          </rPr>
          <t>nayla isaza:</t>
        </r>
        <r>
          <rPr>
            <sz val="14"/>
            <rFont val="Tahoma"/>
            <family val="2"/>
          </rPr>
          <t xml:space="preserve">
CORTE A 31 DE AGOSTO</t>
        </r>
      </text>
    </comment>
  </commentList>
</comments>
</file>

<file path=xl/comments21.xml><?xml version="1.0" encoding="utf-8"?>
<comments xmlns="http://schemas.openxmlformats.org/spreadsheetml/2006/main">
  <authors>
    <author>Microsoft Office User</author>
    <author>Usuario de Microsoft Office</author>
    <author>stefania vidal p</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N15" authorId="1">
      <text>
        <r>
          <rPr>
            <b/>
            <sz val="10"/>
            <rFont val="Calibri"/>
            <family val="2"/>
          </rPr>
          <t>Usuario de Microsoft Office:</t>
        </r>
        <r>
          <rPr>
            <sz val="10"/>
            <rFont val="Calibri"/>
            <family val="2"/>
          </rPr>
          <t xml:space="preserve">
Se deben generar los reportes automáticos relevantes a la gestión de inventarios, calculo de depresiación y kardex consolidado. </t>
        </r>
      </text>
    </comment>
    <comment ref="AV14" authorId="2">
      <text>
        <r>
          <rPr>
            <b/>
            <sz val="9"/>
            <rFont val="Tahoma"/>
            <family val="0"/>
          </rPr>
          <t>stefania vidal p:</t>
        </r>
        <r>
          <rPr>
            <sz val="9"/>
            <rFont val="Tahoma"/>
            <family val="0"/>
          </rPr>
          <t xml:space="preserve">
Se indca que se realizó varias actividades en el mes de octubre, pero según el cronograma no se realizó nada en el mes que se reporta (Revisar casilla del mes de octubre, porcentaje de ejecución - Columna AQ y fila 14), diferente el caso, en que en el cronograma no se haya planificado un reporte, y efectivamente se haya realizado alguna actividad, por favor indicar.     </t>
        </r>
      </text>
    </comment>
  </commentList>
</comments>
</file>

<file path=xl/comments22.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3.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4.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5.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3.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List>
</comments>
</file>

<file path=xl/comments9.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<sst xmlns="http://schemas.openxmlformats.org/spreadsheetml/2006/main" count="3701" uniqueCount="1004">
  <si>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</si>
  <si>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</si>
  <si>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</si>
  <si>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</si>
  <si>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</si>
  <si>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</si>
  <si>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</si>
  <si>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</si>
  <si>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</si>
  <si>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</si>
  <si>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</si>
  <si>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</si>
  <si>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</si>
  <si>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</si>
  <si>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</si>
  <si>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</si>
  <si>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</si>
  <si>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</si>
  <si>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</si>
  <si>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</si>
  <si>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</si>
  <si>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</si>
  <si>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</si>
  <si>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</si>
  <si>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</si>
  <si>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</si>
  <si>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</si>
  <si>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</si>
  <si>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</si>
  <si>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</si>
  <si>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</si>
  <si>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</si>
  <si>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</si>
  <si>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</si>
  <si>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</si>
  <si>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</si>
  <si>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</si>
  <si>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</si>
  <si>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</si>
  <si>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</si>
  <si>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</si>
  <si>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</si>
  <si>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</si>
  <si>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</si>
  <si>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</si>
  <si>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</si>
  <si>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</si>
  <si>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</si>
  <si>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</si>
  <si>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</si>
  <si>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</si>
  <si>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</si>
  <si>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</si>
  <si>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</si>
  <si>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</si>
  <si>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</si>
  <si>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</si>
  <si>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</si>
  <si>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</si>
  <si>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</si>
  <si>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</si>
  <si>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</si>
  <si>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</si>
  <si>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</si>
  <si>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</si>
  <si>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</si>
  <si>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</si>
  <si>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</si>
  <si>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</si>
  <si>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</si>
  <si>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</si>
  <si>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</si>
  <si>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</si>
  <si>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</si>
  <si>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</si>
  <si>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</si>
  <si>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</si>
  <si>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</si>
  <si>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</si>
  <si>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</si>
  <si>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</si>
  <si>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</si>
  <si>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</si>
  <si>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</si>
  <si>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</si>
  <si>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</si>
  <si>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</si>
  <si>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</si>
  <si>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</si>
  <si>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</si>
  <si>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</si>
  <si>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</si>
  <si>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</si>
  <si>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</si>
  <si>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</si>
  <si>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</si>
  <si>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</si>
  <si>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</si>
  <si>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</si>
  <si>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</si>
  <si>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</si>
  <si>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</si>
  <si>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</si>
  <si>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</si>
  <si>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</si>
  <si>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</si>
  <si>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</si>
  <si>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</si>
  <si>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</si>
  <si>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</si>
  <si>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</si>
  <si>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</si>
  <si>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</si>
  <si>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</si>
  <si>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</si>
  <si>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</si>
  <si>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</si>
  <si>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</si>
  <si>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</si>
  <si>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</si>
  <si>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</si>
  <si>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</si>
  <si>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</si>
  <si>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</si>
  <si>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</si>
  <si>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</si>
  <si>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</si>
  <si>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</si>
  <si>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</si>
  <si>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</si>
  <si>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</si>
  <si>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</si>
  <si>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</si>
  <si>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</si>
  <si>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</si>
  <si>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</si>
  <si>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</si>
  <si>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</si>
  <si>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</si>
  <si>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</si>
  <si>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</si>
  <si>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</si>
  <si>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</si>
  <si>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</si>
  <si>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</si>
  <si>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</si>
  <si>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</si>
  <si>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</si>
  <si>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</si>
  <si>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</si>
  <si>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</si>
  <si>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</si>
  <si>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</si>
  <si>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</si>
  <si>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</si>
  <si>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</si>
  <si>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</si>
  <si>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</si>
  <si>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</si>
  <si>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</si>
  <si>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</si>
  <si>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</si>
  <si>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</si>
  <si>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</si>
  <si>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</si>
  <si>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</si>
  <si>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</si>
  <si>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</si>
  <si>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</si>
  <si>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</si>
  <si>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</si>
  <si>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</si>
  <si>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</si>
  <si>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</si>
  <si>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</si>
  <si>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</si>
  <si>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</si>
  <si>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</si>
  <si>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</si>
  <si>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</si>
  <si>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</si>
  <si>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</si>
  <si>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</si>
  <si>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</si>
  <si>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</si>
  <si>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</si>
  <si>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</si>
  <si>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</si>
  <si>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</si>
  <si>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</si>
  <si>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</si>
  <si>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</si>
  <si>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</si>
  <si>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</si>
  <si>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</si>
  <si>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</si>
  <si>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</si>
  <si>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</si>
  <si>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</si>
  <si>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</si>
  <si>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</si>
  <si>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</si>
  <si>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</si>
  <si>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</si>
  <si>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</si>
  <si>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</si>
  <si>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</si>
  <si>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</si>
  <si>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</si>
  <si>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</si>
  <si>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</si>
  <si>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</si>
  <si>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</si>
  <si>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</si>
  <si>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</si>
  <si>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</si>
  <si>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</si>
  <si>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</si>
  <si>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</si>
  <si>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</si>
  <si>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</si>
  <si>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</si>
  <si>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</si>
  <si>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</si>
  <si>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</si>
  <si>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</si>
  <si>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</si>
  <si>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</si>
  <si>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</si>
  <si>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</si>
  <si>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</si>
  <si>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</si>
  <si>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</si>
  <si>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</si>
  <si>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</si>
  <si>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</si>
  <si>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</si>
  <si>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</si>
  <si>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</si>
  <si>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</si>
  <si>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</si>
  <si>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</si>
  <si>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</si>
  <si>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</si>
  <si>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</si>
  <si>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</si>
  <si>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</si>
  <si>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</si>
  <si>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</si>
  <si>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</si>
  <si>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</si>
  <si>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</si>
  <si>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</si>
  <si>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</si>
  <si>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</si>
  <si>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</si>
  <si>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</si>
  <si>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</si>
  <si>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</si>
  <si>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</si>
  <si>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</si>
  <si>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</si>
  <si>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</si>
  <si>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</si>
  <si>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</si>
  <si>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</si>
  <si>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</si>
  <si>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</si>
  <si>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</si>
  <si>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</si>
  <si>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</si>
  <si>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</si>
  <si>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</si>
  <si>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</si>
  <si>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</si>
  <si>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</si>
  <si>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</si>
  <si>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</si>
  <si>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</si>
  <si>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</si>
  <si>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</si>
  <si>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</si>
  <si>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</si>
  <si>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</si>
  <si>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</si>
  <si>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</si>
  <si>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</si>
  <si>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</si>
  <si>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</si>
  <si>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</si>
  <si>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</si>
  <si>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</si>
  <si>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</si>
  <si>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</si>
  <si>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</si>
  <si>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</si>
  <si>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</si>
  <si>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</si>
  <si>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</si>
  <si>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</si>
  <si>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</si>
  <si>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</si>
  <si>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</si>
  <si>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</si>
  <si>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</si>
  <si>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</si>
  <si>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</si>
  <si>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</si>
  <si>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</si>
  <si>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</si>
  <si>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</si>
  <si>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</si>
  <si>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</si>
  <si>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</si>
  <si>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</si>
  <si>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</si>
  <si>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</si>
  <si>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</si>
  <si>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</si>
  <si>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</si>
  <si>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</si>
  <si>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</si>
  <si>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</si>
  <si>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</si>
  <si>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</si>
  <si>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</si>
  <si>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</si>
  <si>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</si>
  <si>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</si>
  <si>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</si>
  <si>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</si>
  <si>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</si>
  <si>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</si>
  <si>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</si>
  <si>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</si>
  <si>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</si>
  <si>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</si>
  <si>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</si>
  <si>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</si>
  <si>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</si>
  <si>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</si>
  <si>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</si>
  <si>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</si>
  <si>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</si>
  <si>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</si>
  <si>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</si>
  <si>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</si>
  <si>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</si>
  <si>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</si>
  <si>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</si>
  <si>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</si>
  <si>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</si>
  <si>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</si>
  <si>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</si>
  <si>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</si>
  <si>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</si>
  <si>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</si>
  <si>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</si>
  <si>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</si>
  <si>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</si>
  <si>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</si>
  <si>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</si>
  <si>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</si>
  <si>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</si>
  <si>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</si>
  <si>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</si>
  <si>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</si>
  <si>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</si>
  <si>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</si>
  <si>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</si>
  <si>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</si>
  <si>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</si>
  <si>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</si>
  <si>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</si>
  <si>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</si>
  <si>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</si>
  <si>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</si>
  <si>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</si>
  <si>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</si>
  <si>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</si>
  <si>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</si>
  <si>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</si>
  <si>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</si>
  <si>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</si>
  <si>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</si>
  <si>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</si>
  <si>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</si>
  <si>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</si>
  <si>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</si>
  <si>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</si>
  <si>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</si>
  <si>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</si>
  <si>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</si>
  <si>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</si>
  <si>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</si>
  <si>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</si>
  <si>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</si>
  <si>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</si>
  <si>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</si>
  <si>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</si>
  <si>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</si>
  <si>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</si>
  <si>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EXPLICACIÓN: En este campo se deberá diligenciar lo relacionando a las dificultades y alternativas de solución presentadas en el periodo en el que se dan. Cuando la ejecución del proyecto se encuentra acorde a lo programado, no se diligencia este campo o se incluye que el proyecto no presenta retrasos.</t>
  </si>
  <si>
    <t>Avances y Logros Mensual (2.000 caracteres)</t>
  </si>
  <si>
    <t>EXPLICACIÓN: En este campo se deberá diligenciar lo relacionando a los logros y avances del mes en coherencia con lo registrado en el avance cuantitativo de la meta (Columnas D a la O)</t>
  </si>
  <si>
    <t>EXPLICACIÓN: En este campo se deberá diligenciar lo relacionando a los logros y avances acumulados a la fecha del reporte en coherencia con lo registrado en el avance cuantitativo de la meta (Columnas P)</t>
  </si>
  <si>
    <t>Avances y Logros Acumulado 
(2.000 caracteres)</t>
  </si>
  <si>
    <t>EXPLICACIÓN: En este campo se deberá diligenciar lo relacionando con los beneficio, de forma acumulada e integrada.</t>
  </si>
  <si>
    <t xml:space="preserve"> EXPLICACIÓN: Este campo debe contener:
- El avance de la gestión mensual señalando las alertas que puedan afectar el cumplimiento de la actividad o producto, cuando aplique. 
- El avance acumulado y los productos obtenidos, indicando si se presentan retrasos y señalando las alternativas de solución que se implementarán.</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</si>
  <si>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</si>
  <si>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</si>
  <si>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</si>
  <si>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</si>
  <si>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</si>
  <si>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</si>
  <si>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</si>
  <si>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</si>
  <si>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</si>
  <si>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</si>
  <si>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</si>
  <si>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</si>
  <si>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</si>
  <si>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</si>
  <si>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</si>
  <si>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</si>
  <si>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X</t>
  </si>
  <si>
    <t>05 - Construir Bogotá Región con gobierno abierto, transparente y ciudadanía consciente</t>
  </si>
  <si>
    <t>Atención a la Ciudadanía</t>
  </si>
  <si>
    <t>Actualizar el 100% de la información relacionada al proceso de Atención a la Ciudadanía en plataformas virtuales (Portal Web Institucional y Guía de Trámites y Servicios de la Alcaldía Mayor de Bogotá D.C.).</t>
  </si>
  <si>
    <t>Porcentaje de actualizaciones de la información relacionada al proceso de Atención a la Ciudadanía en plataformas virtuales</t>
  </si>
  <si>
    <t>Suma</t>
  </si>
  <si>
    <t>%</t>
  </si>
  <si>
    <t>(No de actualizaciones desarrolladas en plataformas virtuales/No de actualizaciones programadas o solicitadas en plataformas virtuales)*100*(peso ponderado del periodo de medición)</t>
  </si>
  <si>
    <t>Trimestral</t>
  </si>
  <si>
    <t>Evidencias de actualización de la Información relacionada al proceso de Atención a la Ciudadanía en plataformas virtuales</t>
  </si>
  <si>
    <t>Desarrollar actividades para evaluar el cumplimiento de los aspectos de accesibilidad al medio físico en los puntos de atención a la ciudadanía.</t>
  </si>
  <si>
    <t xml:space="preserve">Desarrollo de actividades para evaluar el cumplimiento de los aspectos de accesibilidad al medio físico en los puntos de atención a la ciudadanía </t>
  </si>
  <si>
    <t>Número</t>
  </si>
  <si>
    <t>Número de informes de seguimiento</t>
  </si>
  <si>
    <t>Anual</t>
  </si>
  <si>
    <t xml:space="preserve">Informe de seguimiento al desarrollo de actividades para evaluar el cumplimiento de los aspectos de accesibilidad al medio físico en los puntos de atención a la ciudadanía </t>
  </si>
  <si>
    <t xml:space="preserve">Desarrollar mínimo 12 sensibilizaciones a servidoras/es y contratistas en temas de atención a la ciudadanía y gestión de peticiones ciudadanas. </t>
  </si>
  <si>
    <t>Número de sensibilizaciones a servidoras/es y contratistas en temas de atención a la ciudadanía y gestión de peticiones ciudadanas realizadas</t>
  </si>
  <si>
    <t>No de sensibilizaciones en temas de atención a la ciudadanía realizadas en el periodo de medición</t>
  </si>
  <si>
    <t>Cuatrimestral</t>
  </si>
  <si>
    <t>Evidencias del desarrollo de sensibilizaciones en temas de atención a la ciudadanía y gestión de peticiones ciudadanas</t>
  </si>
  <si>
    <t>Difundir mínimo 6 piezas comunicacionales para sensibilizar a las servidoras/es y contratistas en temas de atención a la ciudadanía y gestión de peticiones ciudadanas.</t>
  </si>
  <si>
    <t>Número de piezas comunicacionales para sensibilizar a las servidoras/es y contratistas en temas de atención a la ciudadanía y gestión de peticiones ciudadanas difundidas</t>
  </si>
  <si>
    <t>No de piezas de comunicación difundidas para sensibilizar a las servidoras/es y contratistas en temas de atención a la ciudadanía y gestión de peticiones ciudadanas en el periodo de medición</t>
  </si>
  <si>
    <t>Correos electrónicos
Boletinas</t>
  </si>
  <si>
    <t>N/A</t>
  </si>
  <si>
    <t>Realizar el seguimiento y revisión de los documentos asociados al proceso de Atención a la Ciudadanía para identificar su necesidad de actualización.</t>
  </si>
  <si>
    <t>Porcentaje de avance en la ejecución de las actividades programadas para el seguimiento y actualización a la documentación del proceso de atención a la ciudadanía.</t>
  </si>
  <si>
    <t>Constante</t>
  </si>
  <si>
    <t>(Número de actividades de seguimiento a la documentación realizadas en el periodo de medición/Número de actividades programadas o solicitadas de seguimiento a la documentación)*100</t>
  </si>
  <si>
    <t>Semestral</t>
  </si>
  <si>
    <t>Actas de reuniones realizadas para revisión documental</t>
  </si>
  <si>
    <t>Recibir, registrar, asignar y hacer seguimiento a la gestión de las peticiones ciudadanas (PQRS) y al manejo del Sistema Distrital para la Gestión de Peticiones Ciudadanas, Bogotá te escucha.</t>
  </si>
  <si>
    <t>Porcentaje de respuestas peticiones ciudadanas con respuesta oportuna de acuerdo con la normatividad vigente</t>
  </si>
  <si>
    <t>(No de peticiones ciudadanas atendidas oportunamente/No de peticiones ciudadana recibidas)</t>
  </si>
  <si>
    <t>Mensual</t>
  </si>
  <si>
    <t>Reportes de gestión de las peticiones ciudadanas (PQRS) en la Secretaría Distrital de la Mujer</t>
  </si>
  <si>
    <t>Participar en los espacios de articulación interinstitucional y promoción de la cooperación e intercambio de conocimientos en temas de atención a la ciudadanía de la Red Distrital de Quejas y Reclamos (Veeduría Distrital), Secretaría General de la Alcaldía Mayor de Bogotá, y otras entidades distritales y nacionales.</t>
  </si>
  <si>
    <t>Porcentaje de espacios de articulación interinstitucional y promoción de la cooperación e intercambio de conocimientos en temas de atención a la ciudadanía con participación de la SDMujer</t>
  </si>
  <si>
    <t>(Número de espacios de articulación interinstitucional con participación de la SDMujer en el periodo de medición/Número de espacios de articulación interinstitucional participaciones programados Red Distrital de Quejas y Reclamos (Veeduría Distrital), Secretaría General de la Alcaldía Mayor de Bogotá, y otras entidades distritales y nacionales.)</t>
  </si>
  <si>
    <t>Listados de asistencia</t>
  </si>
  <si>
    <t>Adoptar las sugerencias enviadas por la Dirección Distrital de Calidad del Servicio de la Secretaría General de la Alcaldía Mayor, las cuales son remitidas a la Entidad solo cuando se generan observaciones frente al cumplimiento de los criterios de calidad y oportunidad en la emisión de respuestas de PQRS y la operatividad del Sistema Distrital para la Gestión de Peticiones Ciudadanas - Bogotá te escucha.</t>
  </si>
  <si>
    <t>Reporte del seguimiento de la gestión realizada frente a las sugerencias de la Secretaría General de la Alcaldía Mayor de Bogotá relacionadas con la emisión de respuestas y la operatividad del Sistema Bogotá Te Escucha adoptadas</t>
  </si>
  <si>
    <t>No de Reporte del seguimiento de la gestión realizada frente a las sugerencias de la Secretaría General de la Alcaldía Mayor de Bogotá relacionadas con la emisión de respuestas y la operatividad del Sistema Bogotá Te Escucha adoptadas</t>
  </si>
  <si>
    <t>Informes de seguimiento a la adopción de las sugerencias relacionadas con la emisión de respuestas y la operatividad del sistema Bogotá Te Escucha</t>
  </si>
  <si>
    <t>Elaborar informes mensuales de seguimiento a la gestión de las peticiones ciudadanas.</t>
  </si>
  <si>
    <t>Informes de seguimiento a la gestión de las peticiones ciudadanas.</t>
  </si>
  <si>
    <t>No. de informes de seguimiento a la gestión de las peticiones ciudadanas.</t>
  </si>
  <si>
    <t>Informes mensuales de seguimiento</t>
  </si>
  <si>
    <t>Medir la satisfacción de la ciudadanía con respecto a la atención y retroalimentar sus resultados.</t>
  </si>
  <si>
    <t>Informes de medición de la satisfacción ciudadana con respecto a la atención de la SDMujer elaborados</t>
  </si>
  <si>
    <t>No de informes de medición de la satisfacción de la ciudadanía elaborados</t>
  </si>
  <si>
    <t xml:space="preserve">Informes de medición de la satisfacción de la cuidadanía </t>
  </si>
  <si>
    <t>Fecha de Emisión: 10 de enero de 2023</t>
  </si>
  <si>
    <t>Planeación y Gestión</t>
  </si>
  <si>
    <t>NA</t>
  </si>
  <si>
    <t xml:space="preserve">Soportar el 100% en la implementación del Modelo Integrado de Planeación y Gestión </t>
  </si>
  <si>
    <t>(No. acciones ejecutadas del plan de adecuación y sostenibilidad de MIPG durante el periodo de medición / No. de acciones totales del plan de adecuación y sostenibilidad de MIPG)*100</t>
  </si>
  <si>
    <t>Seguimiento al plan de adecuación y sostenibilidad de MIPG</t>
  </si>
  <si>
    <t>Efectuar el 100% de las solicitudes documentales de los procesos  que lo requieran para la mejora del sistema de gestión.</t>
  </si>
  <si>
    <t xml:space="preserve">((No. de solicitudes documentales atendidas  / No. Total de solicitudes recibidas)*100) </t>
  </si>
  <si>
    <t>Efectuar el 100% de los acompañamientos a los procesos  que lo requieran para la formulación de planes de mejoramiento derivados de las auditorias internas y externas.</t>
  </si>
  <si>
    <t xml:space="preserve">((No. de solicitudes de acompañamiento a la formulación de planes de mejoramiento atendidos / No. Total de solicitudes de acompañamiento recibidas)*100) </t>
  </si>
  <si>
    <t>Ejecutar el 100% del Plan Institucional de Gestión Ambiental - PIGA 2023</t>
  </si>
  <si>
    <t>(No. de actividades ejecutadas del Plan de Acción del PIGA durante el periodo de medición / No. de actividades programadas del Plan de Acción del PIGA) * 100</t>
  </si>
  <si>
    <t xml:space="preserve">Correos electrónicos y/o evidencias de reuniones, comunicaciones internas, externas y/o informes  </t>
  </si>
  <si>
    <t xml:space="preserve">Monitorear, orientar y acompañar al 100% de los procesos en las actividades de riesgos de corrupción, gestión y sarlaft </t>
  </si>
  <si>
    <t>(No. de procesos monitoreados, orientados y acompañados en actividades de riesgos / No. total de procesos) * 100</t>
  </si>
  <si>
    <t xml:space="preserve">Matriz de monitoreo, orientación y acompañamiento a riesgos </t>
  </si>
  <si>
    <t>Mantener actualizada al 100% la información que se debe publicar en el Botón de transparencia de acuerdo con la normatividad vigente</t>
  </si>
  <si>
    <t>(No. de publicaciones realizadas en Boton de Transparencia en el período de medición / No. de publicaciones solicitadas en el periodo de medición)* 100</t>
  </si>
  <si>
    <t>Matriz de seguimiento que refleje la actualización de información en el botón de transparencia en cada numeral y dependencia responsable.</t>
  </si>
  <si>
    <t>7662 - Fortalecimiento a la gestión institucional de la SDMujer en Bogotá</t>
  </si>
  <si>
    <t>Soportar al 100% la implementación de las políticas del Modelo Integrado de Planeación y Gestión</t>
  </si>
  <si>
    <t>Soportar la  implementación y mantenimiento del Sistema de Gestión en el marco de MIPG</t>
  </si>
  <si>
    <t>Implementar buenas prácticas de gestión en la Secretaría Distrital de la Mujer.</t>
  </si>
  <si>
    <t>Seguimiento Evaluación y Control</t>
  </si>
  <si>
    <t>Planear, ejecutar las auditorías programadas en el Plan Anual de Auditoría, asi como emitir y publicar el informe con los resultados.</t>
  </si>
  <si>
    <t>Informes de Auditoria elaborados, remitidos y publicados de acuerdo con el Plan Anual de Auditoría aprobado.</t>
  </si>
  <si>
    <t>Porcentaje</t>
  </si>
  <si>
    <t>(Número de Informes de auditoria emitidos/Número de Informes de auditoria programados)*100</t>
  </si>
  <si>
    <t>Informes de auditorías emitidos.</t>
  </si>
  <si>
    <t>Elaborar, remitir y publicar los informes de seguimiento establecidos en el Plan Anual de Auditoría aprobado.</t>
  </si>
  <si>
    <t>Informes de seguimiento elaborados, remitidos y publicados de acuerdo con el Plan Anual de Auditoría aprobado.</t>
  </si>
  <si>
    <t>(Número de Informes de seguimiento emitidos/Número de Informes de seguimiento programados)*100</t>
  </si>
  <si>
    <t>Informes de seguimiento emitidos.</t>
  </si>
  <si>
    <t>Elaborar, remitir y publicar los informes reglamentarios establecidos en el Plan Anual de Auditoría aprobado.</t>
  </si>
  <si>
    <t>Informes reglamentarios elaborados, remitidos y publicados de acuerdo con el Plan Anual de Auditoría aprobado.</t>
  </si>
  <si>
    <t>(Número de Informes reglamentarios emitidos/Número de Informes reglamentarios programados)*100</t>
  </si>
  <si>
    <t>Informes reglamentarios emitidos.</t>
  </si>
  <si>
    <t>Ejecutar actividades de consultoría (asesoría y aocmpañamiento) requeridas, que contribuyan al mejoramiento de la gestión y desempeño de la entidad.</t>
  </si>
  <si>
    <t>Actividades de consultoría (asesoría y aocmpañamiento) ejecutadas, que contribuyan al mejoramiento de la gestión y desempeño de la entidad.</t>
  </si>
  <si>
    <t>(Número de actividades  de consultoría que contribuyan al mejoramiento de la gestión y desempeño de la entidad ejecutadas/Número de actividades  de consultoría que contribuyan al mejoramiento de la gestión y desempeño de la entidad requeridas) * 100</t>
  </si>
  <si>
    <t>Formulación y seguimiento al Plan Anual de Auditoría; 
Actas de CICCI;
Actas del CDA; 
Actas de otras instancias internas y externas;
Evidencia de reuniones;
Actas de visitas;
 Documentos del proceso revisados.</t>
  </si>
  <si>
    <t>Control Disciplinario Interno</t>
  </si>
  <si>
    <t>Expedir cincuenta (50) decisiones de fondo dentro de los procesos disciplinarios iniciados en  2018, 2019, 2020, 2021, 2022 y 2023.</t>
  </si>
  <si>
    <t>Número de autos proferidos</t>
  </si>
  <si>
    <t>suma</t>
  </si>
  <si>
    <t>Autos</t>
  </si>
  <si>
    <t>Informe semestral de las decisones de fondo que son proferidas por la OCDI Sdmujer</t>
  </si>
  <si>
    <t>Informe semestral soportado a traves de una matriz de las decisones de fondo que son proferidas por la OCDI Sdmujer</t>
  </si>
  <si>
    <t>Adelantar veinte (20) jornadas de prevención de la falta disciplinaria dirigidas a servidoras, servidores y contratistas de la SDMujer.</t>
  </si>
  <si>
    <t>Número de jornadas de prevención.</t>
  </si>
  <si>
    <t>Jornadas</t>
  </si>
  <si>
    <t>Informe mensual de las diferentes jornadas adelantadas por la OCDI SDMujer</t>
  </si>
  <si>
    <t>Informe mensual de las diferentes jornadas de prevención  adelantadas por la OCDI SDMujer</t>
  </si>
  <si>
    <t>Realizar dos (2) Conversatorios de Derecho Disciplinario para servidoras, servidores y contratistas de la SDMujer.</t>
  </si>
  <si>
    <t>Número de Conversatorios de Derecho Disciplinario</t>
  </si>
  <si>
    <t>Conversatorios</t>
  </si>
  <si>
    <t>Gestión de Talento Humano</t>
  </si>
  <si>
    <t>Formular, ejecutar y evaluar el Plan de Bienestar Social, Estímulos e Incentivos en la Entidad, para la vigencia 2023.</t>
  </si>
  <si>
    <t>Porcentaje de actividades del Plan de Bienestar Social, Estímulos e Incentivos ejecutadas.</t>
  </si>
  <si>
    <t>(No. de actividades ejecutadas en el Plan de Bienestar Social, Estímulos e Incentivos durante el periodo de medición / No. de actividades programadas del Plan de Bienestar Social, Estímulos e Incentivos) *100</t>
  </si>
  <si>
    <t>TRIMESTRAL</t>
  </si>
  <si>
    <t>Actas, registros de asistencia, registros fotográficos, videos, piezas de comunicación, correos electrónicos, certificados, comunicaciones internas y externas, archivos de excel, presentaciones power point, invitaciones, entre otros, de las actividades ejecutadas.</t>
  </si>
  <si>
    <t>Plan Institucional de Capacitación - PIC.</t>
  </si>
  <si>
    <t>Formular, ejecutar y evaluar el Plan Institucional Capacitación - PIC, así como los programas de inducción y reinducción de la Secretaría Distrital de la Mujer, para la vigencia 2023.</t>
  </si>
  <si>
    <t>Porcentaje de actividades previstas en el Plan Institucional de Capacitación - PIC y de los programas de inducción y reinducción ejecutadas.</t>
  </si>
  <si>
    <t>(No. de actividades ejecutadas en el Plan Institucional de Capacitación - PIC durante el periodo de medición/ No. de actividades programadas en el Plan Institucional de Capacitación - PIC) *100</t>
  </si>
  <si>
    <t>Plan de Trabajo Anual en Seguridad y Salud en el Trabajo</t>
  </si>
  <si>
    <t>Formular, ejecutar y evaluar el Plan de Trabajo Anual en Seguridad y Salud en el Trabajo, así como desarrollar el Sistema de Gestión de Seguridad y Salud en el Trabajo, de acuerdo a la normatividad legal vigente en la Secretaría Distrital de la Mujer, para la vigencia 2023.</t>
  </si>
  <si>
    <t>Porcentaje de las actividades previstas en el Plan de Trabajo Anual de Seguridad y Salud en el Trabajo ejecutadas</t>
  </si>
  <si>
    <t>(No. de actividades ejecutadas en el Plan Anual de Seguridad y Salud en el Trabajo durante el periodo de medición / No. de actividades programadas en el Plan Anual de Seguridad y Salud en el Trabajo) *100</t>
  </si>
  <si>
    <t>Formular y ejecutar el Plan  de Gestión de Integridad establecido en el Componente de Iniciativas Adicionales del Plan de Anticorrupción y Atención a la Ciudadanía - PAAC, para la vigencia 2023.</t>
  </si>
  <si>
    <t>Porcentaje de las actividades previstas en el el Plan  de Gestión de Integridad establecido en el Componente de Iniciativas Adicionales del Plan de Anticorrupción y Atención a la Ciudadanía - PAAC ejecutadas.</t>
  </si>
  <si>
    <t>(No. de actividades ejecutadas en el Plan  de Gestión de Integridad establecido en el Componente de Iniciativas Adicionales del Plan de Anticorrupción y Atención a la Ciudadanía - PAAC durante el periodo de medición / No. de actividades programadas en el el Plan  de Gestión de Integridad establecido en el Componente de Iniciativas Adicionales del Plan de Anticorrupción y Atención a la Ciudadanía - PAAC) *100</t>
  </si>
  <si>
    <t>CUATRIMESTRAL</t>
  </si>
  <si>
    <t xml:space="preserve">Reporte de resultados de encuestas, de evaluaciones, actas de reuniones, registros de asistencia, presentaciones realizadas, videos, grabaciones, piezas de comunicación, actos administrativos, correos electrónicos, comunicaciones internas y externas, boletina, archivos de excel, archivos pdf, invitaciones, certificados, entre otros de las actividades ejecutadas. </t>
  </si>
  <si>
    <t>Dirección de Contratación</t>
  </si>
  <si>
    <t>Desarrollo del 100% de los procesos radicados en la Dirección de Contratación, que cumplan con todos los requisitos definidos en la normativa vigente.</t>
  </si>
  <si>
    <t>Porcentaje de estudios previos (procesos precontractuales) revisados</t>
  </si>
  <si>
    <t>(No. de estudios previos revisados en el periodo de medición / No. de estudios  previos recibidos en el periodo de medición)</t>
  </si>
  <si>
    <t>Estudios previos recibidos para revisión 
Estudios previos revisados remitidos al área solicitante</t>
  </si>
  <si>
    <t>Porcentaje de contratos firmados y legalizados</t>
  </si>
  <si>
    <t>(No. de contratos firmados y legalizados / No. de solicitudes de contratación recibidas)*100 (peso porcentual del periodo)</t>
  </si>
  <si>
    <t>Minutas (Secop II) de los Contratos Electrónicos y Minutas (Secop I) cuando aplique</t>
  </si>
  <si>
    <t>Porcentaje de procesos con pliegos de condiciones elaborados y publicados</t>
  </si>
  <si>
    <t>(No. de  pliegos de condiciones elabrorados y publicados / No. de estudios previos y anexos técnicos radicados para elaboración de pliego de condiciones)*100 (peso porcentual del periodo)</t>
  </si>
  <si>
    <t xml:space="preserve">Solicitudes de contratación radicadas
Pliegos publicados en SECOP </t>
  </si>
  <si>
    <t>Porcentaje de informes de seguimiento al PAABS elaborados y presentados</t>
  </si>
  <si>
    <t>(Numero de informes de seguimiento al PAABS elaborados y presentados en el periodo de medición/ Numero total de informes de seguimiento al PAABS a elaborar en la vigencia) * 100</t>
  </si>
  <si>
    <t>Informes de seguimiento al PAABS
Correos electrónicos 
Actas de reuniones de seguimiento.</t>
  </si>
  <si>
    <t>Porcentaje de respuestas a requerimientos emitidas.</t>
  </si>
  <si>
    <t>(No. De respuestas a requerimientos emitidas o expedidas / No. de requerimientos recibidos)*100 (peso porcentual del periodo)</t>
  </si>
  <si>
    <t>Correos, oficios o memorandos con respuestas emitidas</t>
  </si>
  <si>
    <t>Porcentaje de capacitaciones y/o socializaciones sobre procesos de contratación realizadas</t>
  </si>
  <si>
    <t>(Número de capacitaciones y/o sensibilizaciones realizadas en el periodo de medición/4)*100</t>
  </si>
  <si>
    <t>Actas
Grabaciones  
Listados de asistencia</t>
  </si>
  <si>
    <t>Porcentaje de contratos y/o convenios liquidados</t>
  </si>
  <si>
    <t>(No. de liquidaciones realizadas  /No. de soliciutdes liquidaciones radicadas ) * 100 (peso porcentual del periodo)</t>
  </si>
  <si>
    <t>Solicitudes de liquidación liquidadas
Actas de liquidación realizadas y publicadas en SECOP</t>
  </si>
  <si>
    <t>Porcentaje de alertas generadas de estado y fecha límite para trámite de liquidación de contratos y/o convenios</t>
  </si>
  <si>
    <t>(No. de alertas generadas / No. de alertas identificadas)</t>
  </si>
  <si>
    <t>Memorandos y/o correos remitidos a las dependencias.</t>
  </si>
  <si>
    <t>Ejecutar el 100%  las actividades programadas para una correcta gestión administrativa y organizacional</t>
  </si>
  <si>
    <r>
      <rPr>
        <b/>
        <sz val="11"/>
        <rFont val="Times New Roman"/>
        <family val="1"/>
      </rPr>
      <t xml:space="preserve">DESPACHO SUBCOPORATIVA  : </t>
    </r>
    <r>
      <rPr>
        <sz val="11"/>
        <rFont val="Times New Roman"/>
        <family val="1"/>
      </rPr>
      <t xml:space="preserve"> Desarrollar acciones de gestión administrativa, organizacional y del componente estratégico como eje transversal para el cumplimiento de la misión institucional</t>
    </r>
  </si>
  <si>
    <r>
      <t xml:space="preserve">CONTRATACIÓN : </t>
    </r>
    <r>
      <rPr>
        <sz val="11"/>
        <rFont val="Times New Roman"/>
        <family val="1"/>
      </rPr>
      <t>Tramitar las diferentes solicitudes radicadas en la Dirección de contratación  en las etapas (Precontractual, Contractual y Postcontractual).</t>
    </r>
  </si>
  <si>
    <r>
      <rPr>
        <b/>
        <sz val="11"/>
        <rFont val="Times New Roman"/>
        <family val="1"/>
      </rPr>
      <t>TALENTO HUMANO :</t>
    </r>
    <r>
      <rPr>
        <sz val="11"/>
        <rFont val="Times New Roman"/>
        <family val="1"/>
      </rPr>
      <t xml:space="preserve"> Realizar la formulación, ejecución y evaluación de los planes y programas a cargo de la Dirección de Talento Humano, así como la gestión de las situaciones administrativas del personal de planta de la Entidad.</t>
    </r>
  </si>
  <si>
    <t xml:space="preserve">Realizar oportunamente los informes de Austeridad en el Gasto Público que sean solicitados por las partes interesadas. </t>
  </si>
  <si>
    <t>Informes de austeridad del gasto enviados al Concejo de Bogotá y entregados a la Oficina de Control Interno en los tiempos establecidos</t>
  </si>
  <si>
    <t>Informes enviados</t>
  </si>
  <si>
    <t xml:space="preserve">Sumatoria de informes de austeridad del gasto enviados </t>
  </si>
  <si>
    <t xml:space="preserve">Informes enviados a control interno y al Concejo en la fechas establecidas </t>
  </si>
  <si>
    <t>Actualizar oportunamente la matriz del esquema de publicación de informaciòn en el boton de transparencia en la página web de la SMMujer</t>
  </si>
  <si>
    <t>Esquema de publicaciòn actualizado y publicado</t>
  </si>
  <si>
    <t>Esquema publicado</t>
  </si>
  <si>
    <t>Anual de acuerdo a la normatividad vigente</t>
  </si>
  <si>
    <t>Esquema de publicacion actualizado y publicado</t>
  </si>
  <si>
    <t>Solicitudes de la mesa de ayuda gestionadas</t>
  </si>
  <si>
    <t>No. solicitudes gestionadas/No. Solicitudes recibidas en la mesa de ayuda</t>
  </si>
  <si>
    <t>Reporte Plataforma Mesa de Ayuda</t>
  </si>
  <si>
    <t xml:space="preserve">Mantener actualizado el inventario físico de los bienes y elementos de la Entidad. </t>
  </si>
  <si>
    <t>Informes de identificación y actualización del inventario de la entidad elaborados</t>
  </si>
  <si>
    <t>Informes elaborados</t>
  </si>
  <si>
    <t>Sumatoria de los informes elaborados de la actualización del inventario físico</t>
  </si>
  <si>
    <t>Informe parcial y final de la toma fisica de inventarios</t>
  </si>
  <si>
    <t xml:space="preserve"> </t>
  </si>
  <si>
    <t>Gestión Financiera</t>
  </si>
  <si>
    <t>Presentar los Estados Financieros oportunamente de acuerdo con la normatividad establecida</t>
  </si>
  <si>
    <t>Porcentaje de publicaciones de estados financieros de la entidad realizados</t>
  </si>
  <si>
    <t>No de publicaciones realizadas en la página web de estados financieros / No de publicaciones establecidas por la normatividad</t>
  </si>
  <si>
    <t>Publicaciones en la web</t>
  </si>
  <si>
    <t>Presentar la información tributaria (información exógena), de acuerdo con la normativa vigente</t>
  </si>
  <si>
    <t>Porcentaje de reportes de información exogena presentados da la SDH</t>
  </si>
  <si>
    <t>No de informes enviados a la SHD / No de reportes a presetar de acuerdo con la normatividad vigente</t>
  </si>
  <si>
    <t>De acuerdo a los tiempos establecidos por la SDH</t>
  </si>
  <si>
    <t>Informes enviados:
* Enero estampillas
* Abril exogena nacional
* Julio estampillas
* Julio exogena Distrital</t>
  </si>
  <si>
    <t>Tramitar las solicitudes de CDP y CRP requeridas en la Entidad.</t>
  </si>
  <si>
    <t xml:space="preserve">Porcentaje de CDP y CRP solicitados y emitidos </t>
  </si>
  <si>
    <t>Cantidad CDP y CRP</t>
  </si>
  <si>
    <t>No de CDP y CRP emitidos / No de CDP y CRP solicitados</t>
  </si>
  <si>
    <t>Reporte mensual de CDP y CRP registrados en Bogdata</t>
  </si>
  <si>
    <t>Elaborar y publicar reportes de seguimiento de la ejecución presupuestal y pagos programados a través de los aplicativos establecidos por la SDHacienda para tal fin</t>
  </si>
  <si>
    <t>Porcentaje de reportes de  ejecución presupuestal elaborados y publicados.</t>
  </si>
  <si>
    <t>Reportes publicados en la página web</t>
  </si>
  <si>
    <t>No de reportes publicados de ejecución presupuestal en la página web en el periodo de medición / 12</t>
  </si>
  <si>
    <t xml:space="preserve">Informes publicados en la página web </t>
  </si>
  <si>
    <t>30 - Incrementar la efectividad de la gestión pública distrital y local.</t>
  </si>
  <si>
    <t>56 - Gestión Pública Efectiva</t>
  </si>
  <si>
    <t>Avanzar en el 80% en las políticas de Gobierno Digital y Seguridad Digital contenidas en la Dimensión Gestión con valores para Resultados</t>
  </si>
  <si>
    <t>1.Avanzar en la Dimensión "Gestión con valores para el Resultado" en la Política de Gobierno Digital y Seguridad Digital - MIPG</t>
  </si>
  <si>
    <t>2.Garantizar el Funcionamiento, soporte y mantenimiento de los servicios e Infraestructura tecnológica de la Secretaría.</t>
  </si>
  <si>
    <t>3.Garantizar el soporte y actualización de Sistemas de Información y Servicios de información</t>
  </si>
  <si>
    <r>
      <rPr>
        <b/>
        <sz val="11"/>
        <rFont val="Times New Roman"/>
        <family val="1"/>
      </rPr>
      <t>OFICINA ASESORA JURÍDICA</t>
    </r>
    <r>
      <rPr>
        <sz val="11"/>
        <rFont val="Times New Roman"/>
        <family val="1"/>
      </rPr>
      <t>: Responder en los términos legales establecidos  y según el marco normativo vigente, los requerimientos que sean asignados a la Oficina Asesora Jurídica</t>
    </r>
  </si>
  <si>
    <t>Apoyar el desarrollo del Plan Anual de Auditoría de la entidad, en ejercicio de los roles de la Oficina de Control Interno para la evaluación del Sistema de Control Interno</t>
  </si>
  <si>
    <t>Desarrollar acciones para la formulación, ejecución y seguimiento de los diferentes instrumentos de gestión en el marco de la planeación institucional y del Sistema de gestión.</t>
  </si>
  <si>
    <t>Ejecutar al 90% la implementación de la Política de Gestión Documental institucional</t>
  </si>
  <si>
    <t>Intervención archivística de 150 metros lineales de los archivos de gestión</t>
  </si>
  <si>
    <t>Actualización, Capacitación y/o Sensibilización  e Implementación de los Instrumentos  y Herramientas Archivisticas y del Gestor Documental Orfeo</t>
  </si>
  <si>
    <t>Implementación del SIC – Plan de Conservación Documental - Tercera Fase</t>
  </si>
  <si>
    <t>Implementación del SIC – Plan de Preservación Digital a Largo Plazo Tercera Fase</t>
  </si>
  <si>
    <t xml:space="preserve"> Firma:</t>
  </si>
  <si>
    <t>APROBÓ</t>
  </si>
  <si>
    <t xml:space="preserve">Firma: </t>
  </si>
  <si>
    <t>REVISIÓN OFICINA ASESORA DE PLANEACIÓN</t>
  </si>
  <si>
    <t xml:space="preserve"> Firmas:</t>
  </si>
  <si>
    <t>Nombre: Zareth Ivana Doncel Baracaldo</t>
  </si>
  <si>
    <t xml:space="preserve">Cargo: Lideresa Técnica - Contratista Oficina Asesora de Planeación </t>
  </si>
  <si>
    <t xml:space="preserve">Cargo: Gerenta de Proyecto - Jefa Oficina Asesora de Planeación </t>
  </si>
  <si>
    <t>Transferencia Documental Primaria de 55 metros lineales de los archivos de gestión al  Archivo Central de la Entidad</t>
  </si>
  <si>
    <t>Implementar buenas prácticas de gestión administrativa y organizacional para el cumplimiento de las metas misionales a cargo de la Secretaría Distrital de la Mujer</t>
  </si>
  <si>
    <t>Número de buenas prácticas de gestión administrativa y organizacionales implementadas</t>
  </si>
  <si>
    <t>Buenas prácticas</t>
  </si>
  <si>
    <t>Sumatoria del avance en la ejecución de actividades programadas para la implementación de cada una de las buenas prácticas: fortalecimiento tecnológico (meta 1 del proyecto), fortalecimiento organizacional (meta 2) y fortalecimiento Modelo Integrado de Planeación y Gestión – MIPG (meta 3)</t>
  </si>
  <si>
    <t>Reporte Plan de Acción, Reporte SEGPLAN</t>
  </si>
  <si>
    <t>Direccionamiento Estratégico</t>
  </si>
  <si>
    <t>Revisar y llevar a aprobación del Comité Institucional de Gestión y Desempeño - CIGD, la formulación de los planes de acción formato DE-FO-05 de la entidad.</t>
  </si>
  <si>
    <t>Número de Planes de Acción formato DE-FO-05 revisados y llevados a aprobación del Comité Institucional de Gestión  y Desempeño.</t>
  </si>
  <si>
    <t xml:space="preserve">Corresponde a la sumatoria del número de planes de acción formulados y llevados a aprobación del CIGD. 
Los cuales deben contener la programación de magnitud y presupuesto por meta proyecto de inversion para los 11 proyectos de inversión, programación de magnitud de las metas del Plan de Desarrollo Distrital, programación de magnitud de los indicadores PMR e indicadores de los 22 procesos de la entidad, según aplique. </t>
  </si>
  <si>
    <t>Formato plan de acción DE-FO-05 (formulación)
Acta de Comité Institucional de Gestión y Desempeño - CIGD</t>
  </si>
  <si>
    <t>Revisar los reportes de seguimiento de los planes de acción formato DE-FO-05 de la entidad.</t>
  </si>
  <si>
    <t>Número de reportes de seguimiento a los Planes de Acción formato DE-FO-05 revisados.</t>
  </si>
  <si>
    <t>Corresponde a la sumatoria del número de reportes de seguimiento de planes de acción formato DE-FO-05 revisados.
Los cuales deben contener la ejecución cuantitativa y cualitativa de magnitud y presupuesto por meta proyecto de inversion para los 11 proyectos de inversión, de magnitud de las metas del Plan de Desarrollo Distrital,  de magnitud de los indicadores PMR e indicadores de los 22 procesos de la entidad, según aplique, con corte al cierre del mes inmediatamente anterior.</t>
  </si>
  <si>
    <t xml:space="preserve">Formato plan de acción DE-FO-05 (reporte de seguimiento)
</t>
  </si>
  <si>
    <t>Realizar seguimiento al Plan Estratégico Institucional 2020 - 2024</t>
  </si>
  <si>
    <t xml:space="preserve">Número de seguimientos al Plan Estratégico Institucional realizados durante la vigencia 
</t>
  </si>
  <si>
    <t>Informe de seguimiento al PEI o Presentación</t>
  </si>
  <si>
    <t>Consolidar, revisar y enviar el documento de anteproyecto de presupuesto para la vigencia correspondiente, de acuerdo con los lineamientos de la Secretaría Distrital de Hacienda - SDH.</t>
  </si>
  <si>
    <t>Documento de Anteproyecto presupuestal consolidado, revisado y enviado a SDH</t>
  </si>
  <si>
    <t>Corresponde al documento de anteproyecto que se debe consolidar, revisar y enviar a la SDH de acuerdo a las fechas establecidas en los lineamientos dispuestos por esta entidad para tal fin</t>
  </si>
  <si>
    <t xml:space="preserve">Documento de anteproyecto 2023 enviado a la SDH.
Soporte de radicación del documento en SDH </t>
  </si>
  <si>
    <t xml:space="preserve">Gestión Tecnológica </t>
  </si>
  <si>
    <t>Avanzar en el 85% en la Implementación de las políticas de Gobierno Digital y Seguridad Digital contenidas en la Dimensión Gestión con valores para Resultados</t>
  </si>
  <si>
    <t xml:space="preserve">Porcentaje de avance en la implementación de la Politica de Gobierno Digital 
</t>
  </si>
  <si>
    <t>Porcentaje de avance en la implementación de la politica de gobierno digital durante el periodo de medición según la herramienta de autodiagnóstico</t>
  </si>
  <si>
    <t>Herramienta de Autodiagnóstico de la Política de Gobierno Digital</t>
  </si>
  <si>
    <t xml:space="preserve">Porcentaje de avance en la implementación de la Politica de Seguridad Digital
</t>
  </si>
  <si>
    <t>Porcentaje de avance en la implementación de la politica de seguridad digital durante el periodo de medición según el instrumento de evaluación del MSPI</t>
  </si>
  <si>
    <t xml:space="preserve">Instrumento de evaluación del Modelo de Seguridad y Privacidad de la Información - MSPI </t>
  </si>
  <si>
    <t>Adquirir productos de software (licenciamiento) a cargo de gestión tecnológica.</t>
  </si>
  <si>
    <t>Porcentaje de productos  de software (licenciamiento) adquiridos e instalados de la Sdmujer</t>
  </si>
  <si>
    <t xml:space="preserve">(No de productos de software instalados /No de productos de software adquiridos) * 100% </t>
  </si>
  <si>
    <t xml:space="preserve">Plan de compras - Contrato - Ingreso al almacén  </t>
  </si>
  <si>
    <t>Adquirir e implementar bienes y/o servicios tecnológicos  a cargo de gestión tecnológica.</t>
  </si>
  <si>
    <t>Porcentaje de bienes y/o servicios tecnológicos adquridos e implementados.</t>
  </si>
  <si>
    <t xml:space="preserve">(No de bienes y/o servicios tecnológicos adquiridos e implementados durante el periodo de medición / No de bienes y/o servicios tecnológicos proyectados en la vigencia) * 100% </t>
  </si>
  <si>
    <t xml:space="preserve">Plan de compras - Contrato - Ingreso al almacén </t>
  </si>
  <si>
    <t>Gestionar y cerrar los requerimientos tecnológicos de mesa de ayuda que requieran las diferentes áreas de la entidad</t>
  </si>
  <si>
    <t xml:space="preserve">Porcentaje de requerimientos tecnológicos de mesa de ayuda atendidos </t>
  </si>
  <si>
    <t>(No. de requerimientos tecnológicos de mesa de ayuda atendidos / No. de requerimientos tecnológicos de mesa de ayuda solicitados) * 100%</t>
  </si>
  <si>
    <t xml:space="preserve">Reporte de Requerimientos Mesa de Ayuda </t>
  </si>
  <si>
    <t>Ejecutar el plan de mantenimiento a la infraestructura tecnológica de la SDMujer</t>
  </si>
  <si>
    <t>Porcentaje de ejecución del plan de mantenimiento de la infraestructura tecnológica</t>
  </si>
  <si>
    <t>(No de mantenimientos realizados durante el periodo de medición / No de mantenimientos proyectados) /100%</t>
  </si>
  <si>
    <t xml:space="preserve">Plan de mantenimiento, informes de plan de mantenimiento. </t>
  </si>
  <si>
    <t>Ejecutar el plan de mantenimiento de los sistemas de información de la SDMujer</t>
  </si>
  <si>
    <t xml:space="preserve">Porcentaje de ejecución del plan de mantenimiento de los sistemas de información </t>
  </si>
  <si>
    <t>Plan de mantenimiento de sistemas de información, informes de proveedores de servicios.</t>
  </si>
  <si>
    <t>Atender los requerimientos de desarrollo aprobados para la automatización de los procesos de las diferentes áreas de la entidad.</t>
  </si>
  <si>
    <t>Porcentaje de requerimientos de desarrollo aprobados y atendidos</t>
  </si>
  <si>
    <t>(No de requerimientos de desarrollo atendidos / No. de requerimientos de desarrollo aprobados)/ 100%</t>
  </si>
  <si>
    <t xml:space="preserve">Requerimientos Mesa de Ayuda 
Plan de automatización de procesos 
Acta de recibo a satisfacción de sistemas de información
</t>
  </si>
  <si>
    <r>
      <t>Correos electrónicos y/o evidencias de reuniones</t>
    </r>
    <r>
      <rPr>
        <sz val="11"/>
        <color indexed="8"/>
        <rFont val="Times New Roman"/>
        <family val="1"/>
      </rPr>
      <t>(actas) y reportes de lucha</t>
    </r>
  </si>
  <si>
    <t>Gestiòn Documental</t>
  </si>
  <si>
    <t>Ejecutar al 90% la implementación de la politica de Gestión Documental institucional</t>
  </si>
  <si>
    <t>Archivos de la entidad organizados y transferidos, dispuestos para consulta</t>
  </si>
  <si>
    <t xml:space="preserve">Metros lineales de archivo transferido </t>
  </si>
  <si>
    <t>Sumatoria de metros lineales de archivo tranferido dispuestos para consulta durante el periodo de medición</t>
  </si>
  <si>
    <t>Actas de legalización de trasnferencia</t>
  </si>
  <si>
    <t>Archivos de la entidad organizados e intervenidos, dispuestos para trasnferencia primaria</t>
  </si>
  <si>
    <t xml:space="preserve">Metros lineales de archivo intervenido </t>
  </si>
  <si>
    <t>Sumatoria de metros lineales de archivo intervenido y dispuesto para transferencia primaria</t>
  </si>
  <si>
    <t>Reporte de seguimiento a la intervención</t>
  </si>
  <si>
    <t>Instrumentos archivisticos actualizados y publicados, dispuestos para consulta</t>
  </si>
  <si>
    <t>Instrumentos actualizados y publicados</t>
  </si>
  <si>
    <t>Sumatoria de instrumentos actualizados y publicados</t>
  </si>
  <si>
    <t>Instrumento actualizado y publicado</t>
  </si>
  <si>
    <t xml:space="preserve">Porcentje de implementación tercera fase de conservación documental </t>
  </si>
  <si>
    <t>No de actividades realizadas de la tercera fase de conservación documental durante el periodo de medición / No de actividades previstas en el cronograma de la tercera fase de conservación documental</t>
  </si>
  <si>
    <t>Reporte de seguimiento a la actividad</t>
  </si>
  <si>
    <t>Porcentaje de implementación tercera fase de preservación a largo plazo</t>
  </si>
  <si>
    <t xml:space="preserve">No de actividades realizadas de la tercera fase de preservación a largo plazo durante el periodo de medición / No de actividades previstas en el cronograma de la tercera fase de preservación a largo plazo </t>
  </si>
  <si>
    <t>Gestión Administrativa</t>
  </si>
  <si>
    <t>Gestión Jurídica</t>
  </si>
  <si>
    <t xml:space="preserve"> Actividad 1: Expedir los conceptos jurídicos requeridos en el marco de la gestión institucional para crear unidad de criterio en la interpretación, aplicación e implementación de las disposiciones normativas y responder los derechos de petición a que hubiere lugar en ejercicio de sus funciones.</t>
  </si>
  <si>
    <t>Porcentaje de conceptos jurídicos emitidos y/o derechos de petición, atendidos</t>
  </si>
  <si>
    <t>(No. de conceptos jurídicos emitidos y/o derechos de petición atendidos / No. de conceptos jurídicos emitidos y/o derechos de petición requeridos)*100</t>
  </si>
  <si>
    <t>Conceptos jurídicos - respuestas a derechos de petición</t>
  </si>
  <si>
    <t>Actividad 2: Proyectar, analizar  y conceptuar acerca de la viabilidad jurídica de los proyectos de ley, de acuerdo y demás actos administrativos</t>
  </si>
  <si>
    <t>Porcentaje de proyectos de ley y/o de Acuerdo y Actos administrativos analizados</t>
  </si>
  <si>
    <t xml:space="preserve">(No. de proyectos de ley y/o de Acuerdos, conceptuados /No. Proyectos de ley y/o de acuerdo, requeridos)*100*porcentaje de ponderación del periodo </t>
  </si>
  <si>
    <t>Comentarios a Proyectos de ley y/o acuerdo</t>
  </si>
  <si>
    <t>Actividad 3:Ejercer y orientar la defensa judicial de la Secretaría, representándola judicial y extrajudicialmente en los procesos y demás acciones legales que se instauren en su contra o que esta deba promover de conformidad con los lineamientos legales.</t>
  </si>
  <si>
    <t>Porcentaje de casos en representación judicial con actuaciones y respuestas realizadas en el marco del ejercicio de defensa y representación judicial de la entidad</t>
  </si>
  <si>
    <t>(No. de actuaciones y respuestas realizadas en el marco del ejercicio de la defensa y representación judicial de la entidad, atendidos /No. de actuaciones en el marco de la representación judicial, requeridos)*100</t>
  </si>
  <si>
    <t>Contestación de demandas,  y de acciones constitucionales y actuacioens judicales</t>
  </si>
  <si>
    <t>Actividad 4: Estudiar y proyectar las providencias y fallos que deba proferir la (el) Secretaria (o) en segunda instancia en los procesos disciplinarios contra las servidoras y servidores públicos de la Entidad.</t>
  </si>
  <si>
    <t>Porcentaje de fallos en segunda instancia sustanciados</t>
  </si>
  <si>
    <t>constante</t>
  </si>
  <si>
    <t>(No. de fallos en segunda instancia, sustanciados / No. de fallos en segunda instancia, solicitados)*100</t>
  </si>
  <si>
    <t>Actos administrativos de  segunda instancia</t>
  </si>
  <si>
    <t>Actividad 5: Efectuar la revisión y ajuste desde la competencia normativa  y consolidación de las respuestas a Proposiciones</t>
  </si>
  <si>
    <t>Porcentaje de proposiciones con respuestas consolidadas</t>
  </si>
  <si>
    <t>(No. de proposiciones atendidas /No. de proposiciones recibidas)*100</t>
  </si>
  <si>
    <t>Respuesta a Proposiciones</t>
  </si>
  <si>
    <t>Actividad 6: Analizar y emitir conceptos de los casos que le sean asignados a la OAJ en el marco del Comité de Enlaces de la Estrategia Justicia de Género</t>
  </si>
  <si>
    <t>Porcentaje de casos asignados a la OAJ en el marco del Comité de Enlaces de Justicia de Género analizados</t>
  </si>
  <si>
    <t>(No. de casos estudiados  / No. de casos asignados a la OAJ en el marco del Comité de Enlaces de Justicia de Género )*100</t>
  </si>
  <si>
    <t>Acta de Asistencia al Comité - Casos analizados por la OAJ</t>
  </si>
  <si>
    <t>Actividad 7:Ejercer la Secretaría Técnica para apoyar la labor del Comité de Conciliación de la Entidad.</t>
  </si>
  <si>
    <t>Sesiones realizadas del Comité de Conciliación de conformidad con el marco legal.</t>
  </si>
  <si>
    <t>(No. de sesiones del Comité de Conciliación realizadas en el periodo de medición / No. de sesiones del Comité programadas para la vigencia)*100</t>
  </si>
  <si>
    <t>Actas del Comité de Conciliación</t>
  </si>
  <si>
    <t>RESERVAS PRESUPUESTALES</t>
  </si>
  <si>
    <t>Etiquetas de fila</t>
  </si>
  <si>
    <t>Suma de RESERVAS 2023</t>
  </si>
  <si>
    <t>1. Avanzar en el 80% en las políticas de Gobierno Digital y Seguridad Digital contenidas en la Dimensión “Gestión con valores para  Resultados"</t>
  </si>
  <si>
    <t>2. Ejecutar el 100% de las actividades programadas para una correcta gestión administrativa y organizacional</t>
  </si>
  <si>
    <t>3. Soportar al 100%  la implementación de las políticas del Modelo Integrado de Planeación y Gestión</t>
  </si>
  <si>
    <t>4. Ejecutar al 90% la implementación de la Política de Gestión Documental institucional</t>
  </si>
  <si>
    <t>Total general</t>
  </si>
  <si>
    <t xml:space="preserve">Suma de Valor total estimado </t>
  </si>
  <si>
    <t>VIGENCIA</t>
  </si>
  <si>
    <t>Porcentaje de ejecución al Plan de Adecuación y Sostenibilidad del MIPG</t>
  </si>
  <si>
    <t>Porcentaje de solicitudes documentales atendidas.</t>
  </si>
  <si>
    <t>Porcentaje de solicitudes atendidas de acompañamiento a los procesos de la entidad para la formulacion de planes de mejoramiento derivados de las auditorias internas y externas.</t>
  </si>
  <si>
    <t>Porcentaje de ejecución del Plan Institucional de Gestión Ambiental - PIGA 2023</t>
  </si>
  <si>
    <t>Porcentaje de procesos monitoreados, orientados y acompañados en actividades de riesgos</t>
  </si>
  <si>
    <t>Porcentaje de información actualizada en el Botón de transparencia</t>
  </si>
  <si>
    <t>Gestionar el 100% de las solicitudes recibidas en la mesa de ayuda de almacen y mantenimiento</t>
  </si>
  <si>
    <t>Cerrar el 70% de las solicitudes recibidas en la mesa de ayuda de ayuda de almacen y mantenimiento</t>
  </si>
  <si>
    <t>Solcitudes de la mesa de ayuda cerradas</t>
  </si>
  <si>
    <t>No solicitudes cerradas/ No. Solicitudes recibidas</t>
  </si>
  <si>
    <t>Junio y noviembre 2023</t>
  </si>
  <si>
    <t>Nombre: Sandra Catalina Campos Romero</t>
  </si>
  <si>
    <t>Nombre: Diana Milena Blanco Jaimes</t>
  </si>
  <si>
    <t>Cargo: Contratista - Oficina Asesora de Planeación</t>
  </si>
  <si>
    <t>Cargo: Contratista Oficina Asesora de Planeación - Lideresa Técnica</t>
  </si>
  <si>
    <t>Cargo: Gerenta de Proyecto - Jefa Oficina Asesora de Planeación</t>
  </si>
  <si>
    <t>Página 1 de 16</t>
  </si>
  <si>
    <t>Página 2 de 16</t>
  </si>
  <si>
    <t>Página 3 de 16</t>
  </si>
  <si>
    <t>Página 4 de 16</t>
  </si>
  <si>
    <t>Página 5 de 16</t>
  </si>
  <si>
    <t>Página 6 de 16</t>
  </si>
  <si>
    <t>Página 7 de 16</t>
  </si>
  <si>
    <t>Página 8 de 16</t>
  </si>
  <si>
    <t>Página 9 de 16</t>
  </si>
  <si>
    <t>Página 10 de 16</t>
  </si>
  <si>
    <t>Página 11 de 16</t>
  </si>
  <si>
    <t>Página 12 de 16</t>
  </si>
  <si>
    <t>Página 13 de 16</t>
  </si>
  <si>
    <t>Página 14 de 16</t>
  </si>
  <si>
    <t>Página 15 de 16</t>
  </si>
  <si>
    <t>Página 16 de 16</t>
  </si>
  <si>
    <r>
      <t xml:space="preserve">ADMINISTRATIVA Y FINANCIERA: </t>
    </r>
    <r>
      <rPr>
        <sz val="11"/>
        <rFont val="Times New Roman"/>
        <family val="1"/>
      </rPr>
      <t>Atender los requerimientos financieros que impactan el desarrollo de las actividades transversales de la Secretaría Distrital de la Mujer a cargo de la Dirección de Gestión Administrativa y Financiera (Estados financieros, Informaciòn Exogéna, Solcitudes de CDR y CRP,  Ejecución presupuestal)</t>
    </r>
  </si>
  <si>
    <r>
      <t xml:space="preserve">ADMINISTRATIVA Y FINANCIERA: </t>
    </r>
    <r>
      <rPr>
        <sz val="11"/>
        <rFont val="Times New Roman"/>
        <family val="1"/>
      </rPr>
      <t>Atender los requerimientos administrativos que impactan el desarrollo de las actividades transversales de la Secretaría Distrital de la Mujer a cargo de la Dirección de Gestión Administrativa y Financiera  (Informes de Austeridad,  Esquema de publicación, Mesas de Ayuda, Toma Fisica de Inventarios)</t>
    </r>
  </si>
  <si>
    <t>Nombre: Angela Johanna Márquez Mora</t>
  </si>
  <si>
    <t>Cargo: Jefa Oficina de Control Interno</t>
  </si>
  <si>
    <t>Nombre: Diego Andrés Pedraza Peña</t>
  </si>
  <si>
    <t>Cargo: Contratista - Subsecretaria de Gestión Corporativa</t>
  </si>
  <si>
    <t>Nombre: Luz Amparo Macías Quintana</t>
  </si>
  <si>
    <t>Nombre: Laura Marcela Tami Leal</t>
  </si>
  <si>
    <t>Cargo: Subsecretaria de Gestión Corporativa</t>
  </si>
  <si>
    <t>Nombre: Erika de Lourdes Cervantes Linero</t>
  </si>
  <si>
    <t>Cargo: Jefe de Oficina de Control Disciplinario Interno</t>
  </si>
  <si>
    <t>Nombre: Kelly Carolina Morantes Pérez</t>
  </si>
  <si>
    <t>Cargo: Profesional Especializado</t>
  </si>
  <si>
    <t>Nombre: Catalina Zota Bernal</t>
  </si>
  <si>
    <t>Cargo: Jefa Oficina Asesora Jurídica</t>
  </si>
  <si>
    <t xml:space="preserve">Cargo: Contratista Oficina Asesora de Planeación </t>
  </si>
  <si>
    <t xml:space="preserve">Nombre: Jennifer Lorena Moreno Arcila </t>
  </si>
  <si>
    <t>Nombre: Luis Guillermo Flechas Salcedo</t>
  </si>
  <si>
    <t>Cargo: Director de Contratación</t>
  </si>
  <si>
    <t>Cargo: Contratista Dirección de Contratación</t>
  </si>
  <si>
    <t>Nombre: Claudia Marcela Garcia Santos</t>
  </si>
  <si>
    <t>Cargo: Directora de Talento Humano</t>
  </si>
  <si>
    <t>Nombre: Nayla Zoreth Isaza Tabon</t>
  </si>
  <si>
    <t>Cargo: Contratista Dirección Administrativa y Financiera</t>
  </si>
  <si>
    <t>Cargo: Directora Administrativa y Financiera</t>
  </si>
  <si>
    <t>Corresponde a la sumatoria de número de seguimientos semestrales que se realizarán al PEI de la entidad, teniendo en cuenta los siguientes cortes:
1 en el mes de enero correspondiente al segundo semestre de 2021
1 en el mes de julio correspondiente al primer semestre de 2022</t>
  </si>
  <si>
    <t>ENERO</t>
  </si>
  <si>
    <t>FEBRERO</t>
  </si>
  <si>
    <t>MARZO</t>
  </si>
  <si>
    <t>ABRIL</t>
  </si>
  <si>
    <t>MAYO</t>
  </si>
  <si>
    <t>JUNIO</t>
  </si>
  <si>
    <t>JULIO</t>
  </si>
  <si>
    <t>AGOSTO</t>
  </si>
  <si>
    <t>SEPTIEMBRE</t>
  </si>
  <si>
    <t>OCTUBRE</t>
  </si>
  <si>
    <t>NOVIEMBRE</t>
  </si>
  <si>
    <t>DICIEMBRE</t>
  </si>
  <si>
    <t>RESERVA DEF</t>
  </si>
  <si>
    <t>ANULACIONES</t>
  </si>
  <si>
    <t>SEGUIMIENTO OAP</t>
  </si>
  <si>
    <t>VIGENCIA DEF</t>
  </si>
  <si>
    <t>PLAN DE ACCIÓN</t>
  </si>
  <si>
    <t>VALIDACIÓN</t>
  </si>
  <si>
    <t>SPI</t>
  </si>
  <si>
    <t>AVANCE PLAN</t>
  </si>
  <si>
    <t>Se ha ejecutado el 1,88% de giros sobre los compromisos con corte a 28 de febrero de 2023</t>
  </si>
  <si>
    <t>Plan Estratégico de Tecnologías de la Información y las Comunicaciones -­ PETI</t>
  </si>
  <si>
    <t>Plan de Seguridad y Privacidad de la Información</t>
  </si>
  <si>
    <t>Plan de Incentivos Institucionales</t>
  </si>
  <si>
    <t>Plan Anticorrupción y Atención a la Ciudadanía</t>
  </si>
  <si>
    <t>Plan Anticorrupción y de Atención al Ciudadano</t>
  </si>
  <si>
    <t>Plan Institucional de Archivos de la Entidad ­PINAR</t>
  </si>
  <si>
    <t>Nombre: Andrea Milena Parada Ortiz</t>
  </si>
  <si>
    <t>Cargo: Profesional Universitaria Dirección de Talento Humano</t>
  </si>
  <si>
    <t>Nombre: Dayra Marcela Aldana Diaz</t>
  </si>
  <si>
    <t>Nombre: Lida Cubillos Hernandez</t>
  </si>
  <si>
    <t>Cargo: Contratista - Oficina Asesora de Planeación</t>
  </si>
  <si>
    <t>PONDERACIÓN</t>
  </si>
  <si>
    <t>Porque faltó un informe del furag, función pública aperturo el aplicativo en fecha posterior.</t>
  </si>
  <si>
    <t>Porque adelantamos informes (compensar el porcentaje)</t>
  </si>
  <si>
    <t>Gestión contractual y precontractual de los procesos, validación de todos los procesos y monitoreo permanente a la infraestructura tecnológica para garantizar el correcto funcionamiento de los servicios de la entidad, mantenimiento y actualización  de los componentes de los sistemas de información.</t>
  </si>
  <si>
    <t>meta 1</t>
  </si>
  <si>
    <t>96% de cumplimiento en la contratación de Prestación de Servicios Profesionales y de Apoyo a la gestión. Atención a los requerimientos y rendiciones de cuentas a órganos de control y al Concejo de Bogotá. Se logra una ejecución presupuestal del 88,74% y de giros de 52,95% al corte de este reporte</t>
  </si>
  <si>
    <t>meta 2</t>
  </si>
  <si>
    <t>Se da cumplimiento al cronograma de trabajo establecido para la vigencia frente a la gestión de transferencia documental, según cronograma aprobado en sesión No.1 del Comité Institucional de Gestión y Desempeño.Se gestionó un total de  42,75 metros lineales de los 55 metros proyectados.</t>
  </si>
  <si>
    <t>meta 4</t>
  </si>
  <si>
    <t>meta 3</t>
  </si>
  <si>
    <t>Se han realizado actividades para avanzar en la implementación de las políticas de gestión y desempeño, que han permitido a la Entidad la mejora continua, pasando del 75.5 al 98.1 en los resultados del Índice de Desempeño Institución -IDI.</t>
  </si>
  <si>
    <t>Avanzar en el 80% en la Implementación de las políticas de Gobierno Digital y Seguridad Digital contenidas en la Dimensión Gestión con valores para Resultados</t>
  </si>
  <si>
    <t>Nombre: Diana Carolina Hernández Sánchez</t>
  </si>
  <si>
    <t>8/11/20023</t>
  </si>
  <si>
    <t>El siguiente es el avance del PAA 2023 en su versión 2 a 31 de octubre del año en curso: AUDITORÍAS: Finalizó la ejecución de la auditoría al proceso de Gestión Contractual con la emisión y publicación en pág web del informe final. INF. REGLAMENTARIOS: Se emitieron y publicaron en pág web los informes de seguimiento al cumplimiento de normas de Carrera Administrativa y al Comité de Sostenibilidad y de Cartera; y se encuentra en etapa de planeación y solicitud de información el seguimiento a las medidas de Austeridad del Gasto 3er trim 2023. SEGUIMIENTO: Se emitieron y publicaron en pág web el seguimiento a la Política de Integridad, metas PDD priorizadas, Ley de Transparencia Acceso a la Información Pública; y se encuentra en ejecución el seguimiento de ejecución presupuestal y de pagos, Acuerdos de Gestión. ASESORIAS y ACOMPAÑAMIENTOS: Se realizó la sexta reunión del CICCI, se participó en reuniones de enlaces MIPG, comités y mesas técnicas institucionales, así como en socializaciones y capacitaciones. 
En cuanto a la ejecución acumulada de la presente meta, con corte a 31 de octubre de 2023 se han emitido y publicado un total de seis (6) informes de auditoría, quince (15) informes de seguimiento y veintiocho (28) informes reglamentarios para un total de cuarenta (40) informes del total de cuarenta y nueve (49) informes programados en el PAA 2023 versión 2, lo que corresponde a un 82% de ejecución.</t>
  </si>
  <si>
    <r>
      <rPr>
        <b/>
        <sz val="11"/>
        <rFont val="Times New Roman"/>
        <family val="1"/>
      </rPr>
      <t>En el mes de Octubre:</t>
    </r>
    <r>
      <rPr>
        <sz val="11"/>
        <rFont val="Times New Roman"/>
        <family val="1"/>
      </rPr>
      <t xml:space="preserve">
Se preparo el comité MIPG No 11. Se realizó seguimiento a 4 planes de mejora FURAG, los cuales fueron presentados en el comité de octubre y se dio respuesta a requerimientos
Se actualizaron 42 documentos de diferentes procesos de la entidad y se atendieron 31 solicitudes en mesa de ayuda y correo sobre LUCHA. 
Se atiendieron 11 solicitudes sobre planes de mejoramiento de las 11  recibidas, teniendo un avance del 100%. 
Se realizó el acompañamiento a 8 procesos en la gestion del riesgos  
Se realizarón 10 actividades del PIGA y se atendieron requerimientos relacionados con temas ambientales 
Se realizó la actualización de 59 documentos en 16 numerales del link de transparencia 
</t>
    </r>
    <r>
      <rPr>
        <b/>
        <sz val="11"/>
        <rFont val="Times New Roman"/>
        <family val="1"/>
      </rPr>
      <t xml:space="preserve">Con corte al 30 de Octubre: </t>
    </r>
    <r>
      <rPr>
        <sz val="11"/>
        <rFont val="Times New Roman"/>
        <family val="1"/>
      </rPr>
      <t xml:space="preserve">
Durante lo transcurrido de esta vigencia se han realizado 11 Comité Institucional de gestión y desempeño y se cuenta con la matriz de lineas de defensa de los 22 procesos de la entidad 
Durante lo transcurrido de esta vigencia se han atendido 222 solicitudes de documentos, gestión de usuarios LUCHA y capacitaciones del SIG.
Durante lo transcurrido de esta vigencia se han atendido 91 solicitudes de planes de mejora y se cuenta con 509 acciones abiertas de las cuales el 52% se encuentran con un 100% de ejecución 
Durante lo transcurrido de esta vigencia se han realizado 81 acompañamientos a los procesos para revisión de riesgos, ejecución de controles  y  seguimiento de acuerdo al acta estandar;  el avance general es 83% de lo progamado para el 2023
Durante lo transcurrido de esta vigencia se han realizarón 70 actividades del PIGA 
Durante lo transcurrido de esta vigencia se han realizado 312 publicaciones de docuemtnos en el botón de transparencia</t>
    </r>
  </si>
  <si>
    <t xml:space="preserve">Con corte al mes de Octubre de 2023, se realizó seguimiento planes FURAG de acuerdo con cronograma, se continua con la actualización de la documentación de los procesos, realización de acompañamientos en planes de mejora, seguimiento y monitoreo a riesgos, ejecución de las actividades de PIGA y actualización al botón de transparencia. </t>
  </si>
  <si>
    <t xml:space="preserve">En lo transcurrido a Octubre 31 de 2023, se han realizado las sesiones del CIGD de acuerdo con lo programado, se han atendido todas las solicitudes de actualización de documentos, se realiza el acompañamiento permanente en planes mejora, se ha realizado monitoreo y acompañamiento a los riesgos, se ha dado cumplimiento a las actividades del PIGA y se han realizado las actualizaciones de información en el link de transparencia </t>
  </si>
  <si>
    <t>No hubo retrasos</t>
  </si>
  <si>
    <t xml:space="preserve">Mejora continua en el modelo integrado de planeación y Gestión de la entidad - MIPG
Puesta en marcha de las buenas practicas en la entidad para la implementacion de las politicas del MIPG enmarcadas en los planes de mejora FURAG    
   </t>
  </si>
  <si>
    <t>Desde la Oficina Asesora Jurídica, en el marco del proyecto de inversión 7662, para la vigencia 2023 se gestionaron los procesos de contratación de 5 profesionales para apoyar las estrategias y procesos jurídicos a cargo de la Entidad, dando inicio a su ejecuciòn a partir del  12, 13, 16 de enero y 22 de febrero, respectivamente, conforme a las actas de inicio. Así, en el mes de OCTUBRE se tramitaron 81 respuestas a requerimientos asignados a la OAJ en los términos legales establecidos y de acuerdo con el marco normativo vigente, para un TOTAL con CORTE A 31 de OCTUBRE de 607 respuestas emitidas.</t>
  </si>
  <si>
    <t>Para dar cumplimiento a los objetivos del proyecto de inversión 7662, y poder brindar el soporte transversal necesario para la óptima ejecución de los recursos, la Secretaía Distrital de la Mujer, en aras de cumplir con su misional, presentan los siguientes avances de las 3 buenas prácticas en el mes de octubre: 
Fortalecimiento tecnológico:
Se realizó seguimiento al avance de los proyectos priorizados producto del ejercicio de arquitectura empresarial, asimismo se evaluó el avance en la implementación de las políticas de gobierno y seguridad digital, la actualización del Plan Estratégico de Tecnologías de Información y la creación de los procedimientos de Gestión de Vulnerabilidades Tecnológicas y de Gestión de Incidentes de Seguridad de la información. En cuanto a la infraestructura se realizaron las actividades contractuales correspondientes para garantizar la adquisición, puesta en marcha y mantenimiento de los elementos de TI. La gestión de requerimientos a través de la Mesa de Ayuda es monitoreada permanentemente para garantizar la atención oportuna de cada uno de los servicios.
Fortalecimiento MIPG:
Se vienen realizando actividades para la implementación de las políticas de gestión y desempeño, que han permitido a la Entidad  avanzar en la mejora continua.
Fortalecimiento Institucional:
1.  Se adelantó el  2%  del avance presupuestado para este mes para la suscripción de  contratos y modificaciones contractuales. Por otra parte,  se suscribió 18 contratos por modalidad de contratación directa,  3 contratos por madalidad de selección  de minima cuantía,  1 por selección abreviada subasta Iiversa,  y  1 por selección abreviada menor cuantía,  2.  Se ha dado respuesta a requerimientos de la Contraloría de Bogotá, Contraloría Gneral de la República y a la Personería de Bogotá. 3. Durante el mes de octubre, se atendieron todas las solicitudes de certificados presupuestales recibidas</t>
  </si>
  <si>
    <t>Para dar cumplimiento a los objetivos del proyecto de inversión 7662, y poder brindar el soporte transversal necesario para la óptima ejecución de los recursos, la Secretaía Distrital de la Mujer, en aras de cumplir con su misional, presentan los siguientes avances de las 3 buenas prácticas con corte al mes de octubre: 
Fortalecimiento tecnológico:
En cuanto a Política de Gobierno Digital se culminó el primer ejercicio de arquitectura empresarial y se cuenta con una Hoja de Ruta de los proyectos a implementar, se está gestionando la implementación de la Política de Gobierno Digital, en el marco del Decreto 767 del 16 de mayo del 2022. En la Política de Seguridad Digital se documentó y actualizó Plan de Seguridad de la Información para el año 2023 y se realizó la actualización de la evaluación del autodiagnóstico del Modelo de Seguridad y Privacidad de la Información – MSPI, se realizó la actualización de la Política de Tratamiento de Datos Personales y Privacidad de la Entidad. Para fortalecer la infraestructura de TI se suscribió el contrato 951 de 2023 con la empresa de telecomunicaciones ETB, la adquisición de certificados SSL contrato 975 de 2023 y se dio inicio al contrato de UPS 1008 de 2023. En cuanto a actividades de desarrollo se han atendido 1085 requerimientos de soporte ICOPS y 2836 relacionados con soporte a la página web asimismo se realizaron capacitaciones sobre actualización y modificaciones de contratos en ICOPs.
Fortalecimiento MIPG:
Se vienen realizando actividades para la implementación de las políticas de gestión y desempeño, que han permitido a la Entidad  avanzar en la mejora continua.
Fortalecimiento Institucional:
1.  Avance del 97,2 % de cumplimiento en la contratación de Prestación de Servicios Profesionales y de Apoyo a la gestión.                                                 
2. La atención a los diferentes requerimientos y rendiciones de cuentas por parte de la Entidad tanto a los órganos de control y al Concejo de Bogotá,  evidencian no solo el acatamiento de los mismo por la Entidad sino la transparencia en sus actuacione.                                                                                     
3. Avance en la ejecución presupuestal del 95.19% y  giros del 59.70% con corte al mes de octubre.</t>
  </si>
  <si>
    <r>
      <rPr>
        <b/>
        <sz val="11"/>
        <rFont val="Times New Roman"/>
        <family val="1"/>
      </rPr>
      <t xml:space="preserve">Politica de Gobierno Digital:
</t>
    </r>
    <r>
      <rPr>
        <sz val="11"/>
        <rFont val="Times New Roman"/>
        <family val="1"/>
      </rPr>
      <t>- Se culminó el ejercicio de arquitectura empresarial y se aprobó su hoja de ruta.
- Se realizo socialización y capacitación con los procesos para la recolección de entregables de acuerdo con los lineamientos de las fases metodológicas.
- Se adelantó documento del ciclo de vida de la adquisición y software de sistemas de información.
- Se avanza en el lineamiento del uso y apropiación, interoperabilidad.
- Se realizo reunión para elaboración y proyección de Capex y Opex con gestión tecnológica, GC, DAF, enfoque diferencial y el proceso de prevención y atención integral a mujeres víctimas de violencia.
- Se está formulando y actualizando el PETI para la vigencia 2024-2028.
- Se están documentando los catálogos de TI.</t>
    </r>
  </si>
  <si>
    <r>
      <rPr>
        <b/>
        <sz val="11"/>
        <rFont val="Times New Roman"/>
        <family val="1"/>
      </rPr>
      <t>Política de Seguridad Digital</t>
    </r>
    <r>
      <rPr>
        <sz val="11"/>
        <rFont val="Times New Roman"/>
        <family val="1"/>
      </rPr>
      <t xml:space="preserve">
- Se finalizó identificación de riesgos de gestión tecnológica con la definición de planes de tratamiento.
- Se realizó análisis de vulnerabilidades a 32 activos tecnológicos de la red interna de la Entidad.
- Se documentó el procedimiento de incidentes de seguridad de la información.
- Se avanzó con las áreas en la actualización de activos de información y autodiagnóstico de tratamiento de datos personales.
- Se documento el programa de protección de datos personales y se envió para presentar a próximo comité de gestión y desempeño.
- Se realizaron ajustes al procedimiento de gestión de vulnerabilidades técnicas.
- Se identificaron riesgos de seguridad de la información en datos personales.
- Se iniciaron capacitaciones en tratamiento de datos personales a las distintas áreas de la Entidad.
</t>
    </r>
    <r>
      <rPr>
        <b/>
        <sz val="11"/>
        <rFont val="Times New Roman"/>
        <family val="1"/>
      </rPr>
      <t>Retrasos y factores limitantes para el cumplimiento:</t>
    </r>
    <r>
      <rPr>
        <sz val="11"/>
        <rFont val="Times New Roman"/>
        <family val="1"/>
      </rPr>
      <t xml:space="preserve">
- Retrasos en la entrega de las áreas en la actualización de activos de información y el autodiagnóstico de tratamiento de datos personales.
- Falta de comentarios sobre la política y programa de protección de datos personales.
</t>
    </r>
    <r>
      <rPr>
        <b/>
        <sz val="11"/>
        <rFont val="Times New Roman"/>
        <family val="1"/>
      </rPr>
      <t xml:space="preserve">Soluciones propuestas para resolver los retrasos y factores limitantes para el cumplimiento:
- </t>
    </r>
    <r>
      <rPr>
        <sz val="11"/>
        <rFont val="Times New Roman"/>
        <family val="1"/>
      </rPr>
      <t>Solicitar apoyo en revisión y aprobación de las directivas sobre la política y programa de protección de datos personales y en la respuesta de los instrumentos solicitados.</t>
    </r>
  </si>
  <si>
    <r>
      <rPr>
        <b/>
        <sz val="11"/>
        <rFont val="Times New Roman"/>
        <family val="1"/>
      </rPr>
      <t xml:space="preserve">Infraestructura
</t>
    </r>
    <r>
      <rPr>
        <sz val="11"/>
        <rFont val="Times New Roman"/>
        <family val="1"/>
      </rPr>
      <t>- Se realizó mantenimientos del almacenamiento SAN y Planta Telefónica.
- Se migro del sistema de virtualización de hyper-v a VMware del servidor de mesa de ayuda.
- Se actualizó la versión del sistema de versionamiento GITLAB
- Se realizaron mantenimientos de CIOM de los equipos de comunicaciones de la ETB.
- Se actualizaron los servidores ICOPS-DESAROLLO, MESADEAYUDA, VERSIONAMIENTO, APLICACION DE ORFEO Y BASE DE DATOS DE ORFEO.
- Se realiza actualización del portal de la entidad core y librerías.
- Se actualiza core de intranet y librerías.</t>
    </r>
    <r>
      <rPr>
        <b/>
        <sz val="11"/>
        <rFont val="Times New Roman"/>
        <family val="1"/>
      </rPr>
      <t xml:space="preserve">
</t>
    </r>
    <r>
      <rPr>
        <sz val="11"/>
        <rFont val="Times New Roman"/>
        <family val="1"/>
      </rPr>
      <t xml:space="preserve">
</t>
    </r>
    <r>
      <rPr>
        <b/>
        <sz val="11"/>
        <rFont val="Times New Roman"/>
        <family val="1"/>
      </rPr>
      <t>Contractual</t>
    </r>
    <r>
      <rPr>
        <sz val="11"/>
        <rFont val="Times New Roman"/>
        <family val="1"/>
      </rPr>
      <t xml:space="preserve">
- Se realizó el pago de los contratos 1008 de 2023 UPS, Contrato No. 1005 smartnet, video proyección 1007 de 2023 y pago del contrato de la ETB 951 de 2023.
- Se sacó la solicitud de información a proveedores SP-033-2023 de consumibles
- Se dieron respuesta a las observaciones y evaluación del proceso SDMUJER-MC-017-2023 Mantenimiento de aire.
- Se dieron respuestas a las observaciones y evaluación del proceso SDMUJER-SASI-001-2023 DLP
- Se dieron respuestas a las observaciones realizadas al proceso de VMware a la dirección de contratación
- Se tramita desembolso del contrato No 1012 Soporte de Licencia TOAD
- Se realiza estudio de mercado, estudios previo y matriz de riesgo del proceso SP-031-2023 Firmas electrónicas.
</t>
    </r>
    <r>
      <rPr>
        <b/>
        <sz val="11"/>
        <rFont val="Times New Roman"/>
        <family val="1"/>
      </rPr>
      <t>Productos con Microsoft</t>
    </r>
    <r>
      <rPr>
        <sz val="11"/>
        <rFont val="Times New Roman"/>
        <family val="1"/>
      </rPr>
      <t xml:space="preserve">
Suscripciones totales: 5331
Suscripciones en uso: 5321
Porcentaje de utilización: 99%
</t>
    </r>
    <r>
      <rPr>
        <b/>
        <sz val="11"/>
        <rFont val="Times New Roman"/>
        <family val="1"/>
      </rPr>
      <t xml:space="preserve">Mesa de Ayuda (mes) </t>
    </r>
    <r>
      <rPr>
        <sz val="11"/>
        <rFont val="Times New Roman"/>
        <family val="1"/>
      </rPr>
      <t xml:space="preserve">
Casos recibidos: 684
Casos atendidos: 499
Casos pendientes de solución por complejidad: 185
</t>
    </r>
    <r>
      <rPr>
        <b/>
        <sz val="11"/>
        <rFont val="Times New Roman"/>
        <family val="1"/>
      </rPr>
      <t>Mesa de Ayuda (año corrido)</t>
    </r>
    <r>
      <rPr>
        <sz val="11"/>
        <rFont val="Times New Roman"/>
        <family val="1"/>
      </rPr>
      <t xml:space="preserve">
Casos recibidos: 6509 
Casos atendidos: 6073 
Casos pendientes de solución por complejidad: 436</t>
    </r>
  </si>
  <si>
    <r>
      <rPr>
        <b/>
        <sz val="11"/>
        <rFont val="Times New Roman"/>
        <family val="1"/>
      </rPr>
      <t>Soporte y actualización de servicios</t>
    </r>
    <r>
      <rPr>
        <sz val="11"/>
        <rFont val="Times New Roman"/>
        <family val="1"/>
      </rPr>
      <t xml:space="preserve">
- Se realizaron 4 requerimientos para el aplicativo ICOPS y 2 actualizaciones
- Se realizaron 311 publicaciones en la página de la entidad
- Se realizaron 9 publicaciones en la Intranet
- Se realiza actualización del chat bot de manzanas del cuidado con las 4 manzanas nuevas.
- Se realiza configuración y despliegue del servidor preproducción de Simisional 2
- Se desplego un nuevo CMS de WordPress para el portal “Da el primer paso”.
- Actualización de usuarios general para FUID de acuerdo con requerimiento.
- Se realiza actualización de actividades económicas e indicadores para ICOPS
- Se atienden 120 casos de mesa de ayuda para ICOPs
- Se realiza capacitaciones sobre actualización y modificaciones de contratos en ICOPs.</t>
    </r>
  </si>
  <si>
    <r>
      <rPr>
        <b/>
        <sz val="11"/>
        <rFont val="Times New Roman"/>
        <family val="1"/>
      </rPr>
      <t>Política de Seguridad Digital</t>
    </r>
    <r>
      <rPr>
        <sz val="11"/>
        <rFont val="Times New Roman"/>
        <family val="1"/>
      </rPr>
      <t xml:space="preserve">
- Se finalizó identificación de riesgos de gestión tecnológica con la definición de planes de tratamiento.
- Se realizó análisis de vulnerabilidades a 32 activos tecnológicos de la red interna de la Entidad.
- Se documentó el procedimiento de incidentes de seguridad de la información.
</t>
    </r>
    <r>
      <rPr>
        <b/>
        <sz val="11"/>
        <rFont val="Times New Roman"/>
        <family val="1"/>
      </rPr>
      <t xml:space="preserve">
Politica de Gobierno Digital:
</t>
    </r>
    <r>
      <rPr>
        <sz val="11"/>
        <rFont val="Times New Roman"/>
        <family val="1"/>
      </rPr>
      <t>- Se culminó el ejercicio de arquitectura empresarial y se aprobó su hoja de ruta.
- Se está formulando y actualizando el PETI para la vigencia 2024-2028.
- Se adelantó documento del ciclo de vida de la adquisición y software de sistemas de información.</t>
    </r>
  </si>
  <si>
    <r>
      <rPr>
        <b/>
        <sz val="11"/>
        <rFont val="Times New Roman"/>
        <family val="1"/>
      </rPr>
      <t>Política de Gobierno Digital</t>
    </r>
    <r>
      <rPr>
        <sz val="11"/>
        <rFont val="Times New Roman"/>
        <family val="1"/>
      </rPr>
      <t xml:space="preserve">
- Se culminó el primer ejercicio de arquitectura empresarial y se cuenta con una Hoja de Ruta de los proyectos a implementar.
- La entidad cuenta con una Política de Seguridad de la Información publicada en la página web.
- Se está gestionando la implementación de la Política de Gobierno Digital, en el marco del Decreto 767 del 16 de mayo del 2022.
- Se cuenta con un Plan Estratégico de Tecnologías de la Información y las Comunicaciones.
- Se tiene documentado y actualizado un catálogo de servicios de TI para su esquema de estrategia de TI.
- La entidad ha utilizado acuerdos marco de precios para la adquisición de bienes y servicios de TI a través de Colombia Compra Eficiente.
- Se definió un esquema de mantenimiento y soporte a los sistemas de información e infraestructura tecnológica.
</t>
    </r>
    <r>
      <rPr>
        <b/>
        <sz val="11"/>
        <rFont val="Times New Roman"/>
        <family val="1"/>
      </rPr>
      <t xml:space="preserve">Política de Seguridad Digital
</t>
    </r>
    <r>
      <rPr>
        <sz val="11"/>
        <rFont val="Times New Roman"/>
        <family val="1"/>
      </rPr>
      <t>- Se documentó y actualizó Plan de Seguridad de la Información para el año 2023.
- Se realizó la actualización de evaluación del autodiagnóstico del Modelo de Seguridad y Privacidad de la Información - MSPI.
- Se realizó el autodiagnóstico de datos personales reportado a la alta consejería de las TIC’s del Distrito.
- Actualización de la Política de Tratamiento de Datos Personales y Privacidad de la Entidad.
- Implementación del procedimiento de Gestión de Vulnerabilidades Tecnológicas en la Entidad.
- Documentación del procedimiento de Gestión de Incidentes de Seguridad de la Información.
- Actualización de los riesgos de seguridad de la información en el proceso de gestión tecnológica.
- Se tiene aprobado y publicado el Registro de Activos de Información y el Índice de Información Clasificada y Reservada
- Actualización del contacto de la Entidad ante el CSIRT del Distrito, para la coordinación de iniciativas de seguridad digital y respuesta a incidentes.</t>
    </r>
  </si>
  <si>
    <r>
      <rPr>
        <b/>
        <sz val="11"/>
        <rFont val="Times New Roman"/>
        <family val="1"/>
      </rPr>
      <t>Política de Seguridad de la Información
Retrasos y factores limitantes para el cumplimiento:</t>
    </r>
    <r>
      <rPr>
        <sz val="11"/>
        <rFont val="Times New Roman"/>
        <family val="1"/>
      </rPr>
      <t xml:space="preserve">
- Retrasos en la entrega de las áreas en la actualización de activos de información y el autodiagnóstico de tratamiento de datos personales.
- Falta de comentarios sobre la política y programa de protección de datos personales.
</t>
    </r>
    <r>
      <rPr>
        <b/>
        <sz val="11"/>
        <rFont val="Times New Roman"/>
        <family val="1"/>
      </rPr>
      <t xml:space="preserve">Soluciones propuestas para resolver los retrasos y factores limitantes para el cumplimiento:
</t>
    </r>
    <r>
      <rPr>
        <sz val="11"/>
        <rFont val="Times New Roman"/>
        <family val="1"/>
      </rPr>
      <t>- Solicitar apoyo en revisión y aprobación de las directivas sobre la política y programa de protección de datos personales y en la respuesta de los instrumentos solicitados.</t>
    </r>
  </si>
  <si>
    <r>
      <rPr>
        <b/>
        <sz val="11"/>
        <rFont val="Times New Roman"/>
        <family val="1"/>
      </rPr>
      <t>Política de Gobierno Digital</t>
    </r>
    <r>
      <rPr>
        <sz val="11"/>
        <rFont val="Times New Roman"/>
        <family val="1"/>
      </rPr>
      <t xml:space="preserve">
Uso y aprovechamiento de las Tecnologías de la Información y las Comunicaciones -TIC, para consolidar un Estado y ciudadanos competitivos, proactivos, e innovadores, que generen valor público en un entorno de confianza digital.
</t>
    </r>
    <r>
      <rPr>
        <b/>
        <sz val="11"/>
        <rFont val="Times New Roman"/>
        <family val="1"/>
      </rPr>
      <t>Política de Seguridad Digital</t>
    </r>
    <r>
      <rPr>
        <sz val="11"/>
        <rFont val="Times New Roman"/>
        <family val="1"/>
      </rPr>
      <t xml:space="preserve">
Fortalecimiento de las capacidades y competencias internas de los colaboradores de la Entidad y demás partes interesadas.
Identificación y actualización de los activos de información
Creación e implementación de lineamientos y acciones para preservar la confidencialidad, integridad y disponibilidad de la información.</t>
    </r>
  </si>
  <si>
    <t>1. En el mes de octubre se realizó apoyo en el análisis y revisión jurídica de la contratación de la entidad con la suscripción de 18 contratos por modalidad de contratación directa,  3 contratos por madalidad de selección  de minima cuantía, 1  por selección abreviada subasta Inversa,  y  1 por selección abreviada menor cuantía,
2. En el mes de octubre  se realizó la elaboración y publicación de los informes de seguimiento a la gestión de PQRS y atención a la ciudadanía, correspondientes al mes de septiembre, y  trimestral  (Tercer trimestre 2023).  y con corte al mes de septiembre  los informes del mes de diciembre, trimestral (cuarto trimestre del año 2022) y, enero, febrero, marzo, abril, mayo, junio, julio, agosto  y trimestral (primer y segundo trimestre 2023).  
3. En el mes de octubre y en lo recorrido del año 2023, se ha realizado el seguimiento semanal a las dependencias de la entidad de la gestión de peticiones ciudadanas, dentro de los términos estipulados por la ley en el Sistema Distrital para la Gestión de Peticiones Ciudadanas – Bogotá te escucha. . 
4. En el mes de octubre  y en lo recorrido del año 2023 se ha realizado seguimiento a los planes de mejoramiento internos y externos en el Sistema Integrado de Gestión- aplicativo Lucha, de las direcciones y/o equipos que hacen parte de la Corporativa  Así mismo, se realizó el seguimiento al PAAC 1 ro y 2do cuatrimestre 2023. 
5. En el mes de octubre  y en lo recorrido del año se ha dado respuesta a requerimientos de la Contraloría de Bogotá, Contraloría Gneral de la República y a la Personería de Bogotá. 
6. En octubre  y en lo recorrido del año se realizó seguimiento a la ejecución presupuestal de 11 proyectos de inversión, evidenciando una ejecución total de inversión del  95.19% y  giros del 59.70%. y funcionamiento 75.56% y giros de 71.41%.</t>
  </si>
  <si>
    <t xml:space="preserve">La dirección de contratación, en el mes de octubre en el marco del proyecto de inversión 7662 recibió  5 solicitudes de contratación, para un total  a corte  del mes de octubre de  157 solicitudes de contracción.
Por otro lado, recibió un total de 18 solicitudes  de contratación por  otros proyectos de invesión , para un total  a corte  del mes de octubre de  848 solicitudes de contracción.
De acuerdo a lo anterior,  entre el mes de enero a octubre la Dirección de Contratación  recibió un total de 1.005 solicitudes, las cuales fueron tramitadas y a su vez se suscribieron los respectivos contratos. 
Así mismo, en el mes de octubre  se realizó 80  modificaciones entre las cuales se encuentran, adiciones, adiciones y prórroga, prórroga, terminaciones anticipadas, otro sí modificatorios, cesiones,  liquidaciones, aclaratorios entre otros, para un total de 507 modificaciones aproximadamente. </t>
  </si>
  <si>
    <t>Octubre Bienestar: Vacaciones recreativas, día dulce, boletas de cine, Halloween y pausa mental. Capacitación: Mesa de ayuda, derecho al trabajo con dignidad, estudios previos, inducción, PPLGBTI y política antisoborno. SST: Visita sedes, investigación AT e IT, simulacro de evacuación, actualización brigada de emergencias, actividades riesgo psicosocial, COPASST, EMO, inspección puestos, actualización procedimientos, documentos y política. EDL y AG: Seguimiento, consultas, concertaciones y trámites relacionados. Situaciones Administrativas: Asignaciones de CIOM, terminación de encargo, licencias, vacaciones, liquidaciones, primas técnicas y horas extra.
Ene.–Oct.2023: Formular PETH y 5 planes anexos aprobados por MIPG. Bienestar: Autocuidado, profesiones, día auxiliar y conductor, caminatas, pausas mentales, jornada animales de compañía, día salud de las mujeres, ferias de servicios, PAP, 8M, boletas cine y teatro, torneo bolos y minitejo, vacaciones recreativas, día dulce, Halloween y mindfulness. Capacitación: Gobernanza, atención mujeres en sus diferencias y diversidades, inducción, Big Data, SQL, Power BI, políticas públicas, nuevos IP, liquidación e incumplimiento contractual, PPMYEG, LUCHA, SIMISIONAL, Mesa de Ayuda, regulación contable, lenguaje incluyente, prevención violencias, SIDICU, Circular 012 de 2023, decreto 332, violencias y feminicidio, PPLGBTI y antisoborno. SST: Seguimiento condiciones de salud, afiliaciones ARL, autoevaluación SG-SST, EMO, elección y sesiones del COPASST y CCL, prevención riesgo psicosocial y riesgo biológico, inspecciones, investigación AT, EPP, botiquines, semana de la salud, simulacro, actualización documentos y capacitación brigada. Situaciones Administrativas: Provisión de empleos, teletrabajo, horario flexible, primas técnicas, vinculación pasantes, pago ARL, licencias, vacaciones, horas extra, compensatorios, liquidaciones, renuncias, permisos de estudio y encargos. AG y EDL: Seguimiento, concertaciones y solicitudes.</t>
  </si>
  <si>
    <t>Solicitudes de CDP y CRP: 
Durante el mes de octubre, se atendieron todas las solicitudes de certificados presupuestales recibidas expidiendo lo que se relaciona a continuación:
- 120 Certificados de Disponibilidad Presupuestal -CDP
- 118 Certificados de Registro Presupuestal - CRP
Entre el período comprendido entre los meses de enero a 31de octubre de 2023, las expediciones acumuladas, son las siguientes: 
- 1.565  Certificados  de Disponibilidad Presupuestal . CDP
- 1.610  Certificados de Registro Presupuestal - CRP
Lo anterior refleja un avance en la ejecución presupuestal del 90,77% y de giros de 62,34% con corte al mes de octubre.
Estados Financieros: El 19 de septiembre del 2023 se publicó en la página Web de la entidad los siguientes estados financieros:   Estado de situación financiera comparativo Agosto - Junio 2023, Estado de Resultado Comparativo Agosto 2023-2022 y Certificación de los estados financieros Agosto 2023</t>
  </si>
  <si>
    <t>Mesas de ayuda Administrativa: Para el mes de octubre de 2023, se recibieron por mesa de ayuda 157 solicitudes, de las cuales 91 de ellas corresponden  a requerimientos de mantenimiento locativo, equivale al 58% , para el área de almacen se registraton 66 solicitudes equivalentes al 42%. 
Del total de los requerimientos se gestionaron el 100% dando una primera respuesta y seguimiento de los casos. Dentro del mes se cerraron 61 mesas de ayudas equivalentes a un 39% teniendo en cuenta las diferentes variables que se presentan para dar pronta solucion a los requerimientos.
Esquema de Publicación : Se tramitó y actualizó la Resolución No. 0357 del 31 agosto 2023 “Por medio de la cual se actualiza el Esquema de Publicación de la Información de la Secretaría Distrital de la Mujer, y se dictan otras disposiciones.” ; la cual deroga la Resolución No. 306 del 31 de agosto del 2022.
Se actualiza el presente formato y se publica en página WEB de la Entidad, BOTON DE TRANSPARENCIA Y ACCESO A LA INFORMACIÓN, numeral 7: el "Esquema de Publicación del Información" y la Resolución No. 357 de agosto 31 de 2023. Posteriormente se solicitó la publicación del "esquema de Publicación de la información en la Página WEB de la Entidad y en Datos Abiertos.</t>
  </si>
  <si>
    <t>1. Durante el mes de octubre  se adelantó el  2%  del avance presupuestado para este mes para la suscripción de  contratos y modificaciones contractuales. 
Para este mes se suscribieron un total de 18 contratos por modalidad de contratación directa,  3 contratos por madalidad de selección  de minima cuantía,  1 por selección abreviada Subasta Inversa,  y  1 por selección abreviada menor cuantía,
Por lo que se evanzo en un 2% en la contratación y un 100% en modificaciones.</t>
  </si>
  <si>
    <t>1. Con corte al mes de octubre,  se   ha suscrito 943 contratos por prestación de servicios profesionales y de apoyo a la gestión de los 970 programados,  haciendo falta un aproximado de 27 solicitudes de contratación por radicar las áreas en la Dirección de Contratación, Logrando así que la entidad en general cuente con los profesionales requeridos para coayudar al cumplimiento de las metas planes y proyectos institucionales
2.  Por otro lado, durante el mes de enero a octubre se adelantaron la totalidad de los tramites radicados incluyendo los tramites contractuales diferentes a contrataciones nuevas requeridas por las áres, como son:   Adiciones, Adiciones y Prórroga, Prórroga, Terminaciones Anticipadas, Otro Sí Modificatorios, Cesiones,  liquidaciones, Aclaratorios entre otros que surgen durantes y despues de la ejecución de los contratos. 
Dejandonos con un avance del 97,2 % de cumplimiento en la contratación de Prestación de Servicios Profesionales y de Apoyo a la gestión y un 100% en otros trámites en el mes de octubre</t>
  </si>
  <si>
    <t>1. A la fecha los retrazos presentados por devoluciones de documentos contractuales han sido solucionado en la mayoria de los casos inmediatament</t>
  </si>
  <si>
    <t xml:space="preserve"> Con la suscripcion de  943 contratos de prestación de servicios Profesionales y de Apoyo a la Gestión, las areas misionales y de Apoyo pueden cumplir con sus proyectos y  metas presuspuestadas sin ningun contratiempo al contar con el presonal idoneo y requerido para ello.
                                                                                                                                                                            Gracias a la suscripción de los  23 contratos nuevos  de arrendamiento y la adición prorroga de uno,   las casas de igualdad y oportunidades, la entidad y la casa de todas, siguen pretando los servicios ofertados  a todas la mujeres que hacen uso de estos,           
Por otro lado, a corte 31  de octubre, la entidad ha suscrito 39 contratos por otras modalidades de selección los cuales son importantes para garantizar el adecuado funcionamiento y la prestacion del  servico  de oferta institucional         </t>
  </si>
  <si>
    <r>
      <t xml:space="preserve">Con corte al 31 de octubre de la vigencia 2023, se realizó transferencia primaria de la Subsecretaria de Gestión Corporativa y Dirección Administrativa y Financiera, para un total de 9 metros lineales de los 55 metros proyectados
</t>
    </r>
    <r>
      <rPr>
        <b/>
        <sz val="12"/>
        <rFont val="Times New Roman"/>
        <family val="1"/>
      </rPr>
      <t>Del mes de enero al mes de octubre, se tienen un total de 54,5 metros lineales, cumpliendo con la meta propuesta para el reporte al mes.</t>
    </r>
  </si>
  <si>
    <r>
      <t xml:space="preserve">Con corte al 31 de octubre de la vigencia 2023, se realizó organización documental (clasificación, ordenación, foliación y rótulación) de 17 cajas equivalentes a 4,25  metros lineales de la Dirección de Contratación, Vigencia 2015 y 2017 - Archivo Central y  6 cajas de la Dirección de Contratación, Vigencia 2021 y 2023 Edificio Elemento,  para un total de 23 cajas equivalentes a 5,75 metros lineales, </t>
    </r>
    <r>
      <rPr>
        <b/>
        <sz val="12"/>
        <rFont val="Times New Roman"/>
        <family val="1"/>
      </rPr>
      <t>para un acumulado de 129,75 metros lineales, de los 150 proyectados.</t>
    </r>
  </si>
  <si>
    <t xml:space="preserve">Con corte al  31 de octubre de la vigencia 2023, se actualizó y socializó el formato GD-FO-48 - TABLA DE CONTROL DE ACCESO - TCA - V1. Asimismo, se realizó mesa de trabajo con el Archivo de Bogotá, para revisión de ajustes de las 17 tablas de retención documental de la SDMujer. Por otro lado, se realizó informe general sobre las visitas de seguimiento realizadas a las 17 dependencias de Nivel Central.  </t>
  </si>
  <si>
    <t xml:space="preserve">Con corte al 31 de octubre de la vigencia 2023 y como parte de la implementación del Sistema Integrado de Conservación- SIC, se realizó sensibilizacion sobre aspectos básicos de conservación a colaboradores de las dependencias: Despacho - Oficina Asesora de Planeación - Oficina Asesora Jurídica - Oficina Control Interno - Oficina Control Disciplinario Interno - Subsecretaria del Cuidado y Políticas de Igualdad. Por otro lado,  se realizó revisión de características necesarias y posibles espacios para el Archivo Central, de acuerdo a la proyección de crecimiento, préstamo de espacio, entre otros aspectos de conservación. Así mismo, se realizó concepto técnico de las unidades de conservación (carpetas cuatro aletas) para la documentación de conservación total y se realizó seguimiento de contratación para la adquisición de mobiliario para el Archivo Central. </t>
  </si>
  <si>
    <t>Con corte a 31 de octubre de la vigencia 2023 , se realizaron 2 sensibilizaciones de acuerdo a la programación. Asi mismo, se realizaron mesas de trabajo para realizar diágnostico al Sistema de Gestión Documental Orfeo. Por otro lado, se atendieron 84 mesas de ayuda, dando cumplimiento a las actividades contempladas en el Plan de Preservación Digital a Largo Plazo.</t>
  </si>
  <si>
    <r>
      <t xml:space="preserve">Con corte al 31 de octubre de la vigencia 2023, se realizó transferencia primaria de la Subsecretaria de Gestión Corporativa y Dirección Administrativa y Financiera, para un total de 9 metros lineales de los 55 metros proyectados.
</t>
    </r>
    <r>
      <rPr>
        <sz val="11"/>
        <rFont val="Times New Roman"/>
        <family val="1"/>
      </rPr>
      <t>Adicionalmente, se realizó organización documental (clasificación, ordenación, foliación y rótulación) de 17 cajas equivalentes a 4,25  metros lineales de la Dirección de Contratación, Vigencia 2015 y 2017 - Archivo Central y  6 cajas de la Dirección de Contratación, Vigencia 2020 y 2023 Edificio Elemento,  para un total de 23 cajas equivalentes a 5,75 metros lineales, para un acumulado de 122 metros lineales, de los 150 proyectados.</t>
    </r>
    <r>
      <rPr>
        <sz val="11"/>
        <color indexed="8"/>
        <rFont val="Times New Roman"/>
        <family val="1"/>
      </rPr>
      <t xml:space="preserve">
Como parte de la implementación del Sistema Integrado de Conservación- SIC, se realizó sensibilizacion sobre aspectos básicos de conservación a colaboradores de: Despacho - Oficina Asesora de Planeación - Oficina Asesora Jurídica - Oficina Control Interno - Oficina Control Disciplinario Interno - Subsecretaria del Cuidado y Políticas de Igualdad. Por otro lado,  se realizó revisión de características necesarias y posibles espacios para el Archivo Central, de acuerdo a la proyección de crecimiento, préstamo de espacio, entre otros aspectos de conservación. Así mismo, se realizó concepto técnico de las unidades de conservación (carpetas cuatro aletas) para la documentación de conservación total y se realizó seguimiento de contratación para la adquisición de mobiliario para el Archivo Central. 
Por otro lado, se realizaron 2 sensibilizaciones de acuerdo a la programación. Asi mismo, se realizaron mesas de trabajo para realizar diágnostico al Sistema de Gestión Documental Orfeo. Por otro lado, se atendieron 84 mesas de ayuda, dando cumplimiento a las actividades contempladas en el Plan de Preservación Digital a Largo Plazo.</t>
    </r>
  </si>
  <si>
    <r>
      <t xml:space="preserve">En el marco del seguimiento al cumplimiento de la Política de Gestión Documental en la entidad desde el Proceso de Gestión Documental, se da cumplimiento al cronograma de trabajo establecido para la vigencia frente a la gestión de transferencia documental, según cronograma aprobado en sesión No. 1 del Comité Institucional de Gestión y Desempeño.
Para el total de archivos transferidos se gestionó lo correspondiente de parte de la Oficina Asesora de Planeación con 0,25 metros lineales, Oficina Asesora Jurídica con 0,75 metros lineales, Oficina de Control Interno con 1,5 metros lineales, Oficina de Control Disciplinario Interno con 10 metros lineales, Subsecretaria del Cuidado y Políticas de Igualdad con 3 metros lineales, Dirección de Derechos y Diseño de Políticas con 2,25 metros lineales y Casa de Todas con 8 metros lineales, Dirección de Gestión del Conocimiento con 0,5 metros lineales, Dirección de Enfoque Diferencial, Dirección de Talento Humano con 1,25 metros lineales, Dirección de Territorialización con 6,5 metros lineales, Subsecretaria de Fortalecimiento de Capacidades y Oportunidaddes con 1,25 metros lineales, Subsecretaria de Gestión Corporativa con 0,25 metros lineales, Dirección Administrativa y Financiera con 17,5 metros lineales, </t>
    </r>
    <r>
      <rPr>
        <b/>
        <sz val="11"/>
        <rFont val="Times New Roman"/>
        <family val="1"/>
      </rPr>
      <t>para un total de  54,5 metros lineales de los 55 metros proyectados.</t>
    </r>
  </si>
  <si>
    <t>No aplica</t>
  </si>
  <si>
    <t>Medir el nivel de satisfacción de los clientes del proceso de Direccionamiento Estratégico, de acuerdo con los criterios definidos.</t>
  </si>
  <si>
    <t>Nivel de satisfacción del cliente interno del proceso de Direccionamiento Estratégico</t>
  </si>
  <si>
    <t>Calificación obtenida de los encuestados para todos los atributos o criterios en los servicios evaluados / [puntuación total máxima a obtener)*100</t>
  </si>
  <si>
    <t>Reporte Encuesta de satisfacción – proceso Direccionamiento Estratégico</t>
  </si>
  <si>
    <t>El avance en las actividades hasta la fecha ha fortalecido la gestión  y seguimiento a la implementación de la Gestión Documental. La integración e identificación física y electrónica de todos los documentos ha permitido evitar la pérdida de la documentación y reducir el tiempo de respuesta .
De igual manera, se ha dado cumplimiento a la normatividad vigente en la implementación de los Instrumentos Archivísticos. Estos instrumentos ayudan a estandarizar y estructurar los procesos de Gestión Documental, dando un  valor correspondiente a la documentación,permitiendo realizar controles y seguimiento a la información producida, lo que facilita la toma de decisiones en el marco de la misionalidad de la entidad.</t>
  </si>
  <si>
    <t>Este mes no se reporta avance de este indicador, debido a la periodicidad de su programación.</t>
  </si>
  <si>
    <t>Se realizó revisión y aprobación de la documentación de Planes de Acción de los 11 proyectos de inversión para la vigencia 2023 en el Comité Institucional de Gestión y Desempeño mediante acta número 002 del 30 de enero de 2022.</t>
  </si>
  <si>
    <t>No se presentaron retrasos</t>
  </si>
  <si>
    <t>En el mes de octubre se realizó la revisión de los reportes de seguimiento del plan de acción con corte a 30 de septiembre de 2023 de los 11 proyectos de inversión.</t>
  </si>
  <si>
    <t>Con corte al mes de octubre se ha realizado la revisión del seguimiento del plan de acción de los 11 proyectos de inversión con corte al mes de diciembre de 2022, enero, febrero, marzo, abril, mayo, junio, julio, agosto y septiembre de 2023.</t>
  </si>
  <si>
    <t>Se realizó presentación de seguimiento al Plan Estratégico Institucional con corte al 31 de diciembre de 2022 y con corte al 30 de junio de 2023 en el Comité MIPG No.08.</t>
  </si>
  <si>
    <t>En el marco del proceso de anteproyecto presupuestal para la vigencia 2023, desde la Oficina Asesora de Planeación fueron expedidos los lineamientos y cronograma para la elaboración, consolidación y presentación del documento de anteproyecto para la SHD en la fecha establecida. 
En cumplimiento del cronograma, en el mes de julio se recibieron las versiones preliminares de la programación presupuestal las cuales fueron revisadas por el equipo de Direccionamiento Estratégico.
Entre el 11 y el 14 de julio se realizaron mesas de trabajo con las dependencias para revisar las necesidades de presupuesto. Posteriormente, el 24 de julio se presentaron las necesidades al Despacho y el 10 de agosto se adelantó la mesa técnica con la Secretaría Distrital de Hacienda-SDH y la Secretaría Distrital de Planeación-SDP, conforme con los lineamientos y el cronograma establecido por la SHD.
El 30 de septiembre se comunicaron las cuotas de inversión y funcionamiento y se solicitó a las dependencias ajustar la programación presupuestal, así como las justificaciones técnicas de los proyectos para 2024
Con base a la cuota informada mediante radicado 1-2023-017110 del 9 de octubre, la Oficina Asesora de Planeación envió a la SDH el documento correspondiente al Anteproyecto de Presupuesto de Gastos e Inversiones para la vigencia 2024 para la SDMujer.</t>
  </si>
  <si>
    <r>
      <rPr>
        <b/>
        <sz val="11"/>
        <color indexed="8"/>
        <rFont val="Times New Roman"/>
        <family val="1"/>
      </rPr>
      <t>PETI</t>
    </r>
    <r>
      <rPr>
        <sz val="11"/>
        <color indexed="8"/>
        <rFont val="Times New Roman"/>
        <family val="1"/>
      </rPr>
      <t xml:space="preserve">
- Se realizo socialización y capacitación con los procesos para la recolección de entregables de acuerdo con los lineamientos de las fases metodológicas. 100% 
- Se adelantó documento del ciclo de vida de la adquisición y software de sistemas de información. 60% 
- Se avanza en el lineamiento del uso y apropiación, interoperabilidad.  50% 
- Se realizo reunión para elaboración y proyección de Capex y Opex con gestión tecnológica, GC, DAF, enfoque diferencial y el proceso de prevención y atención integral a mujeres víctimas de violencia. 100% 
- Se está formulando y actualizando el PETI para la vigencia 2024-2028: 80%
- Se están documentando los catálogos de TI. / 70% 
</t>
    </r>
    <r>
      <rPr>
        <b/>
        <sz val="11"/>
        <color indexed="8"/>
        <rFont val="Times New Roman"/>
        <family val="1"/>
      </rPr>
      <t xml:space="preserve">ARQUITECTURA EMPRESARIAL
</t>
    </r>
    <r>
      <rPr>
        <sz val="11"/>
        <color indexed="8"/>
        <rFont val="Times New Roman"/>
        <family val="1"/>
      </rPr>
      <t>- Se culminó el ejercicio de arquitectura empresarial y se aprobó su hoja de ruta: 100%</t>
    </r>
  </si>
  <si>
    <r>
      <rPr>
        <b/>
        <sz val="11"/>
        <color indexed="8"/>
        <rFont val="Times New Roman"/>
        <family val="1"/>
      </rPr>
      <t>Política de Gobierno Digital</t>
    </r>
    <r>
      <rPr>
        <sz val="11"/>
        <color indexed="8"/>
        <rFont val="Times New Roman"/>
        <family val="1"/>
      </rPr>
      <t xml:space="preserve">
- Se culminó el primer ejercicio de arquitectura empresarial y se cuenta con una Hoja de Ruta de los proyectos a implementar.
- La entidad cuenta con una Política de Seguridad de la Información publicada en la página web.
- Se está gestionando la implementación de la Política de Gobierno Digital, en el marco del Decreto 767 del 16 de mayo del 2022.
- Se cuenta con un Plan Estratégico de Tecnologías de la Información y las Comunicaciones.
- Se tiene documentado y actualizado un catálogo de servicios de TI para su esquema de estrategia de TI.
- La entidad ha utilizado acuerdos marco de precios para la adquisición de bienes y servicios de TI a través de Colombia Compra Eficiente.
- Se definió un esquema de mantenimiento y soporte a los sistemas de información e infraestructura tecnológica.
</t>
    </r>
  </si>
  <si>
    <r>
      <rPr>
        <b/>
        <sz val="11"/>
        <color indexed="8"/>
        <rFont val="Times New Roman"/>
        <family val="1"/>
      </rPr>
      <t>Política de Seguridad Digital</t>
    </r>
    <r>
      <rPr>
        <sz val="11"/>
        <color indexed="8"/>
        <rFont val="Times New Roman"/>
        <family val="1"/>
      </rPr>
      <t xml:space="preserve">
- Se finalizó identificación de riesgos de gestión tecnológica con la definición de planes de tratamiento.
- Se realizó análisis de vulnerabilidades a 32 activos tecnológicos de la red interna de la Entidad.
- Se documentó el procedimiento de incidentes de seguridad de la información.
- Se avanzó con el 70% de las áreas en la actualización de activos de información y autodiagnóstico de tratamiento de datos personales.
- Se documento el programa de protección de datos personales y se envió para presentar a próximo comité de gestión y desempeño.
- Se realizaron ajustes al procedimiento de gestión de vulnerabilidades técnicas.
- Se identificaron riesgos de seguridad de la información en datos personales.
- Se iniciaron capacitaciones en tratamiento de datos personales a las distintas áreas de la Entidad.</t>
    </r>
  </si>
  <si>
    <r>
      <rPr>
        <b/>
        <sz val="11"/>
        <color indexed="8"/>
        <rFont val="Times New Roman"/>
        <family val="1"/>
      </rPr>
      <t>Política de Seguridad Digital</t>
    </r>
    <r>
      <rPr>
        <sz val="11"/>
        <color indexed="8"/>
        <rFont val="Times New Roman"/>
        <family val="1"/>
      </rPr>
      <t xml:space="preserve">
- Se documentó y actualizó Plan de Seguridad de la Información para el año 2023.
- Se realizó la actualización de evaluación del autodiagnóstico del Modelo de Seguridad y Privacidad de la Información - MSPI.
- Se realizó el autodiagnóstico de datos personales reportado a la alta consejería de las TIC’s del Distrito.
- Actualización de la Política de Tratamiento de Datos Personales y Privacidad de la Entidad.
- Implementación del procedimiento de Gestión de Vulnerabilidades Tecnológicas en la Entidad.
- Documentación del procedimiento de Gestión de Incidentes de Seguridad de la Información.
- Actualización de los riesgos de seguridad de la información en el proceso de gestión tecnológica.
- Se tiene aprobado y publicado el Registro de Activos de Información y el Índice de Información Clasificada y Reservada
- Actualización del contacto de la Entidad ante el CSIRT del Distrito, para la coordinación de iniciativas de seguridad digital y respuesta a incidentes.</t>
    </r>
  </si>
  <si>
    <t>- Retrasos en la entrega de las áreas en la actualización de activos de información y el autodiagnóstico de tratamiento de datos personales.
- Falta de comentarios sobre la política y programa de protección de datos personales.</t>
  </si>
  <si>
    <t>Solicitar apoyo en revisión y aprobación de las directivas sobre la política y programa de protección de datos personales y en la respuesta de los instrumentos solicitados.</t>
  </si>
  <si>
    <t>Productos con Microsoft
Suscripciones totales: 5331
Suscripciones en uso: 5321
Porcentaje de utilización: 99%</t>
  </si>
  <si>
    <t>- Se suscribió contrato 951 de 2023 con la empresa de telecomunicaciones ETB
- Se suscribió IAAS y PAAS Orden de compra No. 108689 contrato 914-2023
- Se suscribió el contrato 952 Kawak
- Se suscribió contrato  Microsoft 932 de 2023
- Se suscribió adquisición de certificados SSL contrato 975 de 2023
- Se dio inicio al contrato de Oracle orden de compra 113288 cto 987 de 2023
- Se dio inicio al contrato licencias Adobe cto 995 de 2023 
- Se dio inicio al contrato de smartnet 1005 de 2023
- Se dio inicio al contrato de UPS 1008 de 2023 
- Se dio inicio al contrato de proyección de video 1007 de 2023
- Se realizó el pago de los contratos 1008 de 2023 UPS, Contrato No. 1005 smartnet, video proyección 1007 de 2023 y pago del contrato de la ETB 951 de 2023.
- Se sacó la solicitud de información a proveedores SP-033-2023 de consumibles
- Se dieron respuesta a las observaciones y evaluación del proceso SDMUJER-MC-017-2023 Mantenimiento de aire.
- Se dieron respuestas a las observaciones y evaluación del proceso SDMUJER-SASI-001-2023 DLP
- Se dieron respuestas a las observaciones realizadas al proceso de VMware a la dirección de contratación
- Se tramita desembolso del contrato No 1012 Soporte de Licencia TOAD
- Se realiza estudio de mercado, estudios previo y matriz de riesgo del proceso SP-031-2023 Firmas electrónicas.</t>
  </si>
  <si>
    <t>- Las revisiones de contratación y corporativa son muy demoradas.</t>
  </si>
  <si>
    <t xml:space="preserve">- Se debería plantear la necesidad que un solo abogado de contratación se encargue de todos los procesos de tecnología, con eso las revisiones se unifican y no está sujeto a valoraciones personales. </t>
  </si>
  <si>
    <t>Mesa de Ayuda (mes) 
Casos recibidos: 684
Casos atendidos: 499
Casos pendientes de solución por complejidad: 185</t>
  </si>
  <si>
    <t>Mesa de Ayuda (año corrido)
Casos recibidos: 6509 
Casos atendidos: 6073 
Casos pendientes de solución por complejidad: 436</t>
  </si>
  <si>
    <t>Los requerimientos pendientes corresponden en su gran mayoría a Simisional y solo hay una persona que brinda el soporte.</t>
  </si>
  <si>
    <t>Se realiza seguimiento semanal a los casos pendientes y se envía correo a los solucionadores solicitando acelerar la gestión de los mismos. Se espera reducir los pendientes con SIMISIONAL2.</t>
  </si>
  <si>
    <t>- Se dio inicio al contrato de UPS 1008 de 2023.
- Se realiza primer mantenimiento de UPS del contrato 1008 de 2023.
- Se realizó mantenimientos del almacenamiento SAN y Planta Telefónica.</t>
  </si>
  <si>
    <t>- Se realizaron los mantenimientos a los sistemas de información de acuerdo al cronograma.
- Se realizó mantenimientos del almacenamiento SAN y Planta Telefónica.
- Se migro del sistema de virtualización de hyper-v a VMware del servidor de mesa de ayuda.
- Se actualizó la versión del sistema de versionamiento GITLAB
- Se realizaron mantenimientos de CIOM de los equipos de comunicaciones de la ETB.
- Se actualizaron los servidores ICOPS-DESAROLLO, MESADEAYUDA, VERSIONAMIENTO, APLICACION DE ORFEO Y BASE DE DATOS DE ORFEO.
- Se realiza actualización del portal de la entidad core y librerías.
- Se actualiza core de intranet y librerías.</t>
  </si>
  <si>
    <t>Requerimientos de soporte ICOPS atendidos: 1085
Requerimientos relacionados con soporte a la página: 2836 
- Alistamiento, configuración y actualización de los servidores que soportan los aplicativos de la entidad y portales institucionales.
- Se realizaron 9 publicaciones en la Intranet
- Actualización del chat bot de manzanas del cuidado con las 4 manzanas nuevas.
- Configuración y despliegue del servidor preproducción de Simisional 2
- Se desplego un nuevo CMS de WordPress para el portal “Da el primer paso”.
- Actualización de usuarios general para FUID de acuerdo con requerimiento.
- Actualización de actividades económicas e indicadores para ICOPS
- Se atienden 120 casos de mesa de ayuda para ICOPs
- Capacitaciones sobre actualización y modificaciones de contratos en ICOPs.</t>
  </si>
  <si>
    <t>Este mes no se reporta avance de este indicador, debido a la periodicidad de su programación de ejecución.</t>
  </si>
  <si>
    <t>Durante lo corrido de la vigencia 2023, se adelantaron las siguientes acciones, de acuerdo con el Plan de Bienestar Social e Incentivos aprobado para la vigencia 2023:
1. Elaboración y aprobación del plan de Bienestar Social e Incentivos para la vigencia 2023.
2. Conmemoración del día de autocuidado. 
3. Conmemoración del día de las y los auxiliares administrativos.
4. Se realizaron jornadas de mindfulness con las diferentes dependencias de la Entidad.
5. Participación en la actividad cultural de la película ALI.
6. Se enviaron mensajes de condolencias. 
7. Se realizaron ferias de servicios de la caja de compensación, escolar, salud, financiera, entre otros. 
8. Conmemoración del día por los derechos de las mujeres - 8M
9. Conmemoración de profesiones.
10. Se realizó socialización de las alianzas del DASCD.
11. Se han desarrollado 3 caminatas ecológicas, con asistencia de 80 personas, 102 personas y 107 personas respectivamente.
12. Se realizó la conmemoración del día internacional por la salud de las mujeres con la asistencia de 102 personas.
13. Se realizaron pausas mentales.
14. Se brindó apoyo emocional de primeros auxilios psicológicos a las servidoras que lo solicitaron.
15. Se realizó el torneo de bolos 2023, con la participación de 65 servidoras y servidores.
16. Se llevó a cabo la conmemoración del día nacional del servidor público y el 10° aniversario de la entidad. 
17. Se ejecutó el taller de manualidades con asistencia de 43 personas.
18. Se realizó la conmemoración de los días emblemáticos de mujeres jóvenes y mujeres indígenas. 
19. Se hizo el reconocimiento del día de las y los profesionales (ingenieras, antropólogas y nutricionistas).
20. Se desarrollo la conmemoración del día del conductor con el DASCD, donde participaron los 4 conductores de la Entidad.
21. Se ejecutó la actividad para prepensionadas con la asistencia de 11 personas.
22. Se llevó a cabo el torneo de minitejo con la participación de 50 funcionarias y funcionarios. 
23. Se realizó la actividad con animales de compañía (con perros fue presencial y asistieron 17 funcionarias y funcionarios, con gatos fue de manera virtual donde participaron 18 funcionarias y funcionarios). 
24. Se hizo la entrega de las boletas de teatro para 171 servidoras y servidores de la entidad.
25. Se hizo la entrega de bono de reconocimiento a 104 cuidadoras y cuidadores de la entidad.</t>
  </si>
  <si>
    <t>Durante lo corrido de la vigencia 2023, se adelantaron las siguientes acciones, de acuerdo con el Plan Institucional de Capacitación aprobado para la vigencia 2023:
1. Elaboración y aprobación del plan institucional de capacitación para la vigencia 2023.
2. Difusión del curso sobre gobernanza pública.
3. Capacitación sobre el uso de los nuevos teléfonos IP de la Entidad, asistencia de 16 personas.
4. Jornada de Inducción con la participación de 54 personas.
5. Capacitación en atención a mujeres con enfoque de género, asistencia de 40 personas.
6. Difusión del curso sobre políticas públicas.
7. Capacitación sobre fundamentos de big data, diseño y administración de bases de datos.
8. Capacitación sobre el uso del aplicativo LUCHA, con la asistencia de 69 personas.  
9. Capacitación sobre el uso del aplicativo MESA DE AYUDA, con la participación de 188 personas.
10. Capacitación sobre transversalización de la PPMYEG, con la asistencia de 124 personas. 
11. Capacitación sobre gestión contractual, con participación de 56 personas. 
12. Difusión del curso de Gobernanza Pública: Conceptualización desde los pilares de transparencia, participación y colaboración.
13. Capacitación sobre bases conceptuales y funcionamiento del SIDICU, con la asistencia de 122 personas.
14. Charla sobre lenguaje incluyente con la participación de 93 personas.
15. Capacitación sobre servicio a la ciudadanía con la asistencia de 76 personas.
16. Charla sobre prevención en acoso laboral con la participación de 76 personas.
17. Socialización del derecho a la paz con la asistencia de 73 personas.
18. Capacitación sobre el aplicativo KAWAK con la asistencia de 90 personas. 
19. Capacitación sobre el aplicativo SIMISIONAL 2.0 con la participación de 277 personas. 
20. Capacitación sobre ORFEO con la asistencia de 34 personas. 
21. Capacitación en competencias blandas con la participación de 310 personas.
22. Capacitación en lengua de señas con la asistencia de 16 personas.  
23. Capacitación sobre atención a mujeres en busca de personas desaparecidas con asistencia de 42 personas.
24. Capacitación sobre atención incluyente a la ciudadanía, con la participación de 31 personas.
25. Socialización del derecho a la cultura con la asistencia de 52 personas.
26. Capacitación sobre rutas de atención para las violencias contrala mujer con la participación de 82 personas.
27. Capacitación sobre contratación estatal con asistencia de 35 personas.
28.  Curso de actualización jurídica en derecho de familia y derecho penal, con asistencia de 24 servidoras y servidores públicos. 
29. Curso de resolución de conflictos con asistencia de 22 servidoras y servidores públicos. 
30.  Curso de primeros auxilios psicológicos con enfoque de género, con asistencia de 25 servidoras y servidores públicos. 
31.  Curso de actualización normativa en violencias de género - feminicidios. 
32.  Capacitación sobre situaciones administrativas con la asistencia de 30 personas. 
33. Capacitación en regulación contable con asistencia de 1 servidora pública.
34. Capacitación en actualización tributaria con asistencia de 1 servidora pública. 
35. Capacitación en política de seguridad y protección de datos personales, con asistencia de 207 personas. 
36. Capacitación sobre los derechos de la PPMYEG, con la asistencia de 235 personas. 
37. Capacitación sobre atención y servicio a la ciudadanía con la participación de 22 personas. 
38. Capacitación en temas contractuales con la asistencia de 96 personas.</t>
  </si>
  <si>
    <t>En lo corrido de la vigencia 2023, se adelantaron las siguientes gestiones enmarcadas en el Plan Anual de Seguridad y Salud en el Trabajo aprobado para la vigencia 2023:
1. Se realizó la autoevaluación al SG-SST.
2. Se formuló y aprobó el Plan Anual de Seguridad y Salud en el trabajo para la vigencia.
3. Se ejecutaron las afiliaciones ARL de las personas que se vinculan a la entidad.
4. Se adelantaron las sesiones del COPASST con periodicidad mensual.
5. Se realizaron las elecciones del COPASST y Comité de Convivencia Laboral.
6. Se ejecutó la capacitación funciones y generalidades dirigida a representantes COPASST.
7. Se llevó a cabo la socialización de peligros en centros de trabajo.
8. Se realizaron los reportes e investigaciones de accidentes de trabajo. 
9. Se hizo el seguimiento al cumplimiento de medidas de intervención de los accidentes de trabajo.
10. Se adelantaron las inspecciones de puesto de trabajo requeridas.
11. Se programó la medición de ruido e iluminación en la CIOM Usme.
12. Se desarrollaron actividades de prevención de riesgo psicosocial. 
13. Se socializaron y se hizo seguimiento a las recomendaciones de los EMO en el marco del programa de estilos de vida saludable.
14. Se llevaron a cabo las evaluaciones médicas ocupacionales de ingreso, periódicas, egreso y post incapacidad.
15. Se registraron los resultados de los indicadores del SG-SST, teniendo en cuenta la periodicidad de estos.
16. Se actualizaron los documentos del SG-SST.
17. Se realizó seguimiento a la implementación de controles de las matrices de peligros.
18. Se realizó la entrega de suministros para prevención de riesgo biológico, capacitación y seguimiento a casos Covid-19.
19. Se realizaron acompañamientos grupales para promover estilos de vida saludable.
20. Se socializó el programa de prevención de riesgo público y se realizó capacitación de prevención.
21. Se realizó convocatoria para conformar la brigada de emergencias.
22. Se actualizó el Plan Estratégico de Seguridad Vial.
23. Se realizó seguimiento a las sesiones del CCL.
24. Se socializó la información de las matrices de peligros y planes de emergencia.
25. Se realizó seguimiento a las medidas de intervención de los AT.
26. Se realizó capacitación de brigada con énfasis en participación en simulacros.
27.         Se actualizó el Plan Estratégico de Seguridad Vial.
28. Se realizó convocatoria para conformar la brigada de emergencias.
29. Se socializó la información de las matrices de peligros y planes de emergencia.
30. Se desarrollo capacitación de brigada con énfasis en participación en simulacros.</t>
  </si>
  <si>
    <t>En lo corrido de la vigencia 2023, se adelantaron las siguientes gestiones enmarcadas en el Plan de Gestión de Integridad establecido en el Componente de Iniciativas Adicionales del Plan de Anticorrupción y Atención a la Ciudadanía - PAAC aprobado para la vigencia 2023:
1. Se realizó la encuesta de identificación de preferencias y necesidades de bienestar e incentivos 2023 - Integridad, diligenciada por 115 personas.
2. Se realizó la evaluación relacionada con las acciones de integridad ejecutadas durante la vigencia 2022, diligenciada por 105 personas.
3. Se realizó la socialización de los resultados de la encuesta sobre las propuestas para actividades 2023 y los resultados de la evaluación de las acciones de integridad ejecutadas en la vigencia 2022 con el equipo de gestoras y gestores de integridad en la reunión realizada el viernes 28 de abril de 2023.
4. Se han realizado publicaciones a través de la Boletina, relacionadas con la difusión y socialización del código de integridad de la Entidad.
5. Desde Soy10 Aprende, de la Alcaldía Mayor de Bogotá, se remitió la invitación a realizar el curso de "Gestores de Integridad: Líderes de la Cultura de Integridad en el Distrito", el cual fue remitido a las gestoras y gestores de integridad de la Entidad. Así mismo, desde la Dirección de Talento Humano, en el mes de abril se remitió el correo "¡Te invitamos a hacer el Curso de Integridad!" a todas las servidoras, servidores y contratistas de la Entidad.
6. Se desarrollaron reuniones con el equipo de gestoras y gestores de integridad de la Entidad el viernes 28 de abril de 2023 y el 31 de agosto de 2023.
7. Desde la Dirección de Talento Humano se expidieron oficios a las servidoras y servidores públicos que se retiraron de la Entidad, donde se indican los lineamientos para el proceso de desvinculación y se solicita la actualización de las declaraciones de bienes y rentas y conflictos de interés.
8. Se conformó el nuevo grupo de gestoras y gestores de integridad de la Entidad para el período 2023-2025.</t>
  </si>
  <si>
    <t xml:space="preserve">Durante el mes de octubre no se reporta avances del indicador de acuerdo con lo programada </t>
  </si>
  <si>
    <t>Se atienden 31 solicitudes de LUCHA de las 31 recibidas, teniendo un avance del 100%. Ente las solicitudes reicibidas se encuentran gestión de usuarios, actualizaciones, eliminación, copias, revisión y publicación de documentos.</t>
  </si>
  <si>
    <t>Durante lo transcurrido de esta vigencia se han atendido 222 solicitudes relacionadas con usuarios y documentos de LUCHA, teniendo un avance del 100%</t>
  </si>
  <si>
    <t>Se atienden 11 solicitudes de las 11 recibidas, teniendo un avance del 100%. Entre las solicitudes recibidas se encuentran asesorías, ajustes, apoyo en la formulación, ejecución y reporte en el modulo de mejora continua de LUCHA, entre otros.</t>
  </si>
  <si>
    <t>Durante lo transcurrido de esta vigencia se han atendido 91 solicitudes relacionadas con planes de mejoramiento, teniendo un avance del 100%</t>
  </si>
  <si>
    <t>Se realizan reportes viajes en bici. 
Recolección de residuos con potencial aprovechable
Seguimiento consumo de servicios agua y energía
Acompñamiento y orientación de actividades asociadas a gestión de residuos en Bodega
Remisión informe de gestión residuos aprovechables a UAESP 
Gestión para Prorroga de Acuerdo de Corresponsabilidad
Seguimiento a Acuerdo de corresponsabilidad 1071 de 2022
Atención a solicitud de información de DAF
Dos capacitaciones PIGA (Aux Admin y Servicios Generales)
Revisión de EP de Mudanzas - Criterios sostenibles</t>
  </si>
  <si>
    <t>Durante lo transcurrido de la vigencia se ejecutado 70 actividades del plan de accion PIGA</t>
  </si>
  <si>
    <t>Reiterar solicitudes de información para reportes
Dar claridad de responsabilidades de áreas
Comunicaciones no atiende las solicitudes</t>
  </si>
  <si>
    <t>Reiterar solicitudes de información para reportes
Dar claridad de responsabilidades de áreas
Reiterar a Comunicaciones importancia de piezas para cumplimiento de Plan de acción PIGA 2023</t>
  </si>
  <si>
    <t>En el mes de Octubre 2023 se realizan las publicaciones descritas a continuación:
Numeral 2.1.3: Resolución 0419 del 18 de octubre de 2023; proyecto de decreto: “Por medio del cual se establece e implementa el mecanismo “En Igualdad: Sello Distrital de Igualdad de Género” ;  Resolución 0405 del 06 de octubre; Resolución 0402 del 03 de octubre;  Resolución 0425 del 19 de octubre
Numeral 2.3.1: Proyecto de Decreto  “Por medio del cual se establece e implementa el mecanismo “En Igualdad: Sello Distrital de Igualdad de Género”
Numeral 3.1.1 : Procesos de Selección  SDMUJER-MC-016-2023 y  proceso de selección por mínima cuantía SDMujer-MC-017-2023; Memorando de entendimiento SDMujer y Red de Apoyo Colombia RECA y Modificación No. 1 Carta entendimiento 659 de 2020 suscrita con ACNUR
Numeral 3.2 Directorio de contratistas septiembre 2023
Numeral 3.3 : Información ejecución de los contratos septiembre 2023
Numeral 3.4.1 : Procedimientos: Contratación directa 2020; Compras a través de la tienda virtual del estado colombiano 2020; Liquidación de contratos o convenios 2022: análisis del sector 2020; Legalización y ejecución de contratos 2022; selección abreviada subasta inversa 2020; Licitación pública 2020; Contratatación mínima cuantía 2021; Concurso de méritos 2020; Contrato con entidad sin ánimo de lucro 2020, Prestación de servicios profesionales 2020 y Estructuración de estudios previos 2020; 
Numeral 4.1.1: Estado de resultados comparativo septiembre 2023 a septiembre 2022; Certificación estados financieros septiembre 2023; Notas a los estados financieros a 30 de septiembre 2022; CGN 2016 01 Variaciones Final 30092023-2022; Reporte CGN 2015-001SALDOS Y MOVIMIENTOS Convergencia tercer trimestre septiembre 2023 y Estado situación financiera (comparativo septiembre 2023 a junio 2023
Numeral 4.2 Ejecución presupuestal vigencia a 30 de septiembre 2023 y Ejecución presupuestal reservas a 30 de septiembre 2023
Numeral 4.3 Ítem Plan de Austeridad. Informe consolidado de austeridad en el gasto para el periodo 01 de enero al 30 de septiembre 2023. Ítem Plan Anticorrupción y Atención a la Ciudadanía V5
Numeral 4.3.1 Seguimiento del componente de inversión y gestión con corte a 30 de septiembre 2023
Numeral 4.4 Ficha EBI-D actualizada 30 de septiembre y Seguimiento del componente de inversión con corte a 30 de septiembre 2023
Numeral 4.7.1 : Ítem Informe Rendición de cuentas: Tercer seguimiento trimestral de los compromisos de rendición de cuentas vigencias 2021-2022. ïtem Informe Rendición Cuenta fiscal a la contraloría septiembre 2023
Numeral 4.7.3: Tercer seguimiento trimestral de los compromisos de RdC gvigencias 202.2022 y el Informe de Gestión 2023 con corte a 30 de septiembre.
Numeral 4.8 Informe de seguimiento Comité técnico de sosteniblidad contables y cartera; Informe de seguimiento política de integridad; Informe de seguimiento al cumplimiento normas de carrera administrativa, Informe de seguimiento Ley de transparencia y del derechos de acceso a la Información pública V2023 y el Informe de seguimiento a las metas del Plan Desarrollo priorizadas para la SDMujer
Numeral 4.10 Informe de Gestión PQRS y Atención a la Ciudadanía tercer trimestre 2023 y el Informe de Gestión PQRS y Anteción a la Ciudadanía Septiembre 2023
Numeral 9.1.2.1 Tercer informe trimestral RdC permanente al Consejo consultivo de Mujeres y Tercer informe de gestión trimestral de la instancia vigencia 2023 y Actas mesa coordinadora julio, agosto y acta sesión espacio ampliado (7 de junio)
Numeral 9.1.2.4: Informe de Gestión Tercer trimestre 2023 - Comisión Intersectorial de Mujeres
Destacado Atención a la Ciudadanía: Creación enlace ""Solicitud de información con identificación reservada""
"</t>
  </si>
  <si>
    <t xml:space="preserve">Durante lo transcurrido de esta vigencia se han actualizado 312 documentos en los diferentes nuemrales del botón de transparencia y acceso a la información Pública </t>
  </si>
  <si>
    <t>Este mes no se reporta avance de este indicador, debido a que la periodicidad de su programación es trimestral.</t>
  </si>
  <si>
    <r>
      <t xml:space="preserve">El avance acumulado de 01 de enero a 30 de septiembre 2023 es: Se han emitido y publicado los informes finales de cinco (5) auditorias internas a los proceso de </t>
    </r>
    <r>
      <rPr>
        <i/>
        <sz val="11"/>
        <color indexed="8"/>
        <rFont val="Times New Roman"/>
        <family val="1"/>
      </rPr>
      <t xml:space="preserve">Desarrollo de Capacidades para la Vida de las Mujeres,  Promoción de la Participación y Representación de las Mujeres, Gestión de Políticas Públicas,  Planeación y Gestión y  Gestión Tecnológica </t>
    </r>
    <r>
      <rPr>
        <sz val="11"/>
        <color indexed="8"/>
        <rFont val="Times New Roman"/>
        <family val="1"/>
      </rPr>
      <t xml:space="preserve"> de las seis (6) programadas en el Plan Anual de Auditoría 2023 versión 2 (Aprobada CICCI 20.06.23), para un avance en la presente meta del  83%.  </t>
    </r>
  </si>
  <si>
    <t>El avance acumulado del periodo entre enero a septiembre de 2023 es: Se emitieron y publlicaron los informes finales de cinco (5) informes de seguimiento de los quince (15) programados en el Plan Anual de Auditoría 2023 versión 2 (Aprobada CICCI 20.06.23), para un avance del 33%.</t>
  </si>
  <si>
    <t>El avance acumulado del periodo comprendido entre enero a septiembre de 2023 es: Se emitieron y publicaron los informes finales de veinticuatro (24) reportes reglamentarios, de los veintiocho informes (28) programados en el Plan Anual de Auditoría 2023 versión 2 (Aprobada CICCI 20.06.23), para un avance del 86%.</t>
  </si>
  <si>
    <t>Durante el perido comprendido entre enero a septiembre de 2023, se han ejecutado actividades de asesoria y acompañamiento requeridas por los procesos/áreas para un total de avance de 72% del total que se ha programado para lo corrido de la vigencia.</t>
  </si>
  <si>
    <t xml:space="preserve">Este mes no se reporta avance de este indicador, debido a la periodicidad de su programación.
</t>
  </si>
  <si>
    <t>Como avance acumulado para el primer semestre del año (enero a septiembre de 2023, Para el total de archivos transferidos se gestionó lo correspondiente de parte de la Oficina Asesora de Planeación con 0,25 metros lineales, Oficina Asesora Jurídica con 0,75 metros lineales, Oficina de Control Interno con 1,5 metros lineales, Oficina de Control Disciplinario Interno con 10 metros lineales, Subsecretaria del Cuidado y Políticas de Igualdad con 3 metros lineales, Dirección de Derechos y Diseño de Políticas con 2,25 metros lineales y Casa de Todas con 8 metros lineales, Dirección de Gestión del Conocimiento con 0,5 metros lineales, Dirección de Enfoque Diferencial, Dirección de Talento Humano con 1,25 metros lineales, Dirección de Territorialización  con 14  metros lineales, Subsecretaria de Fortalecimiento de Capacidades y Oportunidaddes con 1,25 metros lineales, para un total de 42,75 metros lineales de los 55 metros proyectados.</t>
  </si>
  <si>
    <t xml:space="preserve">N/A </t>
  </si>
  <si>
    <t>Como avance acumulado para el primer semestre del año (enero-septiembre) de 2023, se consolidó la contratación del recurso necesario profesionales, técnicos y auxiliares para ejecutar las actividades programadas para la vigencia, se realizó (clasificación, ordenación, foliación y descripción) de los documentos de gestión de las dependencias: Dirección de Talento Humano, Dirección de Contratación, Dirección Administrativa y Financiera, Dirección de Derechos y Diseño y Políticas y Subsecretaria del Cuidado y Políticas
de Igualdad. El total de archivos intervenidos acumulados es de 15 metros lineales en febrero, 8,25 mts lineales
en marzo, 16,25mts lineales en abril, 15 metros lineales en mayo, 24,5 mts lineales en junio, 14,5 metros lineales en julio, 13,75metros lineales en agosto y 9 metros lineales en septiembre, para un acumulado de 116,25 metros  lineales de los 150 proyectados.</t>
  </si>
  <si>
    <t xml:space="preserve">El avance acumulado entre los meses de enero a junio de 2023, en cuanto a los instrumentos actualizados y publicados son:
- En enero / PINAR
- En marzo / Caracterizacion del proceso.
- En mayo / Manual de Gestion Documental
- En junio / Instructivo Organizar y Administrar el Archivo.
- En septiembre / Cauadro de clasificación documental /  Cuadro de Caracterización Documental / Fichas de Valoración Documental / Instructivo de Eliminación Documental con sus respectuvas actas.
En cuanto a las sensibilizaciones el avance acumulado entre los meses de enero a septiembre de 2023, es de 23  sensibilizaciones realizadas a Servidoras (es) de las dependencias de acuerdo al plan de sensibilizaciones vigencia 2023 con temática Aplicación de Tabla de Retención Documental, Sistema Orfeo; se efectúa implementación de instrumentos archivísticos Fuid en Línea Ciom Barrios Unidos, se realiza actualización y publicación de la caracterización del proceso de Gestión Documental;  se realiza actualización y publicación del Manual de Gestión Documental, Instructivo Organizar y Administrar el Archivo y cinco formatos asociados al proceso, se estructura, socializa y publica instructivo de eliminación de documentos con sus respectivas actas, se socializa y publican los cuadros de caracterización, fichas de valoración doucumental y cuadro de clasificación documental  los cuales se encuentran disponibles para uso y consulta y se han realizado mesas de trabajo para realizar la actualización a las TRD de la SDMujer.
Asimismo, se realizaron 19 visitas de seguimiento a nivel central de acuerdo al cronograma 2023.
 </t>
  </si>
  <si>
    <t>Con corte a 30 de septiembre  de la vigencia 2023 y como parte de la implementación del Sistema Integrado de Conservación- SIC, se realizó 1 sensibilización sobre aspectos básicos de conservación como inducción a colaboradores de la Dirección de Territorialización. Además, se realizó informe general sobre las visitas de seguimiento realizadas a las 20 CIOM. Por otro lado,  se realizó seguimiento al proceso de contratación frente al saneamiento ambiental y así mismo, se realizó concepto técnico a la revisión de las unidades de conservación (carpetas cuatro aletas) para la Casa Refugio Rosa Elvira Cely.  
Se realizó sensibilización al equipo de trabajo,  frente a la manipulación, embalaje e identificación de las cajas para el traslado de la bodega del Archivo Central. Del mismo modo,  se definieron los lineamientos técnicos para el almacenamiento y conservación de las Historias Laborales y el uso de sobres de papel bond blanco para los cds. 
De igual manera, se obtuvo aprobación de concepto técnico para traslado de bodega por parte del Archivo de Bogotá y se formalizó el contrato No. 944 de 2023, por otro lado, se realizaron las actividades de traslado  pertenenciente a la documentación de la SDMujer, y posteriormente, se realizaron las actividades de organización, ubicación topografica y cambio parcial de las unidades de almacenamiento , cumpliendo con la implementación del Sistema Integrado de Conservación- SIC en su Plan de Conservación Documental.
Así mismo, se realizaron 4 sensibilizaciones sobre aspectos básicos de conservación y se realizaron 2 conceptos técnicos frente a las unidades de conservación (carpetas cuatro aletas) para las Casa Refugio.</t>
  </si>
  <si>
    <t xml:space="preserve">Como avance acumulado del primer semestre 2023,  se realizaron las actividades de desarrollo para la gestión de interoperabilidad entre Orfeo y Icops y la elaboracion  del  instructivo para socializar el proceso de interoperabilidad realizado entre los sistemas ICOPS y ORFEO en  implementación de las estrategias identificadas en el Plan de Preservación Digital a Largo Plazo, del Sistema Integrado de Gestión -SIC. Se continúa con la definición y estructura del documento "Esquema de Metadatos", con base en los lineamientos dados por el Archivo Distrital de Bogotá y el Archivo General de la Nación, y en cumplimiento de las normas que aplican para este tipo de documentos. Se finaliza la interoperabilidad del Sistema de Gestión Documental Orfeo con los sistemas "Bogotá te Escucha" de la Secretaria General de la Alcaldía y el sistema ICOPS de la SDM. 
Por tro lado, se realizan mesas de trabajo frente a temas de firma autográfa, firmas electrónicas certificadas y comunicaciones masivas en el Sistema de Gestión Documental Orfeo.  Por otra parte, se realizó documento preliminar del instrumento  ArchivÍstico Modelo de Requisitos del Sistema de Documentos  Electrónicos de Archivo con base en lo establecido en el Decreto 1080 de 2015 y se dio atención a 83 mesas de ayuda,  dando cumplimiento a las actividades contempladas en el Plan de Preservación Digital a Largo Plazo, con respecto a las características de los archivos y sus metadatos asociados. </t>
  </si>
  <si>
    <r>
      <rPr>
        <sz val="10"/>
        <color indexed="8"/>
        <rFont val="Calibri"/>
        <family val="0"/>
      </rPr>
      <t xml:space="preserve">En cumplimiento con lo establecido en la Carta Circular 121 de 2023 "Publicación de Informes financieros y contables para los Entes Públicos Distritales", Resolución 356 de 2022 "Por la cual se incorpora, en los Procedimientos Transversales del Régimen del Contabilidad Pública, el Procedimiento para la preparación, presentación y publicación de los informes financieros y contables, que deban publicarse conforme a lo establecido en el numeral 37 del artículo 38 de la Ley 1952 de 2019", Resolución No. DCC-000004 de 2022 “Por la cual se establecen los plazos y requisitos para el reporte de la información financiera a la Dirección Distrital de Contabilidad de la Secretaría de Hacienda, con fines de consolidación y análisis, y se fijan lineamientos para la gestión de operaciones en el Distrito Capital”, y el numeral 7 del Manual de Operaciones Contables adoptado mediante Resolución No 177 de 2020, el cual indica... "Publicación de los Estados Contables. La Dirección Administrativa y Financiera de la Secretaría Distrital de la Mujer, publica mensualmente en las carteleras de información institucional de la Entidad, el Estado de Situación Financiera y de Actividad Financiera, a nivel de cuenta, así mismo se divulgan en la página Web de la Entidad. Al cierre de cada vigencia, adicionalmente publica las notas a los Estados Financieros, atendiendo las directrices, y guías emitidas por la Dirección Distrital de Contabilidad DDC y lo establecido en el procedimiento de registro contable de la Entidad"  
</t>
    </r>
    <r>
      <rPr>
        <b/>
        <sz val="10"/>
        <color indexed="8"/>
        <rFont val="Calibri"/>
        <family val="0"/>
      </rPr>
      <t xml:space="preserve">El 20 de octubre del 2023 se publicó en la página Web de la entidad los siguientes estados financieros: </t>
    </r>
    <r>
      <rPr>
        <sz val="10"/>
        <color indexed="8"/>
        <rFont val="Calibri"/>
        <family val="0"/>
      </rPr>
      <t xml:space="preserve"> ESTADO SITUACIÓN FINANCIERA (Comparativo) SEPTIEMBRE 23 A JUNIO 23, ESTADO DE RESULTADOS (Comparativo) SEPTIEMBRE 23 A SEPTIEMBRE 22, CERTIFICACIÓN ESTADOS FINANCIEROS SEPTIEMBRE 2023, NOTAS A LOS ESTADOS FINANCIEROS A 30 DE SEP 2023, CGN 2016 01 VARIACIONES FINAL 30092023-2022, REPORTE CGN2015_001_SALDOS_Y_MOVIMIENTOS_CONVERGENCIA 3ER TRIMESTRE SEPTIEMBRE 2023 y CGN2015_002_OPERACIONES_ RECIPROCAS_CONVERGENCIA 3T SEPTIEMBRE 2023.</t>
    </r>
  </si>
  <si>
    <r>
      <rPr>
        <b/>
        <sz val="9"/>
        <color indexed="8"/>
        <rFont val="Calibri"/>
        <family val="0"/>
      </rPr>
      <t xml:space="preserve"> El avance acumulado entre enero y agosto, se relaciona a continuación:                                                                                                                                                                                                                                                              • SEPTIEMBRE 2023:</t>
    </r>
    <r>
      <rPr>
        <sz val="9"/>
        <color indexed="8"/>
        <rFont val="Calibri"/>
        <family val="0"/>
      </rPr>
      <t xml:space="preserve">El 19 de septiembre del 2023 se publicó en la página Web de la entidad los siguientes estados financieros:   Estado de situación financiera comparativo Agosto - Junio 2023, Estado de Resultado Comparativo Agosto 2023-2022 y Certificación de los estados financieros Agosto 2023. 
</t>
    </r>
    <r>
      <rPr>
        <b/>
        <sz val="9"/>
        <color indexed="8"/>
        <rFont val="Calibri"/>
        <family val="0"/>
      </rPr>
      <t xml:space="preserve">AGOSTO 2023: </t>
    </r>
    <r>
      <rPr>
        <sz val="9"/>
        <color indexed="8"/>
        <rFont val="Calibri"/>
        <family val="0"/>
      </rPr>
      <t xml:space="preserve">El 18 de agosto del 2023 se publicó en la página Web de la entidad los siguientes estados financieros:   Estado de situación financiera comparativo Julio - Junio 2023, Estado de Resultado Comparativo Julio 2023-2022 y Certificación de los estados financieros Julio 2023
• </t>
    </r>
    <r>
      <rPr>
        <b/>
        <sz val="9"/>
        <color indexed="8"/>
        <rFont val="Calibri"/>
        <family val="0"/>
      </rPr>
      <t>JULIO 2023:</t>
    </r>
    <r>
      <rPr>
        <sz val="9"/>
        <color indexed="8"/>
        <rFont val="Calibri"/>
        <family val="0"/>
      </rPr>
      <t xml:space="preserve"> El 19 de julio del 2023 se publicó en la página Web de la entidad los siguientes estados financieros: CGN2005 001 SALDOS Y MOVIMIENTOS 2DO TRIMESTRE JUNIO 2023 / CGN2015 002 OPERACIONES RECIPROCAS CONVERGENCIA 2T JUNIO 2023 / ESTADO SITUACIÓN FINANCIERA (Comparativo) JUN - MAR 23 / ESTADO DE RESULTADOS (Comparativo) JUN 23 - 22 / NOTAS A LOS ESTADOS FINANCIEROS A 30 DE JUNIO 2023 / CGN 2016 01 VARIACIONES FINAL 30062023-2022 / CERTIFICACIÓN JUN 23.
Los días 12 y 19 de julio del 2023 se publicó en la página de Bogotá Consolida la siguiente información: CGN2005 001 SALDOS Y MOVIMIENTOS 2ER TRIMESTRE JUNIO 2023 / CGN2015 002 OPERACIONES RECIPROCAS CONVERGENCIA 2T JUNIO 2023 / ESTADO SITUACIÓN FINANCIERA (Comparativo) JUN - MAR 23 / ESTADO DE RESULTADOS (Comparativo) JUN 23 - 22 / CGN 2016 01 VARIACIONES FINAL 30062023-2022.
• </t>
    </r>
    <r>
      <rPr>
        <b/>
        <sz val="9"/>
        <color indexed="8"/>
        <rFont val="Calibri"/>
        <family val="0"/>
      </rPr>
      <t>JUNIO 2023</t>
    </r>
    <r>
      <rPr>
        <sz val="9"/>
        <color indexed="8"/>
        <rFont val="Calibri"/>
        <family val="0"/>
      </rPr>
      <t xml:space="preserve">: El 14 de junio del 2023 se publicó en la página Web de la entidad los siguientes estados financieros:   Estado de Situación Financiera Mayo 2023 - Marzo 2023, Estado de Resultado mayo 2023 y Certificación de los estados financieros.
• </t>
    </r>
    <r>
      <rPr>
        <b/>
        <sz val="9"/>
        <color indexed="8"/>
        <rFont val="Calibri"/>
        <family val="0"/>
      </rPr>
      <t>MAYO 2023:</t>
    </r>
    <r>
      <rPr>
        <sz val="9"/>
        <color indexed="8"/>
        <rFont val="Calibri"/>
        <family val="0"/>
      </rPr>
      <t xml:space="preserve"> El 19 de mayo del 2023 se publicó en la página Web de la entidad los siguientes estados financieros:  
1. ESTADO DE SITUACION FINANCIERA ABRIL 2023 – MARZO 2023, 
2. ESTADO DE RESULTADO ABRIL 2023-2022 y 3. CERTIFICACIÓN EF ABRIL 2023. 
Adicionalmente se publicó:
1. ESTADO DE SITUACION FINANCIERA MARZO 2023 - DIC 2022 
2. NOTAS A LOS ESTADOS FINANCIEROS A 31 DE MARZO 2023. 
• </t>
    </r>
    <r>
      <rPr>
        <b/>
        <sz val="9"/>
        <color indexed="8"/>
        <rFont val="Calibri"/>
        <family val="0"/>
      </rPr>
      <t>ABRIL 2023</t>
    </r>
    <r>
      <rPr>
        <sz val="9"/>
        <color indexed="8"/>
        <rFont val="Calibri"/>
        <family val="0"/>
      </rPr>
      <t>:  El 20 de abril del 2023 se publicó en la página Web de la entidad los Estados Financieros comparativos periodo de marzo 2023-2022,  1 Estado de Situación Financiera Marzo 2023 – 2 Estado de Resultados Marzo 2023 - 3 Certificación Ef Marzo 2023 – 4 Notas A Los Estados Financieros A 31 De Marzo 2023 - 5 Cgn2015_001_Saldos_Y_Movimientos 1er Trimestre Marzo 2023 - 6 Cgn 2015 002 Reciprocas 1t Marzo 2023 - 7 Cgn 2016 01 Variaciones Final Marzo 2023. 
•</t>
    </r>
    <r>
      <rPr>
        <b/>
        <sz val="9"/>
        <color indexed="8"/>
        <rFont val="Calibri"/>
        <family val="0"/>
      </rPr>
      <t xml:space="preserve"> MARZO 2023:</t>
    </r>
    <r>
      <rPr>
        <sz val="9"/>
        <color indexed="8"/>
        <rFont val="Calibri"/>
        <family val="0"/>
      </rPr>
      <t xml:space="preserve"> El 17 de marzo del 2023 se publicó en la página Web de la entidad los Estados Financieros comparativos periodo de febrero 2023-2022, los cuales se relacionan a continuación:   1. ESTADO DE SITUACION FINANCIERA FEBRERO 2023 – 2. ESTADO DE RESULTADO FEBRERO 2023 –– 4. CERTIFICACIÓN EF FEBRERO 2023 – NOTAS A LOS ESTADOS FINANCIEROS A 28 DE FEBRERO 2023.
• </t>
    </r>
    <r>
      <rPr>
        <b/>
        <sz val="9"/>
        <color indexed="8"/>
        <rFont val="Calibri"/>
        <family val="0"/>
      </rPr>
      <t>FEBRERO 2023</t>
    </r>
    <r>
      <rPr>
        <sz val="9"/>
        <color indexed="8"/>
        <rFont val="Calibri"/>
        <family val="0"/>
      </rPr>
      <t xml:space="preserve">: El 20 de febrero del 2023 se publicó en la página Web de la entidad los Estados Financieros comparativos periodo de enero 2023-2022, los cuales se relacionan a continuación:   1. ESTADO DE SITUACION FINANCIERA ENERO 2023 – 2. ESTADO DE RESULTADO ENERO 2023 –– 4. CERTIFICACIÓN EF ENERO 2023 – NOTAS A LOS ESTADOS FINANCIEROS A 31 DE ENERO 2023.  y el 17 de marzo del 2023 se publicó en la página Web de la entidad los Estados Financieros comparativos periodo de febrero 2023-2022, los cuales se relacionan a continuación:   1. ESTADO DE SITUACION FINANCIERA FEBRERO 2023 – 2. ESTADO DE RESULTADO FEBRERO 2023 –– 4. CERTIFICACIÓN EF FEBRERO 2023 – NOTAS A LOS ESTADOS FINANCIEROS A 31 DE FEBRERO 2023.
• </t>
    </r>
    <r>
      <rPr>
        <b/>
        <sz val="9"/>
        <color indexed="8"/>
        <rFont val="Calibri"/>
        <family val="0"/>
      </rPr>
      <t>ENERO 2023:</t>
    </r>
    <r>
      <rPr>
        <sz val="9"/>
        <color indexed="8"/>
        <rFont val="Calibri"/>
        <family val="0"/>
      </rPr>
      <t xml:space="preserve">  El 31 de Enero de 2023, se publicaron los Estados Financieros comparativos período de diciembre 2022-2021: SITUACION FINANCIERA DICIEMBRE 2022 – ESTADO DE ACTIVIDAD FINANCIERA ECONOMICA SOCIAL Y AMBIENTAL DICIEMBRE 2022 –– CERTIFICACION A LOS ESTADOS FINANCIEROS DICIEMBRE 2022 – CAMBIO EN EL PATRIMONIO - NOTAS A LOS ESTADOS FINANCIEROS A 31 DE DICIEMBRE 2022 – VARIACIONES TRIMESTRALES SIGNIFICATIVAS DICIEMBRE 2022  – CGN2005_001_SALDOS_Y_MOVIMIENTOS DIC 2022 –  CGN 2015 002 RECIPROCAS DIC 2022. 
Por otro lado, los formatos de COVID 19 se derogaron mediante resolución No. 225 del 24 de agosto de 2022 expedida por la Contaduría General de la Nación.</t>
    </r>
  </si>
  <si>
    <t xml:space="preserve">Este mes no se reporta avance de este indicador, debido a la periodicidad de su programación. </t>
  </si>
  <si>
    <r>
      <rPr>
        <b/>
        <sz val="11"/>
        <color indexed="8"/>
        <rFont val="Calibri"/>
        <family val="2"/>
      </rPr>
      <t>El 18 de enero de 2023,</t>
    </r>
    <r>
      <rPr>
        <sz val="11"/>
        <color indexed="8"/>
        <rFont val="Calibri"/>
        <family val="2"/>
      </rPr>
      <t xml:space="preserve"> se reportó en la plataforma de la Secretaría Distrital de Hacienda, la información de los artículos 1º y 2º de la Resolución SDH 415 de 2016, </t>
    </r>
    <r>
      <rPr>
        <b/>
        <sz val="11"/>
        <color indexed="8"/>
        <rFont val="Calibri"/>
        <family val="2"/>
      </rPr>
      <t xml:space="preserve">correspondiente al informe de estampillas distritales del período comprendido entre el 1 de julio al 31 de diciembre de 2022.
</t>
    </r>
    <r>
      <rPr>
        <sz val="11"/>
        <color indexed="8"/>
        <rFont val="Calibri"/>
        <family val="2"/>
      </rPr>
      <t xml:space="preserve">
</t>
    </r>
    <r>
      <rPr>
        <b/>
        <sz val="11"/>
        <color indexed="8"/>
        <rFont val="Calibri"/>
        <family val="2"/>
      </rPr>
      <t>El 20 de abril de 2023</t>
    </r>
    <r>
      <rPr>
        <sz val="11"/>
        <color indexed="8"/>
        <rFont val="Calibri"/>
        <family val="2"/>
      </rPr>
      <t xml:space="preserve">, la Secretaria de Hacienda Distrital Oficina de consolidación transmitio en la plataforma Muisca de la Dirección de Impuestos y Aduanas Nacionales - DIAN de la Secretaría Distrital de Hacienda, la información de los de los foramtos 1001 - Información de pagos o abonos en cuenta y de retenciones en la fuente practicadas, Formato 1009: Información del saldo de los pasivos a 31 de diciembre, Formato 2575 Información de donaciones recibidas y certificadas por las entidades no contribuyentes y Formato 2276: Información del certificado de ingresos y retenciones para personas naturales empleados por el año gravable 2022”, en cumplimiento a lo dispuesto en la Resolución 000124 de octubre 28 de 2021 expedida por la Dirección de Impuestos y Aduanas Nacionales.
</t>
    </r>
    <r>
      <rPr>
        <b/>
        <sz val="11"/>
        <color indexed="8"/>
        <rFont val="Calibri"/>
        <family val="2"/>
      </rPr>
      <t>El 17 de Julio de 2023</t>
    </r>
    <r>
      <rPr>
        <sz val="11"/>
        <color indexed="8"/>
        <rFont val="Calibri"/>
        <family val="2"/>
      </rPr>
      <t xml:space="preserve">, se reportó en la plataforma de la Secretaria Distrital de Hacienda, la información de  los artículos 1º y 2º de la Resolución SDH 415 de 2016, correspondiente al informe de estampillas distritales del período comprendido entre el 1 de enero al 30 de junio de 2023.
</t>
    </r>
    <r>
      <rPr>
        <b/>
        <sz val="11"/>
        <color indexed="8"/>
        <rFont val="Calibri"/>
        <family val="2"/>
      </rPr>
      <t>El 18 de Julio de 2023</t>
    </r>
    <r>
      <rPr>
        <sz val="11"/>
        <color indexed="8"/>
        <rFont val="Calibri"/>
        <family val="2"/>
      </rPr>
      <t xml:space="preserve"> se reporte en la plataforma de la Secrearia Distrital de Hacienda, la información de los articulo 2 y 4 de la exogena distrital vigencia 2022 RESOLUCIÓN DDI-015564 DE 2023</t>
    </r>
  </si>
  <si>
    <r>
      <rPr>
        <b/>
        <sz val="11"/>
        <color indexed="8"/>
        <rFont val="Calibri"/>
        <family val="0"/>
      </rPr>
      <t>Durante el mes de OCTUBRE,</t>
    </r>
    <r>
      <rPr>
        <sz val="11"/>
        <color indexed="8"/>
        <rFont val="Calibri"/>
        <family val="0"/>
      </rPr>
      <t xml:space="preserve"> se atendieron todas las solicitudes de certificados presupuestales recibidas expidiendo lo que se relaciona a continuación:
-   120 Certificados de Disponibilidad Presupuestal -CDP
-   118 Certificados de Registro Presupuestal - CRP</t>
    </r>
  </si>
  <si>
    <r>
      <rPr>
        <sz val="11"/>
        <color indexed="8"/>
        <rFont val="Calibri"/>
        <family val="0"/>
      </rPr>
      <t xml:space="preserve">Entre el período comprendido entre los meses de </t>
    </r>
    <r>
      <rPr>
        <b/>
        <sz val="11"/>
        <color indexed="8"/>
        <rFont val="Calibri"/>
        <family val="0"/>
      </rPr>
      <t>enero a 30 de octubre de 2023</t>
    </r>
    <r>
      <rPr>
        <sz val="11"/>
        <color indexed="8"/>
        <rFont val="Calibri"/>
        <family val="0"/>
      </rPr>
      <t>, las expediciones acumuladas, son las siguientes: 
- 1.565  Certificados  de Disponibilidad Presupuestal . CDP
- 1.610  Certificados de Registro Presupuestal - CRP</t>
    </r>
  </si>
  <si>
    <r>
      <rPr>
        <b/>
        <sz val="11"/>
        <color indexed="8"/>
        <rFont val="Calibri"/>
        <family val="0"/>
      </rPr>
      <t xml:space="preserve">Durante el mes de OCTUBRE, </t>
    </r>
    <r>
      <rPr>
        <sz val="11"/>
        <color indexed="8"/>
        <rFont val="Calibri"/>
        <family val="0"/>
      </rPr>
      <t>se publica en la página web de la entidad (mes vencido) la ejecución presupuestal. En el mes de OCTUBRE se publicó la información relativa al mes de SEPTIEMBRE 2023.</t>
    </r>
  </si>
  <si>
    <r>
      <rPr>
        <sz val="11"/>
        <color indexed="8"/>
        <rFont val="Calibri"/>
        <family val="0"/>
      </rPr>
      <t>Mensualmente se publica en la página web de la entidad la ejecución presupuestal del mes inmediatamente anterior.</t>
    </r>
    <r>
      <rPr>
        <b/>
        <sz val="11"/>
        <color indexed="8"/>
        <rFont val="Calibri"/>
        <family val="0"/>
      </rPr>
      <t xml:space="preserve"> Este año se han realizado las respectivas publicaciones  en los meses de enero, febrero, marzo, abril, mayo, junio, julio ,agosto, septiembre y octubre.</t>
    </r>
  </si>
  <si>
    <t xml:space="preserve">Para el mes de octubre se reporta el avance del presente indicador: 
En el mes de octubre de 2023, se elaboró y presento el informe de respuesta al memorando de solicitud de OCI con radicado No. 3-2023-004352 del 02-10-2023 -Solicitud de Información - Medidas de Austeridad en el Gasto Público III Trimestre de 2023. El Informe presentado a la Oficina de Control Interno, se radico desde la Dirección Administrativa y Financiera con radicado memorando No. 3-2023-004537 Fecha: 17-10-2023, así mismo se envió mediante correo electrónico.
Así mismo se envió informe consolidado de austeridad en el gasto del período 1 de enero al 30 de septiembre de 2023, a la OAP para ser remitido a la Secretaría Distrital de Hacienda.
</t>
  </si>
  <si>
    <r>
      <rPr>
        <b/>
        <sz val="11"/>
        <color indexed="8"/>
        <rFont val="Times New Roman"/>
        <family val="0"/>
      </rPr>
      <t xml:space="preserve">El acumulado para el mes de agosto de 2023 es el siguiente:
</t>
    </r>
    <r>
      <rPr>
        <sz val="11"/>
        <color indexed="8"/>
        <rFont val="Times New Roman"/>
        <family val="0"/>
      </rPr>
      <t xml:space="preserve">- 1 Informe de seguimiento del IV trimestre de la vigencia 2022, presentado en el mes de enero a la OCI.
- 1 Informe consolidado Anual de Austeridad Presentado al Consejo de Bogotá en el mes de Febrero de 2023.
- 1 informe trimestral de seguimiento a las medidas de austeridad para el primer trimestre de la vigencia 2023.
- 1 Informe trimestral de seguimiento a las medidas de austeridad para el segundo trimestre de la vigencia 2023.
-1 Iforme Semestral denominado "Informe de Austeridad del Gasto de la vigencia 1 enero a 30 junio de 2023".
Para el mes de agosto de 2023, se elaboró, el Informe de Austeridad en el Gasto del I semestre 2023; El cual se envió al Concejo de Bogotá con RAD No. 1-2023-0013800 DEL 30-08-2023; en cumplimiento a lo establecido en el Articulo 30del Decreto 492 del 2019 de la Alcaldía de Bogotá. Así mismo se envió copia del informe a la Secretaría Distrital de Hacienda.
1 informe trimestral de seguimiento a las medidas de austeridad para el tercer trimestre de la vigencia 2023.
Adicionalmente se elaboro el Informe consolidado de Austeridad del 1de enero al 30 de  septiembre de 2023, que se envío a la Secretaría Distrital de Hacienda.
</t>
    </r>
  </si>
  <si>
    <t xml:space="preserve">Se solicitó a todas las áreas que reportan información en el Botón de Transparencia, la revisión y actualización del documento denominado “Esquema de Publicación de la información”, en el formato EXCEL con el código CD-FO-43; se procedió a su actualización acorde con la retroalimentación de las áreas.
Se tramitó y actualizó la Resolución No. 0357 del 31 agosto 2023 “Por medio de la cual se actualiza el Esquema de Publicación de la Información de la Secretaría Distrital de la Mujer, y se dictan otras disposiciones.” ; la cual deroga la Resolución No. 306 del 31 de agosto del 2022.
Se actualiza el presente formato y se publica en página WEB de la Entidad, BOTON DE TRANSPARENCIA Y ACCESO A LA INFORMACIÓN, numeral 7: el "Esquema de Publicación del Información" y la Resolución No. 357 de agosto 31 de 2023. Posteriormente se solicitó la publicación del "esquema de Publicación de la información en la Página WEB de la Entidad y en Datos Abiertos.
</t>
  </si>
  <si>
    <t>Se elaboraron  y actualizaron los siguientes documentos: 
1. " Esquema de Publicación de la Información actualizado"
2. Resolución 0357 del 31 de agosto de 2023, “Por medio de la cual se actualiza el Esquema de Publicación de la Información de la Secretaría Distrital de la Mujer, y se dictan otras disposiciones.”
Así mismo se publicaron en pagina web , botón de transaparencia y acceso a la información; dichos documentos.</t>
  </si>
  <si>
    <t>Se gestionó (seguimiento, trazabilidad y asignaciòn) del 100% de las mesas de ayuda del mes de Octubre, cuyo total fue de 157 requerimientos, distribuidos de la siguiente manera:
- Almacén recibió y gestionó 66 solicitudes.
- Mantenimiento recibió y gestionó 91 solicitudes.</t>
  </si>
  <si>
    <r>
      <rPr>
        <sz val="11"/>
        <color indexed="8"/>
        <rFont val="Times New Roman"/>
        <family val="0"/>
      </rPr>
      <t xml:space="preserve">El avance acumulado del  seguimiento, trazabilidad y asignación de las mesas de ayuda, en el aplicativo Mesa de Ayuda es el siguiente:
- Enero: 43 requerimientos recibidos
- Febrero: 157 requerimientos recibidos
- Marzo: 146 requerimientos recibidos
- Abril: 104 requerimientos recibidos 
- Mayo: 144 requierimientos recibidos
- Junio: 111 requerimientos recibidos 
- Julio: 126 requerimientos recibidos 
- Agosto: 125 requerimientos recibidos 
- Septiembre: 122 requerimientos recibidos 
- Octubre: 157 requerimientos recibidos 
El  total  acumulado es de 1.235 solicitudes recibidas y gestionadas al 100%, de las cuales  </t>
    </r>
    <r>
      <rPr>
        <b/>
        <sz val="11"/>
        <color indexed="8"/>
        <rFont val="Times New Roman"/>
        <family val="0"/>
      </rPr>
      <t>el  almacen recibio y gestionó 621 y Mantenimiento gestionó 614</t>
    </r>
    <r>
      <rPr>
        <sz val="11"/>
        <color indexed="8"/>
        <rFont val="Times New Roman"/>
        <family val="0"/>
      </rPr>
      <t>. Cumpliendo con lo propuesto y dando respuesta oportuna a los requerimientos.</t>
    </r>
  </si>
  <si>
    <t>Las mesas de ayuda cerradas, correspondientes al mes de septiembre (mes vencido) fueron de 990 mesas de 1.078 solicitadas, lo cual representa un 92% de la meta propuesta mes vencido.</t>
  </si>
  <si>
    <t xml:space="preserve">El avance acumulado del  seguimiento, trazabilidad y asignación de las mesas de ayuda, en el aplicativo Mesa de Ayuda es el siguiente:
- Enero: 43 requerimientos recibidos - 47%
- Febrero: 157 requerimientos recibidos - 79%
- Marzo: 146 requerimientos recibidos - 92%
- Abril: 104 requerimientos recibidos - 91%
- Mayo: 144 requerimientos recibidos - 92%
- Junio: 111 requerimientos recibidos - 89%
- Julio: 126 requerimientos recibidos - 89%
- Agosto: 125 requerimientos recibidos - 93%
- Septiembre: 122 requerimientos recibidos - 92%
- Octubre: 157 requerimientos recibidos - 92%
En total se cerraron un total acumulado de 990 mesas de ayuda al corte de mes de septiembre. </t>
  </si>
  <si>
    <t>En el informe parcial de toma fisica del primer semestre del año 2023 se ha realizado inventario en 14 casas de igualdad, 14 centros de inclusión digital, 15 casas de justicia, 3 Uri, capiv, caivas, casa de todas, archivo central y 18 dependencias que se encuentran en nivel central. Cumpliendo con el 60% del cronograma aprobado en la seción No. 1 del Comite MIPG.  Actualizando 9.285 bienes verificados en la herramienta de inventarios que se lleva para su control. Realizando la presentación de este avance de información en la seción del mes de julio del Comité de MIPG.
El día 15 de mayo de 2023, en la sesión No. 1 de la Mesa Técnica de Gestión de Bienes, la Dirección Administrativa y Financiera, puso a consideración de la mesa continuar con el trámite de baja de los bienes inservibles y no utilizables por renovación tecnológica, para presentación ante el Comité de MIPG; Esta solicitud de baja se da como , resultado de la suscripción, en la vigencia 2022, de las órdenes de compra Nos. 101249 (contrato 1130 de 2022) y 101229 (contrato 1131 de 2022), y previo análisis de los conceptos técnicos.</t>
  </si>
  <si>
    <t xml:space="preserve">Para el mes de octubre de 2023  no se reporta avance de este indicador, debido a la periodicidad de su programación. </t>
  </si>
  <si>
    <t>La Oficina de Control Disciplinario Interno en relación con este indicador cuenta con un avance de ejecución del 88%, teniendo en cuenta su programación  semestral.</t>
  </si>
  <si>
    <r>
      <t xml:space="preserve">Para el mes de OCTUBRE 2023  la Oficina de Control Disciplinario Interno  cumplió con la meta formulada, se realizaron dos (2)  jornadas  de prevención a Servidoras, servidores y contratistas de la SDMujer, los días 10 y 12 de octubre,  discriminadas así:
</t>
    </r>
    <r>
      <rPr>
        <b/>
        <sz val="11"/>
        <color indexed="8"/>
        <rFont val="Times New Roman"/>
        <family val="1"/>
      </rPr>
      <t>Primera jornada</t>
    </r>
    <r>
      <rPr>
        <sz val="11"/>
        <color indexed="8"/>
        <rFont val="Times New Roman"/>
        <family val="1"/>
      </rPr>
      <t xml:space="preserve">: 10 de OCTUBRE 2023 al Equipo de  la Dirección del Ssistema de Cuidado de la SDMujer.
</t>
    </r>
    <r>
      <rPr>
        <b/>
        <sz val="11"/>
        <color indexed="8"/>
        <rFont val="Times New Roman"/>
        <family val="1"/>
      </rPr>
      <t>Segunda Jornada</t>
    </r>
    <r>
      <rPr>
        <sz val="11"/>
        <color indexed="8"/>
        <rFont val="Times New Roman"/>
        <family val="1"/>
      </rPr>
      <t>: 12 de OCTUBRE 2023 al Equipo de la Subsecretaría del Cuidado y Políticas de igualdad de la SDMujer. 
Los medios de verificación se encuentra cargados en la carpeta One Drive destinada para tal fin.</t>
    </r>
  </si>
  <si>
    <r>
      <t>La Oficina de Control Disciplinario Interno en cumplimiento del Plan de Acción 2023,  meta:</t>
    </r>
    <r>
      <rPr>
        <i/>
        <sz val="11"/>
        <color indexed="8"/>
        <rFont val="Times New Roman"/>
        <family val="1"/>
      </rPr>
      <t xml:space="preserve"> jornadas de prevención para Servidoras, Servidores y Contratistas de la SDMujer,</t>
    </r>
    <r>
      <rPr>
        <sz val="11"/>
        <color indexed="8"/>
        <rFont val="Times New Roman"/>
        <family val="1"/>
      </rPr>
      <t xml:space="preserve"> al mes de OCTUBRE 2023, ha logrado  un avance acumulado del 90% de las jornadas de prevención programadas mes a mes, así:
Febrero: Dos (2) Jornadas de Prevención.
Marzo: Dos (2) Jornadas de Prevención.
Abril: Dos (2) Jornadas de Prevención.
Mayo: Dos (2) Jornadas de Prevención.
Junio: Dos (2) Jornadas de Prevención.
Julio: Dos (2) Jornadas de Prevención.
Agosto: Dos (2) Jornadas de Prevención.
Septiembre:Dos (2) Jornadas de Prevención
Octubre: Dos (2) Jornadas de Prevención.</t>
    </r>
  </si>
  <si>
    <t xml:space="preserve">Para el mes de octubre de 2023 no se reporta avance de este indicador, debido a la periodicidad de su programación. </t>
  </si>
  <si>
    <t>La Oficina de Control Disciplinario Interno en relación con este indicador cuenta con un avance de ejecución del 50%, de acuerdo con la programación.</t>
  </si>
  <si>
    <t>Este mes no se reporta avance de este indicador, debido a la periodicidad de su programación,</t>
  </si>
  <si>
    <t xml:space="preserve">Se materializo la acción mediante el cual se reportaron los Estudios Previos revisados por el equipo de abogados de las diferentes areas misionales de la Entidad. </t>
  </si>
  <si>
    <t>Se materializó la acción mediante el cual se reportaron las minutas contractuales elaboradas por el equipo de  abogados de las diferentes areas misionales de la  Entidad</t>
  </si>
  <si>
    <t xml:space="preserve">Se proyectaron Pliegos de Condiciones </t>
  </si>
  <si>
    <t>Se reportó la actualización al PAABS</t>
  </si>
  <si>
    <t xml:space="preserve">Se materializó la acción mediante la cual se emitieron certificaciones requeridas por los Contratistas. </t>
  </si>
  <si>
    <t xml:space="preserve">Se materializo la acción mediante el cual se realizo Capacitación a los enlaces, contratistas, supervisión y apoyo a la Supervisión sobre los estudios y documentos previos y publicación de documentos en plataformas transaccionales. </t>
  </si>
  <si>
    <t>Se procedio con el tramite poscontractual de los  contratos radicados a la Direcciòn de Contrataciòn</t>
  </si>
  <si>
    <t>Se realizo la remisiòn de memorandos a los supervisores  de los contratos informando los plazos perentorios para  realizar el tramite poscontractual</t>
  </si>
  <si>
    <t>Se ha realizado la actualización de los meses de enero a septiembre de los servicios de la SDMujer en la Guía de Trámites y Servicios, y se remitió el certificado de confiabilidad a la Secretaría General de la Alcaldía Mayor de Bogotá.</t>
  </si>
  <si>
    <t>No se han reportado avances de este indicador, debido a la periodicidad de su programación.</t>
  </si>
  <si>
    <t>Se ejecutaron entre los meses de enero a agosto, nueve (9) actividades de capacitación dirigidas a servidoras, servidores y contratistas de la Entidad, en los siguientes temas :
- 11/01/2023: Sensibilización en gestión de PQRS y manejo del sistema Bogotá te escucha. Dirigido a enlace Dir. de Gestión del Conocimiento.
- 28/03/2023: Primer taller de gestión de PQRS en Bogotá te escucha. Dirigido a enlaces de las dependencias.
- 30/03/2023: Sensibilización en gestión de PQRS y manejo del sistema Bogotá te escucha. Dirigido a enlace Dir. Administrativa y Financiera.
- 12/04/2023: Sensibilización en servicio a la ciudadanía y protocolos de atención. Dirigido a Línea Púrpura Distrital.
- 23/05/2023: Segundo taller de gestión de PQRS en Bogotá te escucha. Dirigido a enlaces de las dependencias.
- 28/06/2023: Sensibilización sobre el cierre de PQRS en el sistema Bogotá te escucha. Dirigido a enlaces de las dependencias.
- 17/07/2023: Sensibilización sobre nueva versión del procedimiento AC-PR-2 Gestión de las PQRSD de la Ciudadanía - Versión 10. Dirigido a enlaces de las dependencias.
- 15/08/2023: Sensibilización en gestión de PQRS y manejo del sistema Bogotá te escucha. Dirigido a usuarios principales de la Dir. de Gestión del Conocimiento y Dir. de Talento Humano.
- 22/08/2023: Tercer taller de gestión de PQRS en Bogotá te escucha. Dirigido a enlaces de las dependencias.</t>
  </si>
  <si>
    <t>Se realizó entre los meses de enero a agosto, la divulgación de seis (6) piezas comunicacionales a través de la Boletina Informativa. Éstas fueron:
- Boletina 24 de enero - Resultados encuesta de satisfacción segundo semestre 2022.
- Boletina 16 de febrero - Resultados encuesta de satisfacción Distrital 2022.
- Boletina 03 de marzo - Socialización de Chatico.
- Boletina 16 de marzo - Socialización documento de Caracterización de Usuarios.
- Boletina 22 de junio: Socialización de Procedimiento de Caracterización de Usuarias(os).
- Boletina 28 de junio: Socialización de nueva versión Procedimiento AC-PR-2 Gestión de Peticiones, Quejas, Reclamos, Sugerencias y Denuncias de la Ciudadanía (versión 10).</t>
  </si>
  <si>
    <t>Se realizó en el mes de mayo el seguimiento y revisión semestral a la documentación asociada al proceso de Atención a la Ciudadanía en la cual se identificaron  los documentos que deben ser actualizados y las respectivas fechas en que se debe adelantar dichas actualizaciones. Esta información fue reportada mediante acta de reunión de seguimiento.</t>
  </si>
  <si>
    <t>Teniendo en cuenta que la información estadística es remitida por la Secretaría General los primeros días del mes siguiente, durante el mes anterior (septiembre) se registraron 290 peticiones y se realizó el cierre de 346 peticiones (204 del mismo mes y 142 correspondientes al mes anterior), todas ellas recibidas a través de los distintos canales de atención dispuestos por la Secretaría Distrital de la Mujer y por traslado en el Sistema Distrital para la Gestión de Peticiones Ciudadanas - Bogotá te escucha.</t>
  </si>
  <si>
    <t>Teniendo en cuenta que la información estadística es remitida por la Secretaría General los primeros días del mes siguiente, durante los meses anteriores (diciembre, enero, febrero, marzo, abril, mayo, junio, julio, agosto y septiembre) se registraron 2.311 peticiones y se ha realizado el cierre de 2.600 peticiones, todas ellas recibidas a través de los distintos canales de atención dispuestos por la Secretaría Distrital de la Mujer y por traslado en el Sistema Distrital para la Gestión de Peticiones Ciudadanas - Bogotá te escucha.</t>
  </si>
  <si>
    <t>El proceso de Atención a la Ciudadanía participó entre los meses de enero a agosto, en los siguientes espacios de articulación interinstitucional, promoción de la cooperación e intercambio de conocimientos en temas de atención a la ciudadanía:
- 16/02/2023: Nodo Central  de la Red Distrital de Quejas y Reclamos (Veeduría Distrital).
- 23/02/2023: Primera Reunión Plenaria de la Red Distrital de Quejas y Reclamos (Veeduría Distrital).
- 07/03/2023: Seminario web Diseño Universal para la Señaletica, organuzado por  la Red Distrital de Quejas y Reclamos (Veeduría Distrital).
- 10/03/2023: Nodo Intersectorial de Formación y Capacitación  de la Red Distrital de Quejas y Reclamos (Veeduría Distrital).
- 19/05/2023: Nodos Sectoriales - Competencias sectores Planeación y Gestión Jurídica, dirigido por la Red Distrital de Quejas y Reclamos (Veeduría Distrital).
- 14/06/2023: Nodos Sectoriales - Competencias sector Educación, dirigido por la Red Distrital de Quejas y Reclamos (Veeduría Distrital).
- 27/06/2023: Nodos Sectoriales - Competencias sector Ambiente, dirigido por la Red Distrital de Quejas y Reclamos (Veeduría Distrital).
- 27/07/2023: Webinar Atención a las personas con discapacidad Psicosocial, dirigido por la Veeduría Distrital.</t>
  </si>
  <si>
    <t>Se ha elaborado el informe del primer semestre del seguimiento a la adopción de sugerencias emitidas por la Dirección Distrital de Calidad del Servicio de la Secretaría General respecto del cumplimiento de los criterios de calidad y oportunidad en la emisión de respuestas de PQRS y la operatividad del Sistema Distrital para la Gestión de Peticiones Ciudadanas - Bogotá te escucha.</t>
  </si>
  <si>
    <t>En el mes de octubre, se elaboró el informe mensual de seguimiento de PQRS y atención a la ciudadanía correspondiente al mes de septiembre de 2023. El informe se encuentra publicado en la página web de la SDMujer, en el menú "Atención y Servicios a la Ciudadanía", en la siguiente ruta:
https://www.sdmujer.gov.co/ley-de-transparencia-y-acceso-a-la-informacion-publica/instrumentos-de-gestion-de-informacion-publica/informe-de-peticiones-quejas-reclamos-denuncias-y-solicitudes-de-acceso-a-la-informacion</t>
  </si>
  <si>
    <t>A la fecha se han elaborado los informes mensuales de seguimiento de PQRS y atención a la ciudadanía correspondiente a los meses de diciembre 2022, enero, febrero, marzo, abril, mayo, junio, julio, agosto y septiembre de 2023. Los informes se encuentran publicados en la página web de la SDMujer, en el menú "Atención y Servicios a la Ciudadanía", en la siguiente ruta:
https://www.sdmujer.gov.co/ley-de-transparencia-y-acceso-a-la-informacion-publica/instrumentos-de-gestion-de-informacion-publica/informe-de-peticiones-quejas-reclamos-denuncias-y-solicitudes-de-acceso-a-la-informacion</t>
  </si>
  <si>
    <t>Se ha realizado en el mes de julio el envío masivo de la encuesta de satisfacción de servicios y estrategias de la SDMujer, así como la respectiva medición e informe de resultados.
El informe de resultados de la encuesta se encuentra publicado en la página web de la SDMujer, en el menú "Atención y Servicios a la Ciudadanía", en la siguiente ruta:
https://www.sdmujer.gov.co/ley-de-transparencia-y-acceso-a-la-informacion-publica/planeacion/informe-trimestral-de-medicion-de-satisfaccion</t>
  </si>
  <si>
    <t xml:space="preserve">Con corte a 30 DE SEPTIEMBRE se recibieron y respondieron un total de 404 Peticiones y solicitudes de concepto, relacionadas con peticiones de Concejales, Entes de Control y solicitud de información de particulares. Es importante precisar que de una solicitud de concepto o derecho de petición se pueden generar varios radicados de salida, los cuales se contabilizan dentro de un sólo trámite de respuesta. </t>
  </si>
  <si>
    <t xml:space="preserve">Con corte a 30 DE SEPTIEMBRE se recibieron un total de 91 solicitudes de pronunciamiento de Proyectos de Acuerdo y/o Ley y se emitieron 91 conceptos en respuesta a las solicitudes. </t>
  </si>
  <si>
    <t>Con corte a 30 DE SEPTIEMBRE se recibieron y tramitaron un total de 78 acciones de tutela y se han llevado a cabo 16 actuaciones judiciales dentro de los procesos Administrativos en los que la Sdmujer actúa como sujeto procesal, asi como dentro Proceso Penal informado por la Fiscalía 43 Delegada para la Dirección Especializada contra el Lavado de Activos de la Fiscalía General de la Nación, en el que la Entidad no es parte ni se ha constituido formalmente como víctima.</t>
  </si>
  <si>
    <t xml:space="preserve">Con corte a 30 DE SEPTIEMBRE no se requirió proyectar decisiones de segunda instancia en los procesos disciplinarios de la entidad. </t>
  </si>
  <si>
    <t xml:space="preserve">Con corte a 30 DE SEPTIEMBRE se recibieron un total de 46 solicitudes por control político referentes a proposiciones del Concejo de Bogotá y se dio respuesta a las 46 solicitudes. </t>
  </si>
  <si>
    <t xml:space="preserve">Con corte a 30 DE SEPTIEMBRE se asistió a un total de 34 Comités de enlaces ordinario virtual realizado por la plataforma teams, y se asiganarón por parte de  la secretaría técnica del comité 65 casos para estudio, los cuales fueron presentados ante el comité. </t>
  </si>
  <si>
    <t xml:space="preserve">Con corte a 30 DE SEPTIEMBRE se realizarón un total de 18 sesiones ordinarias del Comité de Conciliación y 2 (dos) sesiones Extraordinaria, conforme a las 2 sesiones planeadas por mes. </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</si>
</sst>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quot;$&quot;\ * #,##0.00_ ;_ &quot;$&quot;\ * \-#,##0.00_ ;_ &quot;$&quot;\ * &quot;-&quot;??_ ;_ @_ "/>
    <numFmt numFmtId="187" formatCode="#,##0_ ;[Red]\-#,##0\ "/>
    <numFmt numFmtId="188" formatCode="&quot;$&quot;\ #,##0"/>
    <numFmt numFmtId="189" formatCode="_-* #,##0\ _€_-;\-* #,##0\ _€_-;_-* &quot;-&quot;??\ _€_-;_-@_-"/>
    <numFmt numFmtId="190" formatCode="0.0%"/>
    <numFmt numFmtId="191" formatCode="[$$-240A]\ #,##0;[Red][$$-240A]\ #,##0"/>
    <numFmt numFmtId="192" formatCode="#,##0;[Red]#,##0"/>
    <numFmt numFmtId="193" formatCode="0.000%"/>
    <numFmt numFmtId="194" formatCode="0.0000%"/>
    <numFmt numFmtId="195" formatCode="0.00000%"/>
    <numFmt numFmtId="196" formatCode="[$-240A]dddd\,\ d\ &quot;de&quot;\ mmmm\ &quot;de&quot;\ yyyy"/>
    <numFmt numFmtId="197" formatCode="[$-240A]h:mm:ss\ AM/PM"/>
    <numFmt numFmtId="198" formatCode="_-* #,##0.0\ _€_-;\-* #,##0.0\ _€_-;_-* &quot;-&quot;\ _€_-;_-@_-"/>
    <numFmt numFmtId="199" formatCode="_-* #,##0.00\ _€_-;\-* #,##0.00\ _€_-;_-* &quot;-&quot;\ _€_-;_-@_-"/>
    <numFmt numFmtId="200" formatCode="_-* #,##0.000\ _€_-;\-* #,##0.000\ _€_-;_-* &quot;-&quot;\ _€_-;_-@_-"/>
    <numFmt numFmtId="201" formatCode="_-* #,##0.0000\ _€_-;\-* #,##0.0000\ _€_-;_-* &quot;-&quot;\ _€_-;_-@_-"/>
    <numFmt numFmtId="202" formatCode="_-[$$-240A]\ * #,##0.00_-;\-[$$-240A]\ * #,##0.00_-;_-[$$-240A]\ *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0.0\ _€_-;\-* #,##0.0\ _€_-;_-* &quot;-&quot;??\ _€_-;_-@_-"/>
    <numFmt numFmtId="208" formatCode="&quot;$&quot;\ #,##0.00"/>
    <numFmt numFmtId="209" formatCode="_-* #,##0_-;\-* #,##0_-;_-* &quot;-&quot;??_-;_-@_-"/>
    <numFmt numFmtId="210" formatCode="0.00000000"/>
    <numFmt numFmtId="211" formatCode="0.0000000"/>
    <numFmt numFmtId="212" formatCode="0.000000"/>
    <numFmt numFmtId="213" formatCode="0.00000"/>
    <numFmt numFmtId="214" formatCode="0.0000"/>
    <numFmt numFmtId="215" formatCode="0.000"/>
    <numFmt numFmtId="216" formatCode="0.0"/>
    <numFmt numFmtId="217" formatCode="_-* #,##0.000\ _€_-;\-* #,##0.000\ _€_-;_-* &quot;-&quot;??\ _€_-;_-@_-"/>
    <numFmt numFmtId="218" formatCode="_-* #,##0.0000\ _€_-;\-* #,##0.0000\ _€_-;_-* &quot;-&quot;??\ _€_-;_-@_-"/>
    <numFmt numFmtId="219" formatCode="_-* #,##0.00000\ _€_-;\-* #,##0.00000\ _€_-;_-* &quot;-&quot;??\ _€_-;_-@_-"/>
    <numFmt numFmtId="220" formatCode="0.000000%"/>
    <numFmt numFmtId="221" formatCode="0.0000000%"/>
  </numFmts>
  <fonts count="106">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2"/>
      <name val="Times New Roman"/>
      <family val="1"/>
    </font>
    <font>
      <b/>
      <sz val="10"/>
      <name val="Calibri"/>
      <family val="2"/>
    </font>
    <font>
      <sz val="10"/>
      <name val="Calibri"/>
      <family val="2"/>
    </font>
    <font>
      <b/>
      <sz val="10.5"/>
      <name val="Times New Roman"/>
      <family val="1"/>
    </font>
    <font>
      <b/>
      <sz val="9"/>
      <name val="Tahoma"/>
      <family val="2"/>
    </font>
    <font>
      <sz val="9"/>
      <name val="Tahoma"/>
      <family val="2"/>
    </font>
    <font>
      <b/>
      <sz val="14"/>
      <name val="Tahoma"/>
      <family val="2"/>
    </font>
    <font>
      <sz val="14"/>
      <name val="Tahoma"/>
      <family val="2"/>
    </font>
    <font>
      <b/>
      <sz val="11"/>
      <color indexed="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sz val="11"/>
      <color indexed="10"/>
      <name val="Times New Roman"/>
      <family val="1"/>
    </font>
    <font>
      <b/>
      <sz val="11"/>
      <color indexed="55"/>
      <name val="Calibri"/>
      <family val="2"/>
    </font>
    <font>
      <sz val="11"/>
      <color indexed="63"/>
      <name val="Times New Roman"/>
      <family val="1"/>
    </font>
    <font>
      <sz val="10"/>
      <color indexed="8"/>
      <name val="Times New Roman"/>
      <family val="1"/>
    </font>
    <font>
      <b/>
      <sz val="8"/>
      <color indexed="49"/>
      <name val="Verdana"/>
      <family val="2"/>
    </font>
    <font>
      <b/>
      <sz val="18"/>
      <color indexed="55"/>
      <name val="Calibri"/>
      <family val="2"/>
    </font>
    <font>
      <b/>
      <sz val="12"/>
      <color indexed="8"/>
      <name val="Times New Roman"/>
      <family val="1"/>
    </font>
    <font>
      <b/>
      <sz val="11"/>
      <color indexed="55"/>
      <name val="Times New Roman"/>
      <family val="1"/>
    </font>
    <font>
      <sz val="8"/>
      <name val="Segoe UI"/>
      <family val="2"/>
    </font>
    <font>
      <i/>
      <sz val="11"/>
      <color indexed="8"/>
      <name val="Times New Roman"/>
      <family val="1"/>
    </font>
    <font>
      <sz val="10"/>
      <color indexed="8"/>
      <name val="Calibri"/>
      <family val="0"/>
    </font>
    <font>
      <b/>
      <sz val="10"/>
      <color indexed="8"/>
      <name val="Calibri"/>
      <family val="0"/>
    </font>
    <font>
      <sz val="9"/>
      <color indexed="8"/>
      <name val="Calibri"/>
      <family val="0"/>
    </font>
    <font>
      <b/>
      <sz val="9"/>
      <color indexed="8"/>
      <name val="Calibri"/>
      <family val="0"/>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b/>
      <sz val="11"/>
      <color rgb="FFFF0000"/>
      <name val="Times New Roman"/>
      <family val="1"/>
    </font>
    <font>
      <sz val="11"/>
      <color rgb="FF242424"/>
      <name val="Times New Roman"/>
      <family val="1"/>
    </font>
    <font>
      <sz val="10"/>
      <color theme="1"/>
      <name val="Times New Roman"/>
      <family val="1"/>
    </font>
    <font>
      <b/>
      <sz val="8"/>
      <color rgb="FF4189AB"/>
      <name val="Verdana"/>
      <family val="2"/>
    </font>
    <font>
      <sz val="11"/>
      <color rgb="FF000000"/>
      <name val="Calibri"/>
      <family val="2"/>
    </font>
    <font>
      <b/>
      <sz val="12"/>
      <color theme="1"/>
      <name val="Times New Roman"/>
      <family val="1"/>
    </font>
    <font>
      <b/>
      <sz val="18"/>
      <color theme="0" tint="-0.3499799966812134"/>
      <name val="Calibri"/>
      <family val="2"/>
    </font>
    <font>
      <b/>
      <sz val="11"/>
      <color theme="0" tint="-0.3499799966812134"/>
      <name val="Times New Roman"/>
      <family val="1"/>
    </font>
    <font>
      <sz val="10"/>
      <color rgb="FF000000"/>
      <name val="Calibri"/>
      <family val="0"/>
    </font>
    <font>
      <sz val="9"/>
      <color rgb="FF000000"/>
      <name val="Calibri"/>
      <family val="0"/>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00B0F0"/>
        <bgColor indexed="64"/>
      </patternFill>
    </fill>
    <fill>
      <patternFill patternType="solid">
        <fgColor rgb="FFFFFF00"/>
        <bgColor indexed="64"/>
      </patternFill>
    </fill>
    <fill>
      <patternFill patternType="solid">
        <fgColor rgb="FF7030A0"/>
        <bgColor indexed="64"/>
      </patternFill>
    </fill>
  </fills>
  <borders count="97">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medium">
        <color theme="0"/>
      </left>
      <right>
        <color indexed="63"/>
      </right>
      <top>
        <color indexed="63"/>
      </top>
      <bottom style="medium">
        <color theme="0"/>
      </bottom>
    </border>
    <border>
      <left style="medium">
        <color theme="0"/>
      </left>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color indexed="63"/>
      </bottom>
    </border>
    <border>
      <left style="thin"/>
      <right style="thin"/>
      <top style="medium"/>
      <bottom style="thin"/>
    </border>
    <border>
      <left>
        <color indexed="63"/>
      </left>
      <right>
        <color indexed="63"/>
      </right>
      <top style="thin"/>
      <bottom style="thin"/>
    </border>
    <border>
      <left>
        <color indexed="63"/>
      </left>
      <right style="thin"/>
      <top>
        <color indexed="63"/>
      </top>
      <bottom style="medium"/>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medium"/>
    </border>
    <border>
      <left style="medium"/>
      <right style="thin"/>
      <top style="medium"/>
      <bottom>
        <color indexed="63"/>
      </bottom>
    </border>
    <border>
      <left/>
      <right style="thin">
        <color rgb="FF000000"/>
      </right>
      <top style="thin"/>
      <bottom/>
    </border>
    <border>
      <left style="thin"/>
      <right/>
      <top/>
      <bottom style="medium">
        <color rgb="FF000000"/>
      </bottom>
    </border>
    <border>
      <left/>
      <right/>
      <top/>
      <bottom style="medium">
        <color rgb="FF000000"/>
      </bottom>
    </border>
    <border>
      <left/>
      <right style="thin">
        <color rgb="FF000000"/>
      </right>
      <top/>
      <bottom style="medium">
        <color rgb="FF000000"/>
      </bottom>
    </border>
    <border>
      <left style="thin">
        <color rgb="FF000000"/>
      </left>
      <right>
        <color indexed="63"/>
      </right>
      <top style="thin"/>
      <bottom>
        <color indexed="63"/>
      </bottom>
    </border>
    <border>
      <left style="thin">
        <color rgb="FF000000"/>
      </left>
      <right>
        <color indexed="63"/>
      </right>
      <top>
        <color indexed="63"/>
      </top>
      <bottom style="medium"/>
    </border>
    <border>
      <left style="medium"/>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49" fontId="66"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67" fillId="21" borderId="0" applyNumberFormat="0" applyBorder="0" applyAlignment="0" applyProtection="0"/>
    <xf numFmtId="0" fontId="68" fillId="22" borderId="4" applyNumberFormat="0" applyAlignment="0" applyProtection="0"/>
    <xf numFmtId="0" fontId="69" fillId="23" borderId="5" applyNumberFormat="0" applyAlignment="0" applyProtection="0"/>
    <xf numFmtId="0" fontId="70" fillId="0" borderId="6" applyNumberFormat="0" applyFill="0" applyAlignment="0" applyProtection="0"/>
    <xf numFmtId="0" fontId="71" fillId="0" borderId="7" applyNumberFormat="0" applyFill="0" applyAlignment="0" applyProtection="0"/>
    <xf numFmtId="0" fontId="72" fillId="24" borderId="0" applyNumberFormat="0" applyProtection="0">
      <alignment horizontal="left" wrapText="1" indent="4"/>
    </xf>
    <xf numFmtId="0" fontId="73" fillId="24" borderId="0" applyNumberFormat="0" applyProtection="0">
      <alignment horizontal="left" wrapText="1" indent="4"/>
    </xf>
    <xf numFmtId="0" fontId="74" fillId="0" borderId="0" applyNumberFormat="0" applyFill="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9" fillId="30" borderId="0" applyNumberFormat="0" applyBorder="0" applyAlignment="0" applyProtection="0"/>
    <xf numFmtId="0" fontId="75" fillId="31" borderId="4" applyNumberFormat="0" applyAlignment="0" applyProtection="0"/>
    <xf numFmtId="16" fontId="39" fillId="0" borderId="0" applyFont="0" applyFill="0" applyBorder="0" applyAlignment="0">
      <protection/>
    </xf>
    <xf numFmtId="0" fontId="76" fillId="32" borderId="0" applyNumberFormat="0" applyBorder="0" applyProtection="0">
      <alignment horizontal="center" vertical="center"/>
    </xf>
    <xf numFmtId="0" fontId="77" fillId="0" borderId="0" applyNumberFormat="0" applyFill="0" applyBorder="0" applyAlignment="0" applyProtection="0"/>
    <xf numFmtId="0" fontId="78" fillId="0" borderId="0" applyNumberFormat="0" applyFill="0" applyBorder="0" applyAlignment="0" applyProtection="0"/>
    <xf numFmtId="0" fontId="79" fillId="3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7" fontId="5"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69" fontId="0" fillId="0" borderId="0" applyFont="0" applyFill="0" applyBorder="0" applyAlignment="0" applyProtection="0"/>
    <xf numFmtId="186" fontId="2" fillId="0" borderId="0" applyFont="0" applyFill="0" applyBorder="0" applyAlignment="0" applyProtection="0"/>
    <xf numFmtId="184" fontId="0" fillId="0" borderId="0" applyFont="0" applyFill="0" applyBorder="0" applyAlignment="0" applyProtection="0"/>
    <xf numFmtId="169" fontId="1" fillId="0" borderId="0" applyFont="0" applyFill="0" applyBorder="0" applyAlignment="0" applyProtection="0"/>
    <xf numFmtId="170" fontId="0" fillId="0" borderId="0" applyFont="0" applyFill="0" applyBorder="0" applyAlignment="0" applyProtection="0"/>
    <xf numFmtId="0" fontId="80" fillId="34" borderId="0" applyNumberFormat="0" applyBorder="0" applyAlignment="0" applyProtection="0"/>
    <xf numFmtId="0" fontId="81"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82" fillId="22" borderId="9" applyNumberFormat="0" applyAlignment="0" applyProtection="0"/>
    <xf numFmtId="0" fontId="83" fillId="0" borderId="0" applyNumberFormat="0" applyFill="0" applyBorder="0" applyAlignment="0" applyProtection="0"/>
    <xf numFmtId="0" fontId="73" fillId="0" borderId="0" applyFill="0" applyBorder="0">
      <alignment wrapText="1"/>
      <protection/>
    </xf>
    <xf numFmtId="0" fontId="65" fillId="0" borderId="0">
      <alignment/>
      <protection/>
    </xf>
    <xf numFmtId="0" fontId="84" fillId="0" borderId="0" applyNumberFormat="0" applyFill="0" applyBorder="0" applyAlignment="0" applyProtection="0"/>
    <xf numFmtId="0" fontId="85" fillId="0" borderId="0" applyNumberFormat="0" applyFill="0" applyBorder="0" applyAlignment="0" applyProtection="0"/>
    <xf numFmtId="0" fontId="86" fillId="0" borderId="10" applyNumberFormat="0" applyFill="0" applyAlignment="0" applyProtection="0"/>
    <xf numFmtId="0" fontId="74" fillId="0" borderId="11" applyNumberFormat="0" applyFill="0" applyAlignment="0" applyProtection="0"/>
    <xf numFmtId="0" fontId="87" fillId="24" borderId="0" applyNumberFormat="0" applyBorder="0" applyProtection="0">
      <alignment horizontal="left" indent="1"/>
    </xf>
    <xf numFmtId="0" fontId="88" fillId="0" borderId="12" applyNumberFormat="0" applyFill="0" applyAlignment="0" applyProtection="0"/>
  </cellStyleXfs>
  <cellXfs count="1211">
    <xf numFmtId="0" fontId="0" fillId="0" borderId="0" xfId="0" applyFont="1" applyAlignment="1">
      <alignment/>
    </xf>
    <xf numFmtId="9" fontId="4" fillId="11" borderId="13" xfId="79" applyFont="1" applyFill="1" applyBorder="1" applyAlignment="1" applyProtection="1">
      <alignment horizontal="center" vertical="center" wrapText="1"/>
      <protection locked="0"/>
    </xf>
    <xf numFmtId="9" fontId="3" fillId="0" borderId="14" xfId="72" applyNumberFormat="1" applyFont="1" applyFill="1" applyBorder="1" applyAlignment="1" applyProtection="1">
      <alignment horizontal="center" vertical="center" wrapText="1"/>
      <protection/>
    </xf>
    <xf numFmtId="0" fontId="0" fillId="0" borderId="0" xfId="0" applyBorder="1" applyAlignment="1">
      <alignment/>
    </xf>
    <xf numFmtId="192" fontId="0" fillId="0" borderId="0" xfId="63"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9" applyFont="1" applyFill="1" applyBorder="1" applyAlignment="1" applyProtection="1">
      <alignment horizontal="center" vertical="center" wrapText="1"/>
      <protection locked="0"/>
    </xf>
    <xf numFmtId="9" fontId="3" fillId="8" borderId="14" xfId="72"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9" applyFont="1" applyFill="1" applyBorder="1" applyAlignment="1" applyProtection="1">
      <alignment horizontal="center" vertical="center" wrapText="1"/>
      <protection locked="0"/>
    </xf>
    <xf numFmtId="9" fontId="3" fillId="13" borderId="14" xfId="72"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9" applyFont="1" applyFill="1" applyBorder="1" applyAlignment="1" applyProtection="1">
      <alignment horizontal="center" vertical="center" wrapText="1"/>
      <protection locked="0"/>
    </xf>
    <xf numFmtId="9" fontId="3" fillId="8" borderId="21" xfId="72" applyNumberFormat="1" applyFont="1" applyFill="1" applyBorder="1" applyAlignment="1" applyProtection="1">
      <alignment horizontal="center" vertical="center" wrapText="1"/>
      <protection/>
    </xf>
    <xf numFmtId="9" fontId="3" fillId="13" borderId="20" xfId="72"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88" fillId="0" borderId="0" xfId="79"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2" applyFont="1" applyFill="1" applyBorder="1" applyAlignment="1" applyProtection="1">
      <alignment vertical="center" wrapText="1"/>
      <protection/>
    </xf>
    <xf numFmtId="0" fontId="11" fillId="38" borderId="24" xfId="72" applyFont="1" applyFill="1" applyBorder="1" applyAlignment="1" applyProtection="1">
      <alignment vertical="center" wrapText="1"/>
      <protection/>
    </xf>
    <xf numFmtId="0" fontId="11" fillId="38" borderId="25" xfId="72" applyFont="1" applyFill="1" applyBorder="1" applyAlignment="1" applyProtection="1">
      <alignment vertical="center" wrapText="1"/>
      <protection/>
    </xf>
    <xf numFmtId="0" fontId="11" fillId="38" borderId="0" xfId="72" applyFont="1" applyFill="1" applyBorder="1" applyAlignment="1" applyProtection="1">
      <alignment vertical="center" wrapText="1"/>
      <protection/>
    </xf>
    <xf numFmtId="0" fontId="13" fillId="38" borderId="0" xfId="72" applyFont="1" applyFill="1" applyBorder="1" applyAlignment="1" applyProtection="1">
      <alignment vertical="center" wrapText="1"/>
      <protection/>
    </xf>
    <xf numFmtId="0" fontId="11" fillId="38" borderId="26" xfId="72" applyFont="1" applyFill="1" applyBorder="1" applyAlignment="1" applyProtection="1">
      <alignment vertical="center" wrapText="1"/>
      <protection/>
    </xf>
    <xf numFmtId="0" fontId="10" fillId="38" borderId="26" xfId="72" applyFont="1" applyFill="1" applyBorder="1" applyAlignment="1" applyProtection="1">
      <alignment vertical="center" wrapText="1"/>
      <protection/>
    </xf>
    <xf numFmtId="0" fontId="10" fillId="38" borderId="27" xfId="72" applyFont="1" applyFill="1" applyBorder="1" applyAlignment="1" applyProtection="1">
      <alignment vertical="center" wrapText="1"/>
      <protection/>
    </xf>
    <xf numFmtId="0" fontId="11" fillId="38" borderId="28" xfId="72" applyFont="1" applyFill="1" applyBorder="1" applyAlignment="1" applyProtection="1">
      <alignment vertical="center" wrapText="1"/>
      <protection/>
    </xf>
    <xf numFmtId="0" fontId="10" fillId="38" borderId="0" xfId="72" applyFont="1" applyFill="1" applyBorder="1" applyAlignment="1" applyProtection="1">
      <alignment vertical="center" wrapText="1"/>
      <protection/>
    </xf>
    <xf numFmtId="0" fontId="10" fillId="38" borderId="29" xfId="72"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2" applyFont="1" applyFill="1" applyBorder="1" applyAlignment="1">
      <alignment horizontal="center" vertical="center" wrapText="1"/>
      <protection/>
    </xf>
    <xf numFmtId="0" fontId="11" fillId="0" borderId="29" xfId="72" applyFont="1" applyFill="1" applyBorder="1" applyAlignment="1">
      <alignment horizontal="center" vertical="center" wrapText="1"/>
      <protection/>
    </xf>
    <xf numFmtId="0" fontId="11" fillId="38" borderId="28" xfId="72" applyFont="1" applyFill="1" applyBorder="1" applyAlignment="1">
      <alignment horizontal="center" vertical="center" wrapText="1"/>
      <protection/>
    </xf>
    <xf numFmtId="0" fontId="11" fillId="38" borderId="33" xfId="72" applyFont="1" applyFill="1" applyBorder="1" applyAlignment="1">
      <alignment horizontal="center" vertical="center" wrapText="1"/>
      <protection/>
    </xf>
    <xf numFmtId="0" fontId="14" fillId="38" borderId="0" xfId="72" applyFont="1" applyFill="1" applyBorder="1" applyAlignment="1">
      <alignment horizontal="center" vertical="center" wrapText="1"/>
      <protection/>
    </xf>
    <xf numFmtId="0" fontId="11" fillId="38" borderId="0" xfId="72" applyFont="1" applyFill="1" applyBorder="1" applyAlignment="1">
      <alignment horizontal="center" vertical="center" wrapText="1"/>
      <protection/>
    </xf>
    <xf numFmtId="0" fontId="14" fillId="0" borderId="0" xfId="72"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2" applyFont="1" applyFill="1" applyBorder="1" applyAlignment="1" applyProtection="1">
      <alignment vertical="center" wrapText="1"/>
      <protection/>
    </xf>
    <xf numFmtId="0" fontId="10" fillId="38" borderId="35" xfId="72" applyFont="1" applyFill="1" applyBorder="1" applyAlignment="1" applyProtection="1">
      <alignment vertical="center" wrapText="1"/>
      <protection/>
    </xf>
    <xf numFmtId="9" fontId="11" fillId="0" borderId="36" xfId="79" applyFont="1" applyFill="1" applyBorder="1" applyAlignment="1" applyProtection="1">
      <alignment horizontal="center" vertical="center" wrapText="1"/>
      <protection/>
    </xf>
    <xf numFmtId="0" fontId="15" fillId="39" borderId="0" xfId="72" applyFont="1" applyFill="1" applyBorder="1" applyAlignment="1" applyProtection="1">
      <alignment vertical="center" wrapText="1"/>
      <protection/>
    </xf>
    <xf numFmtId="0" fontId="89" fillId="38" borderId="28" xfId="0" applyFont="1" applyFill="1" applyBorder="1" applyAlignment="1">
      <alignment vertical="center"/>
    </xf>
    <xf numFmtId="0" fontId="89" fillId="38" borderId="0" xfId="0" applyFont="1" applyFill="1" applyBorder="1" applyAlignment="1">
      <alignment vertical="center"/>
    </xf>
    <xf numFmtId="0" fontId="89" fillId="38" borderId="29" xfId="0" applyFont="1" applyFill="1" applyBorder="1" applyAlignment="1">
      <alignment vertical="center"/>
    </xf>
    <xf numFmtId="0" fontId="11" fillId="38" borderId="0" xfId="72" applyFont="1" applyFill="1" applyBorder="1" applyAlignment="1" applyProtection="1">
      <alignment horizontal="left" vertical="center" wrapText="1"/>
      <protection/>
    </xf>
    <xf numFmtId="0" fontId="11" fillId="38" borderId="0" xfId="72"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2" applyFont="1" applyFill="1" applyBorder="1" applyAlignment="1" applyProtection="1">
      <alignment vertical="center" wrapText="1"/>
      <protection/>
    </xf>
    <xf numFmtId="192" fontId="0" fillId="0" borderId="0" xfId="0" applyNumberFormat="1" applyFont="1" applyBorder="1" applyAlignment="1">
      <alignment vertical="center"/>
    </xf>
    <xf numFmtId="191" fontId="0" fillId="38" borderId="0" xfId="0" applyNumberFormat="1" applyFont="1" applyFill="1" applyBorder="1" applyAlignment="1">
      <alignment vertical="center"/>
    </xf>
    <xf numFmtId="0" fontId="10" fillId="0" borderId="37" xfId="72" applyFont="1" applyFill="1" applyBorder="1" applyAlignment="1" applyProtection="1">
      <alignment horizontal="left" vertical="center" wrapText="1"/>
      <protection/>
    </xf>
    <xf numFmtId="175" fontId="11" fillId="0" borderId="22" xfId="59" applyFont="1" applyFill="1" applyBorder="1" applyAlignment="1" applyProtection="1">
      <alignment horizontal="center" vertical="center" wrapText="1"/>
      <protection/>
    </xf>
    <xf numFmtId="174" fontId="0" fillId="0" borderId="0" xfId="64" applyFont="1" applyAlignment="1">
      <alignment vertical="center"/>
    </xf>
    <xf numFmtId="0" fontId="11" fillId="5" borderId="13" xfId="72" applyFont="1" applyFill="1" applyBorder="1" applyAlignment="1" applyProtection="1">
      <alignment horizontal="center" vertical="center" wrapText="1"/>
      <protection/>
    </xf>
    <xf numFmtId="0" fontId="11" fillId="0" borderId="22" xfId="72" applyFont="1" applyFill="1" applyBorder="1" applyAlignment="1" applyProtection="1">
      <alignment horizontal="center" vertical="center" wrapText="1"/>
      <protection/>
    </xf>
    <xf numFmtId="0" fontId="11" fillId="0" borderId="16" xfId="72" applyFont="1" applyFill="1" applyBorder="1" applyAlignment="1" applyProtection="1">
      <alignment horizontal="left" vertical="center" wrapText="1"/>
      <protection/>
    </xf>
    <xf numFmtId="0" fontId="11" fillId="11" borderId="38" xfId="72" applyFont="1" applyFill="1" applyBorder="1" applyAlignment="1" applyProtection="1">
      <alignment horizontal="left" vertical="center" wrapText="1"/>
      <protection/>
    </xf>
    <xf numFmtId="9" fontId="90" fillId="11" borderId="38" xfId="81" applyFont="1" applyFill="1" applyBorder="1" applyAlignment="1" applyProtection="1">
      <alignment vertical="center" wrapText="1"/>
      <protection/>
    </xf>
    <xf numFmtId="190" fontId="11" fillId="11" borderId="38" xfId="79" applyNumberFormat="1" applyFont="1" applyFill="1" applyBorder="1" applyAlignment="1" applyProtection="1">
      <alignment vertical="center" wrapText="1"/>
      <protection/>
    </xf>
    <xf numFmtId="0" fontId="0" fillId="0" borderId="0" xfId="0" applyFont="1" applyFill="1" applyAlignment="1">
      <alignment vertical="center"/>
    </xf>
    <xf numFmtId="174" fontId="88" fillId="0" borderId="0" xfId="64" applyFont="1" applyAlignment="1">
      <alignment vertical="center"/>
    </xf>
    <xf numFmtId="9" fontId="10" fillId="0" borderId="16" xfId="80" applyFont="1" applyFill="1" applyBorder="1" applyAlignment="1" applyProtection="1">
      <alignment horizontal="center" vertical="center" wrapText="1"/>
      <protection locked="0"/>
    </xf>
    <xf numFmtId="9" fontId="11" fillId="0" borderId="39" xfId="72" applyNumberFormat="1" applyFont="1" applyFill="1" applyBorder="1" applyAlignment="1" applyProtection="1">
      <alignment horizontal="center" vertical="center" wrapText="1"/>
      <protection/>
    </xf>
    <xf numFmtId="9" fontId="11" fillId="0" borderId="0" xfId="72" applyNumberFormat="1" applyFont="1" applyFill="1" applyBorder="1" applyAlignment="1" applyProtection="1">
      <alignment vertical="center" wrapText="1"/>
      <protection/>
    </xf>
    <xf numFmtId="0" fontId="88" fillId="0" borderId="0" xfId="0" applyFont="1" applyAlignment="1">
      <alignment vertical="center"/>
    </xf>
    <xf numFmtId="0" fontId="11" fillId="11" borderId="13" xfId="72" applyFont="1" applyFill="1" applyBorder="1" applyAlignment="1" applyProtection="1">
      <alignment horizontal="left" vertical="center" wrapText="1"/>
      <protection/>
    </xf>
    <xf numFmtId="9" fontId="10" fillId="11" borderId="13" xfId="79" applyFont="1" applyFill="1" applyBorder="1" applyAlignment="1" applyProtection="1">
      <alignment horizontal="center" vertical="center" wrapText="1"/>
      <protection locked="0"/>
    </xf>
    <xf numFmtId="9" fontId="11" fillId="0" borderId="14" xfId="72" applyNumberFormat="1" applyFont="1" applyFill="1" applyBorder="1" applyAlignment="1" applyProtection="1">
      <alignment horizontal="center" vertical="center" wrapText="1"/>
      <protection/>
    </xf>
    <xf numFmtId="0" fontId="11" fillId="0" borderId="13" xfId="72" applyFont="1" applyFill="1" applyBorder="1" applyAlignment="1" applyProtection="1">
      <alignment horizontal="left" vertical="center" wrapText="1"/>
      <protection/>
    </xf>
    <xf numFmtId="9" fontId="10" fillId="0" borderId="13" xfId="80" applyFont="1" applyFill="1" applyBorder="1" applyAlignment="1" applyProtection="1">
      <alignment horizontal="center" vertical="center" wrapText="1"/>
      <protection locked="0"/>
    </xf>
    <xf numFmtId="9" fontId="10" fillId="11" borderId="14" xfId="79" applyFont="1" applyFill="1" applyBorder="1" applyAlignment="1" applyProtection="1">
      <alignment horizontal="center" vertical="center" wrapText="1"/>
      <protection locked="0"/>
    </xf>
    <xf numFmtId="9" fontId="10" fillId="11" borderId="13" xfId="79" applyNumberFormat="1" applyFont="1" applyFill="1" applyBorder="1" applyAlignment="1" applyProtection="1">
      <alignment horizontal="center" vertical="center" wrapText="1"/>
      <protection locked="0"/>
    </xf>
    <xf numFmtId="9" fontId="10" fillId="11" borderId="38" xfId="79" applyFont="1" applyFill="1" applyBorder="1" applyAlignment="1" applyProtection="1">
      <alignment horizontal="center" vertical="center" wrapText="1"/>
      <protection locked="0"/>
    </xf>
    <xf numFmtId="9" fontId="10" fillId="11" borderId="40" xfId="79" applyFont="1" applyFill="1" applyBorder="1" applyAlignment="1" applyProtection="1">
      <alignment horizontal="center" vertical="center" wrapText="1"/>
      <protection locked="0"/>
    </xf>
    <xf numFmtId="9" fontId="11" fillId="0" borderId="40" xfId="72" applyNumberFormat="1" applyFont="1" applyFill="1" applyBorder="1" applyAlignment="1" applyProtection="1">
      <alignment horizontal="center" vertical="center" wrapText="1"/>
      <protection/>
    </xf>
    <xf numFmtId="0" fontId="89" fillId="0" borderId="0" xfId="0" applyFont="1" applyAlignment="1">
      <alignment vertical="center"/>
    </xf>
    <xf numFmtId="0" fontId="91" fillId="11" borderId="41" xfId="0" applyFont="1" applyFill="1" applyBorder="1" applyAlignment="1">
      <alignment vertical="center"/>
    </xf>
    <xf numFmtId="0" fontId="91" fillId="11" borderId="42" xfId="0" applyFont="1" applyFill="1" applyBorder="1" applyAlignment="1">
      <alignment vertical="center"/>
    </xf>
    <xf numFmtId="0" fontId="91" fillId="11" borderId="0" xfId="0" applyFont="1" applyFill="1" applyBorder="1" applyAlignment="1">
      <alignment vertical="center"/>
    </xf>
    <xf numFmtId="0" fontId="91" fillId="11" borderId="43" xfId="0" applyFont="1" applyFill="1" applyBorder="1" applyAlignment="1">
      <alignment vertical="center"/>
    </xf>
    <xf numFmtId="0" fontId="91" fillId="11" borderId="15" xfId="0" applyFont="1" applyFill="1" applyBorder="1" applyAlignment="1">
      <alignment vertical="center"/>
    </xf>
    <xf numFmtId="0" fontId="91" fillId="11" borderId="44" xfId="0" applyFont="1" applyFill="1" applyBorder="1" applyAlignment="1">
      <alignment vertical="center"/>
    </xf>
    <xf numFmtId="0" fontId="91" fillId="11" borderId="13" xfId="0" applyFont="1" applyFill="1" applyBorder="1" applyAlignment="1">
      <alignment horizontal="center" vertical="center" wrapText="1"/>
    </xf>
    <xf numFmtId="0" fontId="89" fillId="0" borderId="13" xfId="0" applyFont="1" applyBorder="1" applyAlignment="1">
      <alignment horizontal="center" vertical="center"/>
    </xf>
    <xf numFmtId="0" fontId="89" fillId="0" borderId="13" xfId="0" applyFont="1" applyBorder="1" applyAlignment="1">
      <alignment horizontal="center" vertical="center" wrapText="1"/>
    </xf>
    <xf numFmtId="175" fontId="89" fillId="0" borderId="13" xfId="59" applyFont="1" applyBorder="1" applyAlignment="1">
      <alignment horizontal="center" vertical="center" wrapText="1"/>
    </xf>
    <xf numFmtId="0" fontId="89" fillId="0" borderId="13" xfId="0" applyFont="1" applyBorder="1" applyAlignment="1">
      <alignment vertical="center"/>
    </xf>
    <xf numFmtId="0" fontId="89" fillId="0" borderId="13" xfId="79" applyNumberFormat="1" applyFont="1" applyBorder="1" applyAlignment="1">
      <alignment vertical="center"/>
    </xf>
    <xf numFmtId="0" fontId="90" fillId="0" borderId="13" xfId="0" applyFont="1" applyBorder="1" applyAlignment="1">
      <alignment vertical="center" wrapText="1"/>
    </xf>
    <xf numFmtId="9" fontId="89" fillId="0" borderId="13" xfId="79" applyFont="1" applyBorder="1" applyAlignment="1">
      <alignment vertical="center"/>
    </xf>
    <xf numFmtId="0" fontId="89"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92" fillId="11" borderId="13" xfId="0" applyFont="1" applyFill="1" applyBorder="1" applyAlignment="1">
      <alignment horizontal="center" vertical="center"/>
    </xf>
    <xf numFmtId="0" fontId="89" fillId="0" borderId="0" xfId="0" applyFont="1" applyAlignment="1">
      <alignment horizontal="center" vertical="center"/>
    </xf>
    <xf numFmtId="0" fontId="93" fillId="0" borderId="13" xfId="0" applyFont="1" applyBorder="1" applyAlignment="1">
      <alignment vertical="center"/>
    </xf>
    <xf numFmtId="0" fontId="92" fillId="11" borderId="13" xfId="0" applyFont="1" applyFill="1" applyBorder="1" applyAlignment="1">
      <alignment horizontal="left" vertical="center"/>
    </xf>
    <xf numFmtId="0" fontId="89" fillId="0" borderId="13" xfId="0" applyFont="1" applyBorder="1" applyAlignment="1">
      <alignment horizontal="left" vertical="center"/>
    </xf>
    <xf numFmtId="0" fontId="89" fillId="0" borderId="14" xfId="0" applyFont="1" applyFill="1" applyBorder="1" applyAlignment="1">
      <alignment horizontal="left" vertical="center"/>
    </xf>
    <xf numFmtId="0" fontId="89" fillId="0" borderId="13" xfId="0" applyFont="1" applyFill="1" applyBorder="1" applyAlignment="1">
      <alignment horizontal="left" vertical="center"/>
    </xf>
    <xf numFmtId="41" fontId="89" fillId="0" borderId="13" xfId="60" applyFont="1" applyFill="1" applyBorder="1" applyAlignment="1">
      <alignment vertical="center"/>
    </xf>
    <xf numFmtId="0" fontId="93" fillId="0" borderId="0" xfId="0" applyFont="1" applyAlignment="1">
      <alignment vertical="center"/>
    </xf>
    <xf numFmtId="0" fontId="16" fillId="0" borderId="13" xfId="0" applyFont="1" applyBorder="1" applyAlignment="1">
      <alignment horizontal="center" vertical="center" wrapText="1"/>
    </xf>
    <xf numFmtId="0" fontId="91" fillId="0" borderId="0" xfId="0" applyFont="1" applyAlignment="1">
      <alignment horizontal="left" vertical="center"/>
    </xf>
    <xf numFmtId="0" fontId="91" fillId="11" borderId="13" xfId="0" applyFont="1" applyFill="1" applyBorder="1" applyAlignment="1">
      <alignment vertical="center"/>
    </xf>
    <xf numFmtId="41" fontId="89" fillId="0" borderId="14" xfId="60" applyFont="1" applyFill="1" applyBorder="1" applyAlignment="1">
      <alignment vertical="center"/>
    </xf>
    <xf numFmtId="49" fontId="89" fillId="0" borderId="14" xfId="60" applyNumberFormat="1" applyFont="1" applyFill="1" applyBorder="1" applyAlignment="1">
      <alignment vertical="center"/>
    </xf>
    <xf numFmtId="49" fontId="89" fillId="0" borderId="13" xfId="60" applyNumberFormat="1" applyFont="1" applyFill="1" applyBorder="1" applyAlignment="1">
      <alignment vertical="center"/>
    </xf>
    <xf numFmtId="0" fontId="89" fillId="0" borderId="0" xfId="0" applyFont="1" applyAlignment="1">
      <alignment horizontal="left" vertical="center"/>
    </xf>
    <xf numFmtId="0" fontId="89" fillId="0" borderId="0" xfId="0" applyFont="1" applyFill="1" applyAlignment="1">
      <alignment horizontal="left" vertical="center"/>
    </xf>
    <xf numFmtId="0" fontId="91" fillId="17" borderId="13" xfId="0" applyFont="1" applyFill="1" applyBorder="1" applyAlignment="1">
      <alignment horizontal="center" vertical="center"/>
    </xf>
    <xf numFmtId="0" fontId="89" fillId="0" borderId="16" xfId="0" applyFont="1" applyFill="1" applyBorder="1" applyAlignment="1">
      <alignment horizontal="left" vertical="center" wrapText="1"/>
    </xf>
    <xf numFmtId="0" fontId="89" fillId="0" borderId="13" xfId="0" applyFont="1" applyFill="1" applyBorder="1" applyAlignment="1">
      <alignment horizontal="left" vertical="center" wrapText="1"/>
    </xf>
    <xf numFmtId="0" fontId="89" fillId="0" borderId="13" xfId="0" applyFont="1" applyFill="1" applyBorder="1" applyAlignment="1">
      <alignment vertical="center" wrapText="1"/>
    </xf>
    <xf numFmtId="0" fontId="91" fillId="0" borderId="13" xfId="0" applyFont="1" applyFill="1" applyBorder="1" applyAlignment="1">
      <alignment vertical="center" wrapText="1"/>
    </xf>
    <xf numFmtId="0" fontId="89"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91" fillId="0" borderId="22" xfId="0" applyFont="1" applyFill="1" applyBorder="1" applyAlignment="1">
      <alignment horizontal="left" vertical="center" wrapText="1"/>
    </xf>
    <xf numFmtId="0" fontId="89" fillId="0" borderId="22" xfId="0" applyFont="1" applyFill="1" applyBorder="1" applyAlignment="1">
      <alignment horizontal="left" vertical="center"/>
    </xf>
    <xf numFmtId="0" fontId="11" fillId="5" borderId="13" xfId="72" applyFont="1" applyFill="1" applyBorder="1" applyAlignment="1" applyProtection="1">
      <alignment horizontal="center" vertical="center" wrapText="1"/>
      <protection/>
    </xf>
    <xf numFmtId="0" fontId="11" fillId="38" borderId="14" xfId="72" applyFont="1" applyFill="1" applyBorder="1" applyAlignment="1" applyProtection="1">
      <alignment horizontal="center" vertical="center" wrapText="1"/>
      <protection/>
    </xf>
    <xf numFmtId="0" fontId="11" fillId="38" borderId="17" xfId="72" applyFont="1" applyFill="1" applyBorder="1" applyAlignment="1" applyProtection="1">
      <alignment horizontal="center" vertical="center" wrapText="1"/>
      <protection/>
    </xf>
    <xf numFmtId="0" fontId="11" fillId="0" borderId="14" xfId="72" applyFont="1" applyFill="1" applyBorder="1" applyAlignment="1" applyProtection="1">
      <alignment horizontal="center" vertical="center" wrapText="1"/>
      <protection/>
    </xf>
    <xf numFmtId="0" fontId="11" fillId="0" borderId="45" xfId="72"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2" fontId="12" fillId="40" borderId="13" xfId="64" applyNumberFormat="1" applyFont="1" applyFill="1" applyBorder="1" applyAlignment="1">
      <alignment horizontal="center" vertical="center"/>
    </xf>
    <xf numFmtId="202" fontId="12" fillId="40" borderId="13" xfId="0" applyNumberFormat="1" applyFont="1" applyFill="1" applyBorder="1" applyAlignment="1">
      <alignment horizontal="center" vertical="center"/>
    </xf>
    <xf numFmtId="0" fontId="11" fillId="5" borderId="13" xfId="72" applyFont="1" applyFill="1" applyBorder="1" applyAlignment="1" applyProtection="1">
      <alignment horizontal="center" vertical="center" wrapText="1"/>
      <protection/>
    </xf>
    <xf numFmtId="0" fontId="11" fillId="5" borderId="46" xfId="72" applyFont="1" applyFill="1" applyBorder="1" applyAlignment="1" applyProtection="1">
      <alignment horizontal="center" vertical="center" wrapText="1"/>
      <protection/>
    </xf>
    <xf numFmtId="0" fontId="11" fillId="5" borderId="47" xfId="72" applyFont="1" applyFill="1" applyBorder="1" applyAlignment="1" applyProtection="1">
      <alignment horizontal="center" vertical="center" wrapText="1"/>
      <protection/>
    </xf>
    <xf numFmtId="0" fontId="11" fillId="5" borderId="48" xfId="72" applyFont="1" applyFill="1" applyBorder="1" applyAlignment="1" applyProtection="1">
      <alignment horizontal="center" vertical="center" wrapText="1"/>
      <protection/>
    </xf>
    <xf numFmtId="9" fontId="11" fillId="0" borderId="22" xfId="79" applyFont="1" applyFill="1" applyBorder="1" applyAlignment="1" applyProtection="1">
      <alignment horizontal="center" vertical="center" wrapText="1"/>
      <protection/>
    </xf>
    <xf numFmtId="9" fontId="11" fillId="11" borderId="38" xfId="79" applyFont="1" applyFill="1" applyBorder="1" applyAlignment="1" applyProtection="1">
      <alignment horizontal="center" vertical="center" wrapText="1"/>
      <protection/>
    </xf>
    <xf numFmtId="0" fontId="11" fillId="38" borderId="49" xfId="72" applyFont="1" applyFill="1" applyBorder="1" applyAlignment="1" applyProtection="1">
      <alignment horizontal="center" vertical="center" wrapText="1"/>
      <protection/>
    </xf>
    <xf numFmtId="0" fontId="11" fillId="38" borderId="41" xfId="72" applyFont="1" applyFill="1" applyBorder="1" applyAlignment="1" applyProtection="1">
      <alignment horizontal="center" vertical="center" wrapText="1"/>
      <protection/>
    </xf>
    <xf numFmtId="0" fontId="11" fillId="38" borderId="42" xfId="72" applyFont="1" applyFill="1" applyBorder="1" applyAlignment="1" applyProtection="1">
      <alignment horizontal="center" vertical="center" wrapText="1"/>
      <protection/>
    </xf>
    <xf numFmtId="0" fontId="94" fillId="0" borderId="0" xfId="0" applyFont="1" applyFill="1" applyBorder="1" applyAlignment="1">
      <alignment horizontal="center" vertical="center"/>
    </xf>
    <xf numFmtId="0" fontId="88"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2" applyFont="1" applyFill="1" applyBorder="1" applyAlignment="1" applyProtection="1">
      <alignment vertical="center" wrapText="1"/>
      <protection/>
    </xf>
    <xf numFmtId="0" fontId="11" fillId="0" borderId="0" xfId="72" applyFont="1" applyFill="1" applyBorder="1" applyAlignment="1" applyProtection="1">
      <alignment vertical="center" wrapText="1"/>
      <protection/>
    </xf>
    <xf numFmtId="0" fontId="13" fillId="0" borderId="0" xfId="72" applyFont="1" applyFill="1" applyBorder="1" applyAlignment="1" applyProtection="1">
      <alignment vertical="center" wrapText="1"/>
      <protection/>
    </xf>
    <xf numFmtId="0" fontId="10" fillId="0" borderId="0" xfId="72"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2" applyFont="1" applyFill="1" applyBorder="1" applyAlignment="1" applyProtection="1">
      <alignment vertical="center" wrapText="1"/>
      <protection/>
    </xf>
    <xf numFmtId="189" fontId="0" fillId="0" borderId="13" xfId="58" applyNumberFormat="1" applyFont="1" applyBorder="1" applyAlignment="1">
      <alignment vertical="center"/>
    </xf>
    <xf numFmtId="189" fontId="0" fillId="0" borderId="20" xfId="58" applyNumberFormat="1" applyFont="1" applyBorder="1" applyAlignment="1">
      <alignment vertical="center"/>
    </xf>
    <xf numFmtId="189" fontId="0" fillId="0" borderId="50" xfId="58" applyNumberFormat="1" applyFont="1" applyBorder="1" applyAlignment="1">
      <alignment vertical="center"/>
    </xf>
    <xf numFmtId="189" fontId="0" fillId="0" borderId="38" xfId="58" applyNumberFormat="1" applyFont="1" applyBorder="1" applyAlignment="1">
      <alignment vertical="center"/>
    </xf>
    <xf numFmtId="189" fontId="0" fillId="0" borderId="16" xfId="58" applyNumberFormat="1" applyFont="1" applyBorder="1" applyAlignment="1">
      <alignment vertical="center"/>
    </xf>
    <xf numFmtId="189" fontId="0" fillId="0" borderId="14" xfId="58" applyNumberFormat="1" applyFont="1" applyBorder="1" applyAlignment="1">
      <alignment vertical="center"/>
    </xf>
    <xf numFmtId="189" fontId="0" fillId="0" borderId="51" xfId="58" applyNumberFormat="1" applyFont="1" applyBorder="1" applyAlignment="1">
      <alignment vertical="center"/>
    </xf>
    <xf numFmtId="189" fontId="0" fillId="0" borderId="39" xfId="58" applyNumberFormat="1" applyFont="1" applyBorder="1" applyAlignment="1">
      <alignment vertical="center"/>
    </xf>
    <xf numFmtId="9" fontId="0" fillId="0" borderId="40" xfId="79" applyFont="1" applyBorder="1" applyAlignment="1">
      <alignment vertical="center"/>
    </xf>
    <xf numFmtId="9" fontId="0" fillId="0" borderId="21" xfId="79" applyFont="1" applyBorder="1" applyAlignment="1">
      <alignment vertical="center"/>
    </xf>
    <xf numFmtId="9" fontId="0" fillId="0" borderId="52" xfId="79" applyFont="1" applyBorder="1" applyAlignment="1">
      <alignment vertical="center"/>
    </xf>
    <xf numFmtId="9" fontId="0" fillId="0" borderId="53" xfId="79" applyFont="1" applyBorder="1" applyAlignment="1">
      <alignment vertical="center"/>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4" xfId="0" applyFont="1" applyFill="1" applyBorder="1" applyAlignment="1">
      <alignment horizontal="center" vertical="center" wrapText="1"/>
    </xf>
    <xf numFmtId="0" fontId="3" fillId="11" borderId="16" xfId="0" applyFont="1" applyFill="1" applyBorder="1" applyAlignment="1">
      <alignment horizontal="center" vertical="center" wrapText="1"/>
    </xf>
    <xf numFmtId="202" fontId="12" fillId="0" borderId="13" xfId="64"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9" applyFont="1" applyBorder="1" applyAlignment="1">
      <alignment vertical="center"/>
    </xf>
    <xf numFmtId="177" fontId="11" fillId="0" borderId="22" xfId="58" applyFont="1" applyFill="1" applyBorder="1" applyAlignment="1" applyProtection="1">
      <alignment horizontal="center" vertical="center" wrapText="1"/>
      <protection/>
    </xf>
    <xf numFmtId="0" fontId="11" fillId="11" borderId="14"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95" fillId="0" borderId="13" xfId="79" applyNumberFormat="1" applyFont="1" applyBorder="1" applyAlignment="1">
      <alignment vertical="center"/>
    </xf>
    <xf numFmtId="9" fontId="91" fillId="11" borderId="13" xfId="79" applyFont="1" applyFill="1" applyBorder="1" applyAlignment="1">
      <alignment horizontal="center" vertical="center" wrapText="1"/>
    </xf>
    <xf numFmtId="9" fontId="89" fillId="0" borderId="0" xfId="79" applyFont="1" applyAlignment="1">
      <alignment vertical="center"/>
    </xf>
    <xf numFmtId="0" fontId="91" fillId="17" borderId="13" xfId="0" applyFont="1" applyFill="1" applyBorder="1" applyAlignment="1">
      <alignment horizontal="left" vertical="center"/>
    </xf>
    <xf numFmtId="0" fontId="91" fillId="0" borderId="13" xfId="0" applyFont="1" applyFill="1" applyBorder="1" applyAlignment="1">
      <alignment horizontal="left" vertical="center"/>
    </xf>
    <xf numFmtId="0" fontId="91" fillId="0" borderId="13" xfId="0" applyFont="1" applyFill="1" applyBorder="1" applyAlignment="1">
      <alignment horizontal="left" vertical="center" wrapText="1"/>
    </xf>
    <xf numFmtId="208" fontId="16" fillId="0" borderId="13" xfId="63" applyNumberFormat="1" applyFont="1" applyBorder="1" applyAlignment="1">
      <alignment vertical="center"/>
    </xf>
    <xf numFmtId="208" fontId="12" fillId="40" borderId="13" xfId="63" applyNumberFormat="1" applyFont="1" applyFill="1" applyBorder="1" applyAlignment="1">
      <alignment horizontal="center" vertical="center"/>
    </xf>
    <xf numFmtId="0" fontId="12" fillId="0" borderId="22" xfId="0" applyFont="1" applyFill="1" applyBorder="1" applyAlignment="1">
      <alignment horizontal="left" vertical="center" wrapText="1"/>
    </xf>
    <xf numFmtId="0" fontId="11" fillId="38" borderId="55" xfId="72" applyFont="1" applyFill="1" applyBorder="1" applyAlignment="1" applyProtection="1">
      <alignment vertical="center" wrapText="1"/>
      <protection/>
    </xf>
    <xf numFmtId="0" fontId="11" fillId="38" borderId="56" xfId="72" applyFont="1" applyFill="1" applyBorder="1" applyAlignment="1" applyProtection="1">
      <alignment vertical="center" wrapText="1"/>
      <protection/>
    </xf>
    <xf numFmtId="0" fontId="91" fillId="11" borderId="41" xfId="0" applyFont="1" applyFill="1" applyBorder="1" applyAlignment="1">
      <alignment horizontal="center" vertical="center"/>
    </xf>
    <xf numFmtId="0" fontId="91" fillId="11" borderId="15" xfId="0" applyFont="1" applyFill="1" applyBorder="1" applyAlignment="1">
      <alignment horizontal="center" vertical="center"/>
    </xf>
    <xf numFmtId="0" fontId="91" fillId="0" borderId="13" xfId="0" applyFont="1" applyBorder="1" applyAlignment="1">
      <alignment horizontal="center" vertical="center"/>
    </xf>
    <xf numFmtId="0" fontId="11" fillId="11" borderId="22"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91" fillId="11" borderId="0" xfId="0" applyFont="1" applyFill="1" applyAlignment="1">
      <alignment vertical="center"/>
    </xf>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9" fontId="89" fillId="0" borderId="13" xfId="79" applyFont="1" applyFill="1" applyBorder="1" applyAlignment="1">
      <alignment horizontal="center" vertical="center" wrapText="1"/>
    </xf>
    <xf numFmtId="175" fontId="89" fillId="0" borderId="13" xfId="59" applyFont="1" applyFill="1" applyBorder="1" applyAlignment="1">
      <alignment horizontal="center" vertical="center" wrapText="1"/>
    </xf>
    <xf numFmtId="9" fontId="89" fillId="0" borderId="13" xfId="0" applyNumberFormat="1" applyFont="1" applyBorder="1" applyAlignment="1">
      <alignment horizontal="center" vertical="center"/>
    </xf>
    <xf numFmtId="0" fontId="10" fillId="0" borderId="17" xfId="0" applyFont="1" applyBorder="1" applyAlignment="1">
      <alignment horizontal="center" vertical="center" wrapText="1"/>
    </xf>
    <xf numFmtId="175" fontId="89" fillId="0" borderId="13" xfId="59" applyFont="1" applyFill="1" applyBorder="1" applyAlignment="1">
      <alignment horizontal="center" vertical="center"/>
    </xf>
    <xf numFmtId="1" fontId="89" fillId="0" borderId="13" xfId="0" applyNumberFormat="1" applyFont="1" applyBorder="1" applyAlignment="1">
      <alignment horizontal="center" vertical="center"/>
    </xf>
    <xf numFmtId="1" fontId="89" fillId="0" borderId="13" xfId="59" applyNumberFormat="1" applyFont="1" applyFill="1" applyBorder="1" applyAlignment="1">
      <alignment horizontal="center" vertical="center"/>
    </xf>
    <xf numFmtId="0" fontId="89" fillId="0" borderId="13" xfId="79" applyNumberFormat="1" applyFont="1" applyFill="1" applyBorder="1" applyAlignment="1">
      <alignment horizontal="center" vertical="center" wrapText="1"/>
    </xf>
    <xf numFmtId="0" fontId="89" fillId="38" borderId="22" xfId="0" applyFont="1" applyFill="1" applyBorder="1" applyAlignment="1">
      <alignment horizontal="center" vertical="center" wrapText="1"/>
    </xf>
    <xf numFmtId="9" fontId="89" fillId="0" borderId="13" xfId="0" applyNumberFormat="1" applyFont="1" applyBorder="1" applyAlignment="1">
      <alignment horizontal="center" vertical="center" wrapText="1"/>
    </xf>
    <xf numFmtId="9" fontId="89" fillId="0" borderId="13" xfId="79" applyFont="1" applyFill="1" applyBorder="1" applyAlignment="1">
      <alignment horizontal="center" vertical="center"/>
    </xf>
    <xf numFmtId="0" fontId="89" fillId="38" borderId="13" xfId="0" applyFont="1" applyFill="1" applyBorder="1" applyAlignment="1">
      <alignment horizontal="center" vertical="center" wrapText="1"/>
    </xf>
    <xf numFmtId="0" fontId="0" fillId="0" borderId="0" xfId="0" applyAlignment="1">
      <alignment vertical="center"/>
    </xf>
    <xf numFmtId="0" fontId="11" fillId="0" borderId="0" xfId="72" applyFont="1" applyAlignment="1">
      <alignment horizontal="center" vertical="center" wrapText="1"/>
      <protection/>
    </xf>
    <xf numFmtId="0" fontId="11" fillId="0" borderId="29" xfId="72" applyFont="1" applyBorder="1" applyAlignment="1">
      <alignment horizontal="center" vertical="center" wrapText="1"/>
      <protection/>
    </xf>
    <xf numFmtId="0" fontId="11" fillId="38" borderId="23" xfId="72" applyFont="1" applyFill="1" applyBorder="1" applyAlignment="1">
      <alignment vertical="center" wrapText="1"/>
      <protection/>
    </xf>
    <xf numFmtId="0" fontId="11" fillId="38" borderId="24" xfId="72" applyFont="1" applyFill="1" applyBorder="1" applyAlignment="1">
      <alignment vertical="center" wrapText="1"/>
      <protection/>
    </xf>
    <xf numFmtId="0" fontId="11" fillId="38" borderId="25" xfId="72" applyFont="1" applyFill="1" applyBorder="1" applyAlignment="1">
      <alignment vertical="center" wrapText="1"/>
      <protection/>
    </xf>
    <xf numFmtId="0" fontId="11" fillId="38" borderId="0" xfId="72" applyFont="1" applyFill="1" applyAlignment="1">
      <alignment vertical="center" wrapText="1"/>
      <protection/>
    </xf>
    <xf numFmtId="0" fontId="13" fillId="38" borderId="0" xfId="72" applyFont="1" applyFill="1" applyAlignment="1">
      <alignment vertical="center" wrapText="1"/>
      <protection/>
    </xf>
    <xf numFmtId="0" fontId="11" fillId="38" borderId="26" xfId="72" applyFont="1" applyFill="1" applyBorder="1" applyAlignment="1">
      <alignment vertical="center" wrapText="1"/>
      <protection/>
    </xf>
    <xf numFmtId="0" fontId="10" fillId="38" borderId="26" xfId="72" applyFont="1" applyFill="1" applyBorder="1" applyAlignment="1">
      <alignment vertical="center" wrapText="1"/>
      <protection/>
    </xf>
    <xf numFmtId="0" fontId="10" fillId="38" borderId="27" xfId="72" applyFont="1" applyFill="1" applyBorder="1" applyAlignment="1">
      <alignment vertical="center" wrapText="1"/>
      <protection/>
    </xf>
    <xf numFmtId="0" fontId="11" fillId="38" borderId="28" xfId="72" applyFont="1" applyFill="1" applyBorder="1" applyAlignment="1">
      <alignment vertical="center" wrapText="1"/>
      <protection/>
    </xf>
    <xf numFmtId="0" fontId="10" fillId="38" borderId="0" xfId="72" applyFont="1" applyFill="1" applyAlignment="1">
      <alignment vertical="center" wrapText="1"/>
      <protection/>
    </xf>
    <xf numFmtId="0" fontId="10" fillId="38" borderId="29" xfId="72" applyFont="1" applyFill="1" applyBorder="1" applyAlignment="1">
      <alignment vertical="center" wrapText="1"/>
      <protection/>
    </xf>
    <xf numFmtId="0" fontId="11" fillId="0" borderId="28" xfId="72" applyFont="1" applyBorder="1" applyAlignment="1">
      <alignment vertical="center" wrapText="1"/>
      <protection/>
    </xf>
    <xf numFmtId="0" fontId="11" fillId="0" borderId="0" xfId="72" applyFont="1" applyAlignment="1">
      <alignment vertical="center" wrapText="1"/>
      <protection/>
    </xf>
    <xf numFmtId="0" fontId="94" fillId="0" borderId="0" xfId="0" applyFont="1" applyAlignment="1">
      <alignment horizontal="center" vertical="center"/>
    </xf>
    <xf numFmtId="0" fontId="88" fillId="0" borderId="0" xfId="0" applyFont="1" applyAlignment="1">
      <alignment horizontal="center" vertical="center" wrapText="1"/>
    </xf>
    <xf numFmtId="0" fontId="0" fillId="0" borderId="0" xfId="0" applyAlignment="1">
      <alignment horizontal="center" vertical="center"/>
    </xf>
    <xf numFmtId="0" fontId="13" fillId="0" borderId="0" xfId="72" applyFont="1" applyAlignment="1">
      <alignment vertical="center" wrapText="1"/>
      <protection/>
    </xf>
    <xf numFmtId="0" fontId="10" fillId="0" borderId="0" xfId="72" applyFont="1" applyAlignment="1">
      <alignment vertical="center" wrapText="1"/>
      <protection/>
    </xf>
    <xf numFmtId="0" fontId="10" fillId="0" borderId="29" xfId="72" applyFont="1" applyBorder="1" applyAlignment="1">
      <alignment vertical="center" wrapText="1"/>
      <protection/>
    </xf>
    <xf numFmtId="0" fontId="14" fillId="38" borderId="0" xfId="72" applyFont="1" applyFill="1" applyAlignment="1">
      <alignment horizontal="center" vertical="center" wrapText="1"/>
      <protection/>
    </xf>
    <xf numFmtId="0" fontId="11" fillId="38" borderId="0" xfId="72" applyFont="1" applyFill="1" applyAlignment="1">
      <alignment horizontal="center" vertical="center" wrapText="1"/>
      <protection/>
    </xf>
    <xf numFmtId="0" fontId="14" fillId="0" borderId="0" xfId="72" applyFont="1" applyAlignment="1">
      <alignment horizontal="center" vertical="center" wrapText="1"/>
      <protection/>
    </xf>
    <xf numFmtId="0" fontId="10" fillId="38" borderId="34" xfId="72" applyFont="1" applyFill="1" applyBorder="1" applyAlignment="1">
      <alignment vertical="center" wrapText="1"/>
      <protection/>
    </xf>
    <xf numFmtId="0" fontId="10" fillId="38" borderId="35" xfId="72" applyFont="1" applyFill="1" applyBorder="1" applyAlignment="1">
      <alignment vertical="center" wrapText="1"/>
      <protection/>
    </xf>
    <xf numFmtId="0" fontId="15" fillId="39" borderId="0" xfId="72" applyFont="1" applyFill="1" applyAlignment="1">
      <alignment vertical="center" wrapText="1"/>
      <protection/>
    </xf>
    <xf numFmtId="0" fontId="89" fillId="38" borderId="0" xfId="0" applyFont="1" applyFill="1" applyAlignment="1">
      <alignment vertical="center"/>
    </xf>
    <xf numFmtId="192" fontId="0" fillId="0" borderId="0" xfId="0" applyNumberFormat="1" applyAlignment="1">
      <alignment vertical="center"/>
    </xf>
    <xf numFmtId="0" fontId="10" fillId="38" borderId="28" xfId="72" applyFont="1" applyFill="1" applyBorder="1" applyAlignment="1">
      <alignment vertical="center" wrapText="1"/>
      <protection/>
    </xf>
    <xf numFmtId="0" fontId="11" fillId="5" borderId="46" xfId="72" applyFont="1" applyFill="1" applyBorder="1" applyAlignment="1">
      <alignment horizontal="center" vertical="center" wrapText="1"/>
      <protection/>
    </xf>
    <xf numFmtId="0" fontId="11" fillId="5" borderId="47" xfId="72" applyFont="1" applyFill="1" applyBorder="1" applyAlignment="1">
      <alignment horizontal="center" vertical="center" wrapText="1"/>
      <protection/>
    </xf>
    <xf numFmtId="0" fontId="11" fillId="5" borderId="48" xfId="72" applyFont="1" applyFill="1" applyBorder="1" applyAlignment="1">
      <alignment horizontal="center" vertical="center" wrapText="1"/>
      <protection/>
    </xf>
    <xf numFmtId="0" fontId="11" fillId="38" borderId="0" xfId="72" applyFont="1" applyFill="1" applyAlignment="1">
      <alignment horizontal="left" vertical="center" wrapText="1"/>
      <protection/>
    </xf>
    <xf numFmtId="0" fontId="11" fillId="5" borderId="13" xfId="72" applyFont="1" applyFill="1" applyBorder="1" applyAlignment="1">
      <alignment horizontal="center" vertical="center" wrapText="1"/>
      <protection/>
    </xf>
    <xf numFmtId="0" fontId="11" fillId="0" borderId="37" xfId="72" applyFont="1" applyBorder="1" applyAlignment="1">
      <alignment horizontal="left" vertical="center" wrapText="1"/>
      <protection/>
    </xf>
    <xf numFmtId="0" fontId="11" fillId="0" borderId="22" xfId="72" applyFont="1" applyBorder="1" applyAlignment="1">
      <alignment horizontal="center" vertical="center" wrapText="1"/>
      <protection/>
    </xf>
    <xf numFmtId="0" fontId="11" fillId="0" borderId="16" xfId="72" applyFont="1" applyBorder="1" applyAlignment="1">
      <alignment horizontal="left" vertical="center" wrapText="1"/>
      <protection/>
    </xf>
    <xf numFmtId="0" fontId="11" fillId="11" borderId="38" xfId="72" applyFont="1" applyFill="1" applyBorder="1" applyAlignment="1">
      <alignment horizontal="left" vertical="center" wrapText="1"/>
      <protection/>
    </xf>
    <xf numFmtId="9" fontId="11" fillId="0" borderId="39" xfId="72" applyNumberFormat="1" applyFont="1" applyBorder="1" applyAlignment="1">
      <alignment horizontal="center" vertical="center" wrapText="1"/>
      <protection/>
    </xf>
    <xf numFmtId="9" fontId="11" fillId="0" borderId="0" xfId="72" applyNumberFormat="1" applyFont="1" applyAlignment="1">
      <alignment vertical="center" wrapText="1"/>
      <protection/>
    </xf>
    <xf numFmtId="0" fontId="11" fillId="11" borderId="13" xfId="72" applyFont="1" applyFill="1" applyBorder="1" applyAlignment="1">
      <alignment horizontal="left" vertical="center" wrapText="1"/>
      <protection/>
    </xf>
    <xf numFmtId="9" fontId="11" fillId="0" borderId="14" xfId="72" applyNumberFormat="1" applyFont="1" applyBorder="1" applyAlignment="1">
      <alignment horizontal="center" vertical="center" wrapText="1"/>
      <protection/>
    </xf>
    <xf numFmtId="0" fontId="11" fillId="0" borderId="13" xfId="72" applyFont="1" applyBorder="1" applyAlignment="1">
      <alignment horizontal="left" vertical="center" wrapText="1"/>
      <protection/>
    </xf>
    <xf numFmtId="9" fontId="11" fillId="0" borderId="40" xfId="72" applyNumberFormat="1" applyFont="1" applyBorder="1" applyAlignment="1">
      <alignment horizontal="center" vertical="center" wrapText="1"/>
      <protection/>
    </xf>
    <xf numFmtId="0" fontId="91" fillId="11" borderId="13" xfId="0" applyFont="1" applyFill="1" applyBorder="1" applyAlignment="1">
      <alignment horizontal="center" vertical="center" wrapText="1"/>
    </xf>
    <xf numFmtId="9" fontId="89" fillId="0" borderId="13" xfId="79" applyFont="1" applyBorder="1" applyAlignment="1">
      <alignment horizontal="center" vertical="center" wrapText="1"/>
    </xf>
    <xf numFmtId="0" fontId="96" fillId="0" borderId="13" xfId="0" applyFont="1" applyBorder="1" applyAlignment="1">
      <alignment horizontal="center" vertical="center" wrapText="1"/>
    </xf>
    <xf numFmtId="9" fontId="91" fillId="11" borderId="41" xfId="79" applyFont="1" applyFill="1" applyBorder="1" applyAlignment="1">
      <alignment horizontal="center" vertical="center"/>
    </xf>
    <xf numFmtId="9" fontId="91" fillId="11" borderId="42" xfId="79" applyFont="1" applyFill="1" applyBorder="1" applyAlignment="1">
      <alignment horizontal="center" vertical="center"/>
    </xf>
    <xf numFmtId="9" fontId="91" fillId="11" borderId="0" xfId="79" applyFont="1" applyFill="1" applyBorder="1" applyAlignment="1">
      <alignment horizontal="center" vertical="center"/>
    </xf>
    <xf numFmtId="0" fontId="91" fillId="11" borderId="0" xfId="0" applyFont="1" applyFill="1" applyAlignment="1">
      <alignment horizontal="center" vertical="center"/>
    </xf>
    <xf numFmtId="9" fontId="91" fillId="11" borderId="43" xfId="79" applyFont="1" applyFill="1" applyBorder="1" applyAlignment="1">
      <alignment horizontal="center" vertical="center"/>
    </xf>
    <xf numFmtId="9" fontId="91" fillId="11" borderId="15" xfId="79" applyFont="1" applyFill="1" applyBorder="1" applyAlignment="1">
      <alignment horizontal="center" vertical="center"/>
    </xf>
    <xf numFmtId="9" fontId="91" fillId="11" borderId="44" xfId="79" applyFont="1" applyFill="1" applyBorder="1" applyAlignment="1">
      <alignment horizontal="center" vertical="center"/>
    </xf>
    <xf numFmtId="9" fontId="11" fillId="11" borderId="22" xfId="79" applyFont="1" applyFill="1" applyBorder="1" applyAlignment="1">
      <alignment horizontal="center" vertical="center" wrapText="1"/>
    </xf>
    <xf numFmtId="0" fontId="89" fillId="0" borderId="13" xfId="59" applyNumberFormat="1" applyFont="1" applyBorder="1" applyAlignment="1">
      <alignment horizontal="center" vertical="center" wrapText="1"/>
    </xf>
    <xf numFmtId="9" fontId="89" fillId="0" borderId="13" xfId="79" applyFont="1" applyBorder="1" applyAlignment="1">
      <alignment horizontal="center" vertical="center"/>
    </xf>
    <xf numFmtId="9" fontId="89" fillId="0" borderId="0" xfId="79" applyFont="1" applyAlignment="1">
      <alignment horizontal="center" vertical="center"/>
    </xf>
    <xf numFmtId="175" fontId="89" fillId="0" borderId="13" xfId="59" applyFont="1" applyBorder="1" applyAlignment="1">
      <alignment horizontal="left" vertical="center" wrapText="1"/>
    </xf>
    <xf numFmtId="9" fontId="89" fillId="0" borderId="13" xfId="0" applyNumberFormat="1" applyFont="1" applyBorder="1" applyAlignment="1">
      <alignment vertical="center"/>
    </xf>
    <xf numFmtId="0" fontId="89" fillId="0" borderId="13" xfId="0" applyFont="1" applyBorder="1" applyAlignment="1">
      <alignment vertical="center" wrapText="1"/>
    </xf>
    <xf numFmtId="0" fontId="89" fillId="0" borderId="13" xfId="0" applyFont="1" applyBorder="1" applyAlignment="1">
      <alignment vertical="top" wrapText="1"/>
    </xf>
    <xf numFmtId="0" fontId="89" fillId="0" borderId="13" xfId="0" applyFont="1" applyBorder="1" applyAlignment="1">
      <alignment horizontal="left" vertical="top" wrapText="1"/>
    </xf>
    <xf numFmtId="0" fontId="11" fillId="38" borderId="55" xfId="72" applyFont="1" applyFill="1" applyBorder="1" applyAlignment="1">
      <alignment vertical="center" wrapText="1"/>
      <protection/>
    </xf>
    <xf numFmtId="0" fontId="11" fillId="38" borderId="56" xfId="72" applyFont="1" applyFill="1" applyBorder="1" applyAlignment="1">
      <alignment vertical="center" wrapText="1"/>
      <protection/>
    </xf>
    <xf numFmtId="0" fontId="89" fillId="0" borderId="13" xfId="0" applyFont="1" applyBorder="1" applyAlignment="1">
      <alignment horizontal="justify" vertical="center" wrapText="1"/>
    </xf>
    <xf numFmtId="41" fontId="89" fillId="0" borderId="13" xfId="60" applyFont="1" applyFill="1" applyBorder="1" applyAlignment="1">
      <alignment horizontal="center" vertical="center" wrapText="1"/>
    </xf>
    <xf numFmtId="175" fontId="10" fillId="38" borderId="13" xfId="59" applyFont="1" applyFill="1" applyBorder="1" applyAlignment="1">
      <alignment vertical="center"/>
    </xf>
    <xf numFmtId="0" fontId="10" fillId="38" borderId="13" xfId="0" applyFont="1" applyFill="1" applyBorder="1" applyAlignment="1">
      <alignment vertical="center"/>
    </xf>
    <xf numFmtId="0" fontId="90" fillId="0" borderId="13" xfId="0" applyFont="1" applyBorder="1" applyAlignment="1">
      <alignment horizontal="center" vertical="center"/>
    </xf>
    <xf numFmtId="0" fontId="10" fillId="0" borderId="13" xfId="0" applyFont="1" applyBorder="1" applyAlignment="1">
      <alignment horizontal="justify" vertical="center" wrapText="1"/>
    </xf>
    <xf numFmtId="0" fontId="10" fillId="0" borderId="13" xfId="0" applyFont="1" applyBorder="1" applyAlignment="1">
      <alignment vertical="center"/>
    </xf>
    <xf numFmtId="41" fontId="10" fillId="0" borderId="13" xfId="60" applyFont="1" applyFill="1" applyBorder="1" applyAlignment="1">
      <alignment horizontal="center" vertical="center" wrapText="1"/>
    </xf>
    <xf numFmtId="0" fontId="10" fillId="0" borderId="13" xfId="0" applyFont="1" applyBorder="1" applyAlignment="1">
      <alignment vertical="center" wrapText="1"/>
    </xf>
    <xf numFmtId="175" fontId="10" fillId="0" borderId="13" xfId="59" applyFont="1" applyBorder="1" applyAlignment="1">
      <alignment horizontal="center" vertical="center" wrapText="1"/>
    </xf>
    <xf numFmtId="0" fontId="90" fillId="0" borderId="13" xfId="0" applyFont="1" applyBorder="1" applyAlignment="1">
      <alignment vertical="center"/>
    </xf>
    <xf numFmtId="0" fontId="90" fillId="0" borderId="0" xfId="0" applyFont="1" applyAlignment="1">
      <alignment vertical="center"/>
    </xf>
    <xf numFmtId="0" fontId="10" fillId="0" borderId="13" xfId="0" applyFont="1" applyBorder="1" applyAlignment="1">
      <alignment horizontal="center" vertical="center"/>
    </xf>
    <xf numFmtId="0" fontId="10" fillId="0" borderId="0" xfId="0" applyFont="1" applyAlignment="1">
      <alignment vertical="center"/>
    </xf>
    <xf numFmtId="9" fontId="89" fillId="38" borderId="13" xfId="0" applyNumberFormat="1" applyFont="1" applyFill="1" applyBorder="1" applyAlignment="1">
      <alignment vertical="center"/>
    </xf>
    <xf numFmtId="0" fontId="89" fillId="38" borderId="13" xfId="0" applyFont="1" applyFill="1" applyBorder="1" applyAlignment="1">
      <alignment vertical="center"/>
    </xf>
    <xf numFmtId="9" fontId="10" fillId="38" borderId="13" xfId="80" applyFont="1" applyFill="1" applyBorder="1" applyAlignment="1" applyProtection="1">
      <alignment horizontal="center" vertical="center" wrapText="1"/>
      <protection locked="0"/>
    </xf>
    <xf numFmtId="0" fontId="10" fillId="0" borderId="37" xfId="72" applyFont="1" applyBorder="1" applyAlignment="1">
      <alignment horizontal="center" vertical="center" wrapText="1"/>
      <protection/>
    </xf>
    <xf numFmtId="9" fontId="10" fillId="0" borderId="22" xfId="79" applyFont="1" applyFill="1" applyBorder="1" applyAlignment="1" applyProtection="1">
      <alignment horizontal="center" vertical="center" wrapText="1"/>
      <protection/>
    </xf>
    <xf numFmtId="9" fontId="93" fillId="0" borderId="13" xfId="76" applyNumberFormat="1" applyFont="1" applyBorder="1" applyAlignment="1">
      <alignment horizontal="center" vertical="center"/>
      <protection/>
    </xf>
    <xf numFmtId="9" fontId="11" fillId="0" borderId="13" xfId="72" applyNumberFormat="1" applyFont="1" applyBorder="1" applyAlignment="1">
      <alignment horizontal="center" vertical="center" wrapText="1"/>
      <protection/>
    </xf>
    <xf numFmtId="0" fontId="11" fillId="11" borderId="57" xfId="72" applyFont="1" applyFill="1" applyBorder="1" applyAlignment="1">
      <alignment horizontal="left" vertical="center" wrapText="1"/>
      <protection/>
    </xf>
    <xf numFmtId="9" fontId="10" fillId="11" borderId="57" xfId="79" applyFont="1" applyFill="1" applyBorder="1" applyAlignment="1" applyProtection="1">
      <alignment horizontal="center" vertical="center" wrapText="1"/>
      <protection locked="0"/>
    </xf>
    <xf numFmtId="9" fontId="10" fillId="11" borderId="58" xfId="79" applyFont="1" applyFill="1" applyBorder="1" applyAlignment="1" applyProtection="1">
      <alignment horizontal="center" vertical="center" wrapText="1"/>
      <protection locked="0"/>
    </xf>
    <xf numFmtId="9" fontId="11" fillId="0" borderId="58" xfId="72" applyNumberFormat="1" applyFont="1" applyBorder="1" applyAlignment="1">
      <alignment horizontal="center" vertical="center" wrapText="1"/>
      <protection/>
    </xf>
    <xf numFmtId="189" fontId="0" fillId="0" borderId="0" xfId="58" applyNumberFormat="1" applyFont="1" applyAlignment="1">
      <alignment vertical="center"/>
    </xf>
    <xf numFmtId="189" fontId="0" fillId="0" borderId="0" xfId="58" applyNumberFormat="1" applyFont="1" applyFill="1" applyBorder="1" applyAlignment="1">
      <alignment vertical="center"/>
    </xf>
    <xf numFmtId="189" fontId="15" fillId="39" borderId="0" xfId="58" applyNumberFormat="1" applyFont="1" applyFill="1" applyBorder="1" applyAlignment="1" applyProtection="1">
      <alignment vertical="center" wrapText="1"/>
      <protection/>
    </xf>
    <xf numFmtId="189" fontId="0" fillId="0" borderId="0" xfId="58" applyNumberFormat="1" applyFont="1" applyBorder="1" applyAlignment="1">
      <alignment vertical="center"/>
    </xf>
    <xf numFmtId="189" fontId="0" fillId="0" borderId="16" xfId="58" applyNumberFormat="1" applyFont="1" applyFill="1" applyBorder="1" applyAlignment="1">
      <alignment vertical="center"/>
    </xf>
    <xf numFmtId="189" fontId="0" fillId="0" borderId="0" xfId="58" applyNumberFormat="1" applyFont="1" applyFill="1" applyAlignment="1">
      <alignment vertical="center"/>
    </xf>
    <xf numFmtId="189" fontId="0" fillId="0" borderId="13" xfId="58" applyNumberFormat="1" applyFont="1" applyFill="1" applyBorder="1" applyAlignment="1">
      <alignment vertical="center"/>
    </xf>
    <xf numFmtId="189" fontId="0" fillId="0" borderId="38" xfId="58" applyNumberFormat="1" applyFont="1" applyFill="1" applyBorder="1" applyAlignment="1">
      <alignment vertical="center"/>
    </xf>
    <xf numFmtId="0" fontId="0" fillId="0" borderId="28" xfId="0" applyBorder="1" applyAlignment="1">
      <alignment vertical="center"/>
    </xf>
    <xf numFmtId="9" fontId="89" fillId="11" borderId="38" xfId="81" applyFont="1" applyFill="1" applyBorder="1" applyAlignment="1" applyProtection="1">
      <alignment horizontal="center" vertical="center" wrapText="1"/>
      <protection/>
    </xf>
    <xf numFmtId="9" fontId="88" fillId="0" borderId="28" xfId="79" applyFont="1" applyBorder="1" applyAlignment="1">
      <alignment horizontal="center" vertical="center"/>
    </xf>
    <xf numFmtId="189" fontId="88" fillId="0" borderId="0" xfId="58" applyNumberFormat="1" applyFont="1" applyAlignment="1">
      <alignment vertical="center"/>
    </xf>
    <xf numFmtId="0" fontId="11" fillId="38" borderId="59" xfId="72" applyFont="1" applyFill="1" applyBorder="1" applyAlignment="1">
      <alignment vertical="center" wrapText="1"/>
      <protection/>
    </xf>
    <xf numFmtId="0" fontId="11" fillId="38" borderId="60" xfId="72" applyFont="1" applyFill="1" applyBorder="1" applyAlignment="1">
      <alignment vertical="center" wrapText="1"/>
      <protection/>
    </xf>
    <xf numFmtId="199" fontId="11" fillId="0" borderId="60" xfId="72" applyNumberFormat="1" applyFont="1" applyBorder="1" applyAlignment="1">
      <alignment horizontal="center" vertical="center" wrapText="1"/>
      <protection/>
    </xf>
    <xf numFmtId="199" fontId="11" fillId="0" borderId="61" xfId="72" applyNumberFormat="1" applyFont="1" applyBorder="1" applyAlignment="1">
      <alignment vertical="center" wrapText="1"/>
      <protection/>
    </xf>
    <xf numFmtId="199" fontId="11" fillId="0" borderId="62" xfId="72" applyNumberFormat="1" applyFont="1" applyBorder="1" applyAlignment="1">
      <alignment vertical="center" wrapText="1"/>
      <protection/>
    </xf>
    <xf numFmtId="0" fontId="39" fillId="0" borderId="0" xfId="0" applyFont="1" applyAlignment="1">
      <alignment/>
    </xf>
    <xf numFmtId="189" fontId="39" fillId="0" borderId="0" xfId="58" applyNumberFormat="1" applyFont="1" applyAlignment="1">
      <alignment/>
    </xf>
    <xf numFmtId="9" fontId="10" fillId="38" borderId="16" xfId="80" applyFont="1" applyFill="1" applyBorder="1" applyAlignment="1" applyProtection="1">
      <alignment horizontal="center" vertical="center" wrapText="1"/>
      <protection locked="0"/>
    </xf>
    <xf numFmtId="9" fontId="4" fillId="0" borderId="13" xfId="0" applyNumberFormat="1" applyFont="1" applyBorder="1" applyAlignment="1">
      <alignment vertical="center" wrapText="1"/>
    </xf>
    <xf numFmtId="199" fontId="4" fillId="0" borderId="13" xfId="59" applyNumberFormat="1" applyFont="1" applyFill="1" applyBorder="1" applyAlignment="1">
      <alignment vertical="center" wrapText="1"/>
    </xf>
    <xf numFmtId="199" fontId="4" fillId="0" borderId="13" xfId="0" applyNumberFormat="1" applyFont="1" applyBorder="1" applyAlignment="1">
      <alignment vertical="center" wrapText="1"/>
    </xf>
    <xf numFmtId="175" fontId="4" fillId="0" borderId="13" xfId="59" applyFont="1" applyFill="1" applyBorder="1" applyAlignment="1">
      <alignment vertical="center" wrapText="1"/>
    </xf>
    <xf numFmtId="0" fontId="93" fillId="0" borderId="13" xfId="0" applyFont="1" applyBorder="1" applyAlignment="1">
      <alignment horizontal="left" vertical="center" wrapText="1"/>
    </xf>
    <xf numFmtId="0" fontId="93" fillId="0" borderId="13" xfId="0" applyFont="1" applyBorder="1" applyAlignment="1">
      <alignment horizontal="center" vertical="center" wrapText="1"/>
    </xf>
    <xf numFmtId="0" fontId="10" fillId="0" borderId="22" xfId="72" applyFont="1" applyBorder="1" applyAlignment="1">
      <alignment horizontal="left" vertical="center" wrapText="1"/>
      <protection/>
    </xf>
    <xf numFmtId="0" fontId="89" fillId="0" borderId="0" xfId="0" applyFont="1" applyAlignment="1">
      <alignment vertical="center" wrapText="1"/>
    </xf>
    <xf numFmtId="9" fontId="10" fillId="0" borderId="22" xfId="72" applyNumberFormat="1" applyFont="1" applyBorder="1" applyAlignment="1">
      <alignment horizontal="center" vertical="center" wrapText="1"/>
      <protection/>
    </xf>
    <xf numFmtId="0" fontId="89" fillId="0" borderId="0" xfId="0" applyFont="1" applyAlignment="1">
      <alignment horizontal="justify" vertical="center" wrapText="1"/>
    </xf>
    <xf numFmtId="41" fontId="89" fillId="0" borderId="13" xfId="60" applyFont="1" applyFill="1" applyBorder="1" applyAlignment="1">
      <alignment horizontal="center" vertical="center"/>
    </xf>
    <xf numFmtId="41" fontId="89" fillId="38" borderId="13" xfId="60" applyFont="1" applyFill="1" applyBorder="1" applyAlignment="1">
      <alignment horizontal="center" vertical="center"/>
    </xf>
    <xf numFmtId="41" fontId="89" fillId="38" borderId="13" xfId="60" applyFont="1" applyFill="1" applyBorder="1" applyAlignment="1">
      <alignment horizontal="center" vertical="center" wrapText="1"/>
    </xf>
    <xf numFmtId="41" fontId="89" fillId="38" borderId="16" xfId="60" applyFont="1" applyFill="1" applyBorder="1" applyAlignment="1">
      <alignment horizontal="center" vertical="center" wrapText="1"/>
    </xf>
    <xf numFmtId="0" fontId="89" fillId="38" borderId="13" xfId="0" applyFont="1" applyFill="1" applyBorder="1" applyAlignment="1">
      <alignment horizontal="center" vertical="center"/>
    </xf>
    <xf numFmtId="198" fontId="89" fillId="38" borderId="13" xfId="59" applyNumberFormat="1" applyFont="1" applyFill="1" applyBorder="1" applyAlignment="1">
      <alignment vertical="center"/>
    </xf>
    <xf numFmtId="175" fontId="89" fillId="38" borderId="13" xfId="59" applyFont="1" applyFill="1" applyBorder="1" applyAlignment="1">
      <alignment vertical="center"/>
    </xf>
    <xf numFmtId="9" fontId="89" fillId="38" borderId="13" xfId="79" applyFont="1" applyFill="1" applyBorder="1" applyAlignment="1">
      <alignment vertical="center"/>
    </xf>
    <xf numFmtId="175" fontId="10" fillId="38" borderId="13" xfId="80" applyNumberFormat="1" applyFont="1" applyFill="1" applyBorder="1" applyAlignment="1" applyProtection="1">
      <alignment horizontal="center" vertical="center" wrapText="1"/>
      <protection locked="0"/>
    </xf>
    <xf numFmtId="175" fontId="10" fillId="38" borderId="13" xfId="59" applyFont="1" applyFill="1" applyBorder="1" applyAlignment="1" applyProtection="1">
      <alignment horizontal="center" vertical="center" wrapText="1"/>
      <protection locked="0"/>
    </xf>
    <xf numFmtId="10" fontId="89" fillId="0" borderId="13" xfId="0" applyNumberFormat="1" applyFont="1" applyFill="1" applyBorder="1" applyAlignment="1">
      <alignment vertical="center"/>
    </xf>
    <xf numFmtId="9" fontId="89" fillId="0" borderId="13" xfId="79" applyFont="1" applyFill="1" applyBorder="1" applyAlignment="1">
      <alignment vertical="center"/>
    </xf>
    <xf numFmtId="9" fontId="89" fillId="0" borderId="13" xfId="0" applyNumberFormat="1" applyFont="1" applyFill="1" applyBorder="1" applyAlignment="1">
      <alignment vertical="center"/>
    </xf>
    <xf numFmtId="0" fontId="89" fillId="0" borderId="13" xfId="0" applyFont="1" applyFill="1" applyBorder="1" applyAlignment="1">
      <alignment vertical="center"/>
    </xf>
    <xf numFmtId="9" fontId="10" fillId="0" borderId="13" xfId="79" applyFont="1" applyFill="1" applyBorder="1" applyAlignment="1">
      <alignment vertical="center"/>
    </xf>
    <xf numFmtId="0" fontId="89" fillId="0" borderId="22" xfId="0" applyFont="1" applyBorder="1" applyAlignment="1">
      <alignment vertical="center"/>
    </xf>
    <xf numFmtId="0" fontId="97" fillId="0" borderId="13" xfId="0" applyFont="1" applyBorder="1" applyAlignment="1">
      <alignment horizontal="center" vertical="center" wrapText="1"/>
    </xf>
    <xf numFmtId="9" fontId="97" fillId="0" borderId="13" xfId="79" applyFont="1" applyFill="1" applyBorder="1" applyAlignment="1">
      <alignment horizontal="center" vertical="center" wrapText="1"/>
    </xf>
    <xf numFmtId="175" fontId="97" fillId="0" borderId="13" xfId="59" applyFont="1" applyFill="1" applyBorder="1" applyAlignment="1">
      <alignment horizontal="center" vertical="center" wrapText="1"/>
    </xf>
    <xf numFmtId="189" fontId="0" fillId="0" borderId="0" xfId="58" applyNumberFormat="1" applyFont="1" applyAlignment="1">
      <alignment/>
    </xf>
    <xf numFmtId="14" fontId="0" fillId="0" borderId="0" xfId="58" applyNumberFormat="1" applyFont="1" applyAlignment="1">
      <alignment/>
    </xf>
    <xf numFmtId="9" fontId="0" fillId="0" borderId="0" xfId="79" applyFont="1" applyAlignment="1">
      <alignment/>
    </xf>
    <xf numFmtId="0" fontId="10" fillId="0" borderId="22" xfId="72" applyFont="1" applyBorder="1" applyAlignment="1">
      <alignment horizontal="center" vertical="center" wrapText="1"/>
      <protection/>
    </xf>
    <xf numFmtId="175" fontId="10" fillId="0" borderId="22" xfId="59" applyFont="1" applyFill="1" applyBorder="1" applyAlignment="1" applyProtection="1">
      <alignment horizontal="center" vertical="center" wrapText="1"/>
      <protection/>
    </xf>
    <xf numFmtId="9" fontId="10" fillId="0" borderId="13" xfId="0" applyNumberFormat="1" applyFont="1" applyFill="1" applyBorder="1" applyAlignment="1">
      <alignment vertical="center"/>
    </xf>
    <xf numFmtId="0" fontId="91" fillId="11" borderId="13" xfId="0" applyFont="1" applyFill="1" applyBorder="1" applyAlignment="1">
      <alignment horizontal="center" vertical="center" wrapText="1"/>
    </xf>
    <xf numFmtId="0" fontId="19" fillId="0" borderId="37" xfId="72" applyFont="1" applyFill="1" applyBorder="1" applyAlignment="1">
      <alignment horizontal="center" vertical="center" wrapText="1"/>
      <protection/>
    </xf>
    <xf numFmtId="9" fontId="11" fillId="0" borderId="22" xfId="79" applyFont="1" applyBorder="1" applyAlignment="1">
      <alignment horizontal="center" vertical="center" wrapText="1"/>
    </xf>
    <xf numFmtId="0" fontId="89" fillId="0" borderId="13" xfId="0" applyFont="1" applyFill="1" applyBorder="1" applyAlignment="1">
      <alignment horizontal="center" vertical="center" wrapText="1"/>
    </xf>
    <xf numFmtId="0" fontId="90" fillId="0" borderId="13" xfId="0" applyFont="1" applyFill="1" applyBorder="1" applyAlignment="1">
      <alignment horizontal="center" vertical="center"/>
    </xf>
    <xf numFmtId="0" fontId="10" fillId="0" borderId="13" xfId="0" applyFont="1" applyFill="1" applyBorder="1" applyAlignment="1">
      <alignment horizontal="center" vertical="center"/>
    </xf>
    <xf numFmtId="41" fontId="10" fillId="38" borderId="13" xfId="60" applyFont="1" applyFill="1" applyBorder="1" applyAlignment="1">
      <alignment horizontal="center" vertical="center"/>
    </xf>
    <xf numFmtId="9" fontId="10" fillId="38" borderId="13" xfId="79" applyFont="1" applyFill="1" applyBorder="1" applyAlignment="1">
      <alignment horizontal="center" vertical="center"/>
    </xf>
    <xf numFmtId="0" fontId="10" fillId="38" borderId="13" xfId="0" applyFont="1" applyFill="1" applyBorder="1" applyAlignment="1">
      <alignment horizontal="center" vertical="center"/>
    </xf>
    <xf numFmtId="0" fontId="97" fillId="0" borderId="13" xfId="0" applyFont="1" applyBorder="1" applyAlignment="1">
      <alignment horizontal="justify" vertical="center" wrapText="1"/>
    </xf>
    <xf numFmtId="175" fontId="97" fillId="0" borderId="13" xfId="59" applyFont="1" applyFill="1" applyBorder="1" applyAlignment="1">
      <alignment horizontal="justify" vertical="center" wrapText="1"/>
    </xf>
    <xf numFmtId="189" fontId="0" fillId="0" borderId="20" xfId="58" applyNumberFormat="1" applyFont="1" applyFill="1" applyBorder="1" applyAlignment="1">
      <alignment vertical="center"/>
    </xf>
    <xf numFmtId="189" fontId="11" fillId="38" borderId="0" xfId="72" applyNumberFormat="1" applyFont="1" applyFill="1" applyAlignment="1">
      <alignment horizontal="left" vertical="center" wrapText="1"/>
      <protection/>
    </xf>
    <xf numFmtId="189" fontId="11" fillId="38" borderId="0" xfId="58" applyNumberFormat="1" applyFont="1" applyFill="1" applyAlignment="1">
      <alignment horizontal="left" vertical="center" wrapText="1"/>
    </xf>
    <xf numFmtId="10" fontId="10" fillId="38" borderId="13" xfId="80" applyNumberFormat="1" applyFont="1" applyFill="1" applyBorder="1" applyAlignment="1" applyProtection="1">
      <alignment horizontal="center" vertical="center" wrapText="1"/>
      <protection locked="0"/>
    </xf>
    <xf numFmtId="0" fontId="11" fillId="11" borderId="22" xfId="0" applyFont="1" applyFill="1" applyBorder="1" applyAlignment="1">
      <alignment horizontal="center" vertical="center" wrapText="1"/>
    </xf>
    <xf numFmtId="0" fontId="91" fillId="11" borderId="13" xfId="0" applyFont="1" applyFill="1" applyBorder="1" applyAlignment="1">
      <alignment horizontal="center" vertical="center" wrapText="1"/>
    </xf>
    <xf numFmtId="10" fontId="10" fillId="11" borderId="13" xfId="79" applyNumberFormat="1" applyFont="1" applyFill="1" applyBorder="1" applyAlignment="1" applyProtection="1">
      <alignment horizontal="center" vertical="center" wrapText="1"/>
      <protection locked="0"/>
    </xf>
    <xf numFmtId="10" fontId="89" fillId="0" borderId="13" xfId="79" applyNumberFormat="1" applyFont="1" applyBorder="1" applyAlignment="1">
      <alignment vertical="center"/>
    </xf>
    <xf numFmtId="0" fontId="10" fillId="0" borderId="13" xfId="79" applyNumberFormat="1" applyFont="1" applyBorder="1" applyAlignment="1">
      <alignment horizontal="center" vertical="center"/>
    </xf>
    <xf numFmtId="9" fontId="10" fillId="11" borderId="38" xfId="81" applyFont="1" applyFill="1" applyBorder="1" applyAlignment="1" applyProtection="1">
      <alignment horizontal="center" vertical="center" wrapText="1"/>
      <protection/>
    </xf>
    <xf numFmtId="0" fontId="11" fillId="11" borderId="22" xfId="0" applyFont="1" applyFill="1" applyBorder="1" applyAlignment="1">
      <alignment horizontal="center" vertical="center" wrapText="1"/>
    </xf>
    <xf numFmtId="0" fontId="91" fillId="11" borderId="13" xfId="0" applyFont="1" applyFill="1" applyBorder="1" applyAlignment="1">
      <alignment horizontal="center" vertical="center" wrapText="1"/>
    </xf>
    <xf numFmtId="0" fontId="90" fillId="0" borderId="13" xfId="0" applyFont="1" applyFill="1" applyBorder="1" applyAlignment="1">
      <alignment vertical="center"/>
    </xf>
    <xf numFmtId="0" fontId="10" fillId="0" borderId="13" xfId="0" applyFont="1" applyFill="1" applyBorder="1" applyAlignment="1">
      <alignment vertical="center"/>
    </xf>
    <xf numFmtId="175" fontId="4" fillId="0" borderId="13" xfId="59" applyFont="1" applyFill="1" applyBorder="1" applyAlignment="1">
      <alignment horizontal="center" vertical="center" wrapText="1"/>
    </xf>
    <xf numFmtId="199" fontId="4" fillId="0" borderId="13" xfId="59" applyNumberFormat="1" applyFont="1" applyFill="1" applyBorder="1" applyAlignment="1">
      <alignment horizontal="center" vertical="center" wrapText="1"/>
    </xf>
    <xf numFmtId="189" fontId="0" fillId="0" borderId="13" xfId="58" applyNumberFormat="1" applyFont="1" applyBorder="1" applyAlignment="1">
      <alignment/>
    </xf>
    <xf numFmtId="189" fontId="88" fillId="0" borderId="13" xfId="58" applyNumberFormat="1" applyFont="1" applyBorder="1" applyAlignment="1">
      <alignment/>
    </xf>
    <xf numFmtId="189" fontId="88" fillId="0" borderId="13" xfId="58" applyNumberFormat="1" applyFont="1" applyBorder="1" applyAlignment="1">
      <alignment horizontal="center"/>
    </xf>
    <xf numFmtId="189" fontId="0" fillId="0" borderId="0" xfId="58" applyNumberFormat="1" applyFont="1" applyAlignment="1">
      <alignment/>
    </xf>
    <xf numFmtId="189" fontId="0" fillId="0" borderId="0" xfId="0" applyNumberFormat="1" applyAlignment="1">
      <alignment/>
    </xf>
    <xf numFmtId="0" fontId="11" fillId="5" borderId="13" xfId="72" applyFont="1" applyFill="1" applyBorder="1" applyAlignment="1">
      <alignment horizontal="center" vertical="center" wrapText="1"/>
      <protection/>
    </xf>
    <xf numFmtId="9" fontId="11" fillId="0" borderId="38" xfId="72" applyNumberFormat="1" applyFont="1" applyBorder="1" applyAlignment="1">
      <alignment horizontal="center" vertical="center" wrapText="1"/>
      <protection/>
    </xf>
    <xf numFmtId="189" fontId="0" fillId="3" borderId="0" xfId="58" applyNumberFormat="1" applyFont="1" applyFill="1" applyAlignment="1">
      <alignment/>
    </xf>
    <xf numFmtId="189" fontId="0" fillId="42" borderId="0" xfId="58" applyNumberFormat="1" applyFont="1" applyFill="1" applyAlignment="1">
      <alignment/>
    </xf>
    <xf numFmtId="10" fontId="0" fillId="0" borderId="0" xfId="79" applyNumberFormat="1" applyFont="1" applyAlignment="1">
      <alignment/>
    </xf>
    <xf numFmtId="0" fontId="88" fillId="0" borderId="0" xfId="0" applyFont="1" applyAlignment="1">
      <alignment/>
    </xf>
    <xf numFmtId="9" fontId="88" fillId="0" borderId="0" xfId="79" applyFont="1" applyAlignment="1">
      <alignment/>
    </xf>
    <xf numFmtId="199" fontId="88" fillId="0" borderId="0" xfId="59" applyNumberFormat="1" applyFont="1" applyAlignment="1">
      <alignment/>
    </xf>
    <xf numFmtId="0" fontId="88" fillId="0" borderId="0" xfId="0" applyFont="1" applyAlignment="1">
      <alignment horizontal="center"/>
    </xf>
    <xf numFmtId="199" fontId="0" fillId="0" borderId="0" xfId="0" applyNumberFormat="1" applyAlignment="1">
      <alignment/>
    </xf>
    <xf numFmtId="43" fontId="0" fillId="0" borderId="0" xfId="0" applyNumberFormat="1" applyAlignment="1">
      <alignment/>
    </xf>
    <xf numFmtId="9" fontId="88" fillId="29" borderId="0" xfId="79" applyFont="1" applyFill="1" applyAlignment="1">
      <alignment/>
    </xf>
    <xf numFmtId="199" fontId="88" fillId="43" borderId="0" xfId="59" applyNumberFormat="1" applyFont="1" applyFill="1" applyAlignment="1">
      <alignment/>
    </xf>
    <xf numFmtId="10" fontId="0" fillId="0" borderId="0" xfId="79" applyNumberFormat="1" applyFont="1" applyAlignment="1">
      <alignment/>
    </xf>
    <xf numFmtId="0" fontId="98" fillId="0" borderId="0" xfId="0" applyFont="1" applyAlignment="1">
      <alignment/>
    </xf>
    <xf numFmtId="2" fontId="89" fillId="0" borderId="13" xfId="0" applyNumberFormat="1" applyFont="1" applyBorder="1" applyAlignment="1">
      <alignment vertical="center"/>
    </xf>
    <xf numFmtId="10" fontId="0" fillId="0" borderId="0" xfId="79" applyNumberFormat="1" applyFont="1" applyAlignment="1">
      <alignment/>
    </xf>
    <xf numFmtId="189" fontId="0" fillId="0" borderId="0" xfId="58" applyNumberFormat="1" applyFont="1" applyAlignment="1">
      <alignment/>
    </xf>
    <xf numFmtId="0" fontId="93" fillId="0" borderId="13" xfId="0" applyFont="1" applyBorder="1" applyAlignment="1">
      <alignment vertical="center" wrapText="1"/>
    </xf>
    <xf numFmtId="9" fontId="10" fillId="0" borderId="13" xfId="79" applyFont="1" applyBorder="1" applyAlignment="1">
      <alignment vertical="center"/>
    </xf>
    <xf numFmtId="9" fontId="10" fillId="0" borderId="13" xfId="79" applyFont="1" applyFill="1" applyBorder="1" applyAlignment="1">
      <alignment horizontal="center" vertical="center" wrapText="1"/>
    </xf>
    <xf numFmtId="0" fontId="22" fillId="11" borderId="13" xfId="0" applyFont="1" applyFill="1" applyBorder="1" applyAlignment="1">
      <alignment horizontal="center" vertical="center" wrapText="1"/>
    </xf>
    <xf numFmtId="9" fontId="0" fillId="0" borderId="40" xfId="79" applyFont="1" applyBorder="1" applyAlignment="1">
      <alignment horizontal="center" vertical="center"/>
    </xf>
    <xf numFmtId="9" fontId="0" fillId="0" borderId="21" xfId="79" applyFont="1" applyBorder="1" applyAlignment="1">
      <alignment horizontal="center" vertical="center"/>
    </xf>
    <xf numFmtId="9" fontId="0" fillId="0" borderId="52" xfId="79" applyFont="1" applyBorder="1" applyAlignment="1">
      <alignment horizontal="center" vertical="center"/>
    </xf>
    <xf numFmtId="0" fontId="89" fillId="0" borderId="13" xfId="0" applyFont="1" applyBorder="1" applyAlignment="1">
      <alignment horizontal="center" vertical="center"/>
    </xf>
    <xf numFmtId="0" fontId="89" fillId="0" borderId="13" xfId="0" applyFont="1" applyBorder="1" applyAlignment="1">
      <alignment horizontal="center" vertical="center"/>
    </xf>
    <xf numFmtId="9" fontId="89" fillId="0" borderId="13" xfId="79" applyFont="1" applyBorder="1" applyAlignment="1">
      <alignment horizontal="center" vertical="center"/>
    </xf>
    <xf numFmtId="10" fontId="89" fillId="0" borderId="13" xfId="0" applyNumberFormat="1" applyFont="1" applyBorder="1" applyAlignment="1">
      <alignment vertical="center"/>
    </xf>
    <xf numFmtId="9" fontId="89" fillId="0" borderId="13" xfId="0" applyNumberFormat="1" applyFont="1" applyFill="1" applyBorder="1" applyAlignment="1">
      <alignment horizontal="center" vertical="center"/>
    </xf>
    <xf numFmtId="189" fontId="0" fillId="43" borderId="0" xfId="58" applyNumberFormat="1" applyFont="1" applyFill="1" applyAlignment="1">
      <alignment/>
    </xf>
    <xf numFmtId="189" fontId="0" fillId="37" borderId="0" xfId="58" applyNumberFormat="1" applyFont="1" applyFill="1" applyAlignment="1">
      <alignment/>
    </xf>
    <xf numFmtId="0" fontId="89" fillId="0" borderId="13" xfId="0" applyFont="1" applyBorder="1" applyAlignment="1">
      <alignment horizontal="center" vertical="center" wrapText="1"/>
    </xf>
    <xf numFmtId="9" fontId="89" fillId="0" borderId="13" xfId="0" applyNumberFormat="1" applyFont="1" applyBorder="1" applyAlignment="1">
      <alignment horizontal="center" vertical="center"/>
    </xf>
    <xf numFmtId="0" fontId="89" fillId="0" borderId="13" xfId="0" applyFont="1" applyBorder="1" applyAlignment="1">
      <alignment horizontal="center" vertical="center"/>
    </xf>
    <xf numFmtId="0" fontId="89" fillId="0" borderId="13" xfId="0" applyFont="1" applyBorder="1" applyAlignment="1">
      <alignment horizontal="center" vertical="center" wrapText="1"/>
    </xf>
    <xf numFmtId="9" fontId="89" fillId="0" borderId="13" xfId="79" applyFont="1" applyBorder="1" applyAlignment="1">
      <alignment horizontal="center" vertical="center" wrapText="1"/>
    </xf>
    <xf numFmtId="0" fontId="11" fillId="11" borderId="22" xfId="0" applyFont="1" applyFill="1" applyBorder="1" applyAlignment="1">
      <alignment horizontal="center" vertical="center" wrapText="1"/>
    </xf>
    <xf numFmtId="9" fontId="90" fillId="0" borderId="13" xfId="0" applyNumberFormat="1" applyFont="1" applyFill="1" applyBorder="1" applyAlignment="1">
      <alignment vertical="center"/>
    </xf>
    <xf numFmtId="9" fontId="89" fillId="0" borderId="13" xfId="79" applyFont="1" applyBorder="1" applyAlignment="1">
      <alignment vertical="center"/>
    </xf>
    <xf numFmtId="0" fontId="89" fillId="0" borderId="13" xfId="0" applyFont="1" applyFill="1" applyBorder="1" applyAlignment="1">
      <alignment horizontal="center" vertical="center"/>
    </xf>
    <xf numFmtId="0" fontId="89" fillId="0" borderId="13" xfId="0" applyFont="1" applyBorder="1" applyAlignment="1">
      <alignment horizontal="left" vertical="center" wrapText="1"/>
    </xf>
    <xf numFmtId="9" fontId="89" fillId="0" borderId="13" xfId="79" applyFont="1" applyFill="1" applyBorder="1" applyAlignment="1">
      <alignment horizontal="center" vertical="center" wrapText="1"/>
    </xf>
    <xf numFmtId="9" fontId="89" fillId="0" borderId="13" xfId="0" applyNumberFormat="1" applyFont="1" applyBorder="1" applyAlignment="1">
      <alignment vertical="center"/>
    </xf>
    <xf numFmtId="9" fontId="89" fillId="0" borderId="13" xfId="79" applyFont="1" applyFill="1" applyBorder="1" applyAlignment="1">
      <alignment vertical="center"/>
    </xf>
    <xf numFmtId="9" fontId="89" fillId="0" borderId="13" xfId="0" applyNumberFormat="1" applyFont="1" applyFill="1" applyBorder="1" applyAlignment="1">
      <alignment vertical="center"/>
    </xf>
    <xf numFmtId="0" fontId="89" fillId="0" borderId="13" xfId="0" applyFont="1" applyFill="1" applyBorder="1" applyAlignment="1">
      <alignment vertical="center"/>
    </xf>
    <xf numFmtId="10" fontId="10" fillId="11" borderId="13" xfId="79" applyNumberFormat="1" applyFont="1" applyFill="1" applyBorder="1" applyAlignment="1" applyProtection="1">
      <alignment horizontal="center" vertical="center" wrapText="1"/>
      <protection locked="0"/>
    </xf>
    <xf numFmtId="0" fontId="89" fillId="0" borderId="13" xfId="79" applyNumberFormat="1" applyFont="1" applyBorder="1" applyAlignment="1">
      <alignment vertical="center" wrapText="1"/>
    </xf>
    <xf numFmtId="9" fontId="89" fillId="0" borderId="13" xfId="79" applyFont="1" applyBorder="1" applyAlignment="1">
      <alignment vertical="center" wrapText="1"/>
    </xf>
    <xf numFmtId="9" fontId="10" fillId="11" borderId="38" xfId="81" applyFont="1" applyFill="1" applyBorder="1" applyAlignment="1" applyProtection="1">
      <alignment horizontal="center" vertical="center" wrapText="1"/>
      <protection/>
    </xf>
    <xf numFmtId="0" fontId="10" fillId="0" borderId="13" xfId="0" applyFont="1" applyBorder="1" applyAlignment="1">
      <alignment horizontal="left" vertical="center" wrapText="1"/>
    </xf>
    <xf numFmtId="0" fontId="93" fillId="38" borderId="13" xfId="79" applyNumberFormat="1" applyFont="1" applyFill="1" applyBorder="1" applyAlignment="1">
      <alignment horizontal="center" vertical="center"/>
    </xf>
    <xf numFmtId="0" fontId="93" fillId="0" borderId="13" xfId="79" applyNumberFormat="1" applyFont="1" applyBorder="1" applyAlignment="1">
      <alignment horizontal="center" vertical="center"/>
    </xf>
    <xf numFmtId="0" fontId="39" fillId="0" borderId="13" xfId="0" applyFont="1" applyBorder="1" applyAlignment="1">
      <alignment vertical="center" wrapText="1"/>
    </xf>
    <xf numFmtId="0" fontId="39" fillId="0" borderId="13" xfId="0" applyFont="1" applyBorder="1" applyAlignment="1">
      <alignment vertical="top" wrapText="1"/>
    </xf>
    <xf numFmtId="0" fontId="39" fillId="38" borderId="13" xfId="0" applyFont="1" applyFill="1" applyBorder="1" applyAlignment="1">
      <alignment vertical="center" wrapText="1"/>
    </xf>
    <xf numFmtId="1" fontId="89" fillId="0" borderId="13" xfId="0" applyNumberFormat="1" applyFont="1" applyBorder="1" applyAlignment="1">
      <alignment vertical="center"/>
    </xf>
    <xf numFmtId="189" fontId="0" fillId="0" borderId="13" xfId="58" applyNumberFormat="1" applyFont="1" applyFill="1" applyBorder="1" applyAlignment="1">
      <alignment vertical="center"/>
    </xf>
    <xf numFmtId="207" fontId="0" fillId="0" borderId="13" xfId="58" applyNumberFormat="1" applyFont="1" applyFill="1" applyBorder="1" applyAlignment="1">
      <alignment vertical="center"/>
    </xf>
    <xf numFmtId="189" fontId="89" fillId="0" borderId="13" xfId="58" applyNumberFormat="1" applyFont="1" applyBorder="1" applyAlignment="1">
      <alignment horizontal="center" vertical="center"/>
    </xf>
    <xf numFmtId="9" fontId="10" fillId="0" borderId="13" xfId="79" applyFont="1" applyFill="1" applyBorder="1" applyAlignment="1">
      <alignment vertical="center" wrapText="1"/>
    </xf>
    <xf numFmtId="0" fontId="11" fillId="5" borderId="13" xfId="72" applyFont="1" applyFill="1" applyBorder="1" applyAlignment="1">
      <alignment horizontal="center" vertical="center" wrapText="1"/>
      <protection/>
    </xf>
    <xf numFmtId="0" fontId="91" fillId="11" borderId="13" xfId="0" applyFont="1" applyFill="1" applyBorder="1" applyAlignment="1">
      <alignment horizontal="center" vertical="center" wrapText="1"/>
    </xf>
    <xf numFmtId="9" fontId="10" fillId="0" borderId="13" xfId="76" applyNumberFormat="1" applyFont="1" applyBorder="1" applyAlignment="1">
      <alignment horizontal="center" vertical="center"/>
      <protection/>
    </xf>
    <xf numFmtId="0" fontId="10" fillId="0" borderId="13" xfId="79" applyNumberFormat="1" applyFont="1" applyBorder="1" applyAlignment="1">
      <alignment vertical="center" wrapText="1"/>
    </xf>
    <xf numFmtId="0" fontId="89" fillId="0" borderId="13" xfId="79" applyNumberFormat="1" applyFont="1" applyFill="1" applyBorder="1" applyAlignment="1">
      <alignment vertical="center" wrapText="1"/>
    </xf>
    <xf numFmtId="9" fontId="4" fillId="0" borderId="13" xfId="0" applyNumberFormat="1" applyFont="1" applyFill="1" applyBorder="1" applyAlignment="1">
      <alignment vertical="center" wrapText="1"/>
    </xf>
    <xf numFmtId="0" fontId="10" fillId="0" borderId="13" xfId="79" applyNumberFormat="1" applyFont="1" applyFill="1" applyBorder="1" applyAlignment="1">
      <alignment horizontal="center" vertical="center" wrapText="1"/>
    </xf>
    <xf numFmtId="0" fontId="10" fillId="0" borderId="13" xfId="79" applyNumberFormat="1" applyFont="1" applyFill="1" applyBorder="1" applyAlignment="1">
      <alignment horizontal="center" vertical="center"/>
    </xf>
    <xf numFmtId="9" fontId="10" fillId="0" borderId="22" xfId="72" applyNumberFormat="1" applyFont="1" applyFill="1" applyBorder="1" applyAlignment="1">
      <alignment horizontal="center" vertical="center" wrapText="1"/>
      <protection/>
    </xf>
    <xf numFmtId="0" fontId="10" fillId="0" borderId="13" xfId="79" applyNumberFormat="1" applyFont="1" applyFill="1" applyBorder="1" applyAlignment="1">
      <alignment vertical="center" wrapText="1"/>
    </xf>
    <xf numFmtId="9" fontId="10" fillId="0" borderId="13" xfId="0" applyNumberFormat="1" applyFont="1" applyBorder="1" applyAlignment="1">
      <alignment vertical="center"/>
    </xf>
    <xf numFmtId="9" fontId="10" fillId="0" borderId="13" xfId="0" applyNumberFormat="1" applyFont="1" applyBorder="1" applyAlignment="1">
      <alignment horizontal="center" vertical="center"/>
    </xf>
    <xf numFmtId="9" fontId="10" fillId="0" borderId="13" xfId="79" applyFont="1" applyBorder="1" applyAlignment="1">
      <alignment horizontal="center" vertical="center"/>
    </xf>
    <xf numFmtId="10" fontId="89" fillId="38" borderId="13" xfId="0" applyNumberFormat="1" applyFont="1" applyFill="1" applyBorder="1" applyAlignment="1">
      <alignment vertical="center"/>
    </xf>
    <xf numFmtId="0" fontId="90" fillId="38" borderId="13" xfId="0" applyFont="1" applyFill="1" applyBorder="1" applyAlignment="1">
      <alignment vertical="center"/>
    </xf>
    <xf numFmtId="9" fontId="10" fillId="38" borderId="13" xfId="79" applyFont="1" applyFill="1" applyBorder="1" applyAlignment="1">
      <alignment vertical="center"/>
    </xf>
    <xf numFmtId="9" fontId="10" fillId="38" borderId="13" xfId="0" applyNumberFormat="1" applyFont="1" applyFill="1" applyBorder="1" applyAlignment="1">
      <alignment vertical="center"/>
    </xf>
    <xf numFmtId="2" fontId="89" fillId="0" borderId="13" xfId="0" applyNumberFormat="1" applyFont="1" applyFill="1" applyBorder="1" applyAlignment="1">
      <alignment vertical="center"/>
    </xf>
    <xf numFmtId="9" fontId="4" fillId="0" borderId="13" xfId="0" applyNumberFormat="1" applyFont="1" applyFill="1" applyBorder="1" applyAlignment="1">
      <alignment horizontal="center" vertical="center" wrapText="1"/>
    </xf>
    <xf numFmtId="0" fontId="0" fillId="0" borderId="0" xfId="0" applyAlignment="1">
      <alignment vertical="center" wrapText="1"/>
    </xf>
    <xf numFmtId="9" fontId="89" fillId="38" borderId="13" xfId="79" applyFont="1" applyFill="1" applyBorder="1" applyAlignment="1">
      <alignment horizontal="left" vertical="center" wrapText="1"/>
    </xf>
    <xf numFmtId="0" fontId="89" fillId="38" borderId="13" xfId="0" applyFont="1" applyFill="1" applyBorder="1" applyAlignment="1">
      <alignment horizontal="left" vertical="center" wrapText="1"/>
    </xf>
    <xf numFmtId="9" fontId="10" fillId="38" borderId="13" xfId="79" applyFont="1" applyFill="1" applyBorder="1" applyAlignment="1">
      <alignment vertical="center" wrapText="1"/>
    </xf>
    <xf numFmtId="9" fontId="19" fillId="0" borderId="13" xfId="79" applyFont="1" applyFill="1" applyBorder="1" applyAlignment="1">
      <alignment vertical="center" wrapText="1"/>
    </xf>
    <xf numFmtId="189" fontId="0" fillId="0" borderId="0" xfId="58" applyNumberFormat="1" applyFont="1" applyBorder="1" applyAlignment="1">
      <alignment/>
    </xf>
    <xf numFmtId="189" fontId="88" fillId="2" borderId="13" xfId="58" applyNumberFormat="1" applyFont="1" applyFill="1" applyBorder="1" applyAlignment="1">
      <alignment horizontal="center"/>
    </xf>
    <xf numFmtId="189" fontId="0" fillId="2" borderId="13" xfId="58" applyNumberFormat="1" applyFont="1" applyFill="1" applyBorder="1" applyAlignment="1">
      <alignment/>
    </xf>
    <xf numFmtId="189" fontId="0" fillId="44" borderId="0" xfId="58" applyNumberFormat="1" applyFont="1" applyFill="1" applyBorder="1" applyAlignment="1">
      <alignment/>
    </xf>
    <xf numFmtId="9" fontId="0" fillId="44" borderId="22" xfId="79" applyFont="1" applyFill="1" applyBorder="1" applyAlignment="1">
      <alignment horizontal="center" vertical="center" wrapText="1"/>
    </xf>
    <xf numFmtId="189" fontId="88" fillId="44" borderId="13" xfId="58" applyNumberFormat="1" applyFont="1" applyFill="1" applyBorder="1" applyAlignment="1">
      <alignment horizontal="center"/>
    </xf>
    <xf numFmtId="177" fontId="88" fillId="44" borderId="13" xfId="58" applyFont="1" applyFill="1" applyBorder="1" applyAlignment="1">
      <alignment horizontal="center"/>
    </xf>
    <xf numFmtId="189" fontId="88" fillId="0" borderId="0" xfId="58" applyNumberFormat="1" applyFont="1" applyBorder="1" applyAlignment="1">
      <alignment horizontal="center" vertical="center" wrapText="1"/>
    </xf>
    <xf numFmtId="9" fontId="0" fillId="2" borderId="13" xfId="79" applyFont="1" applyFill="1" applyBorder="1" applyAlignment="1">
      <alignment/>
    </xf>
    <xf numFmtId="9" fontId="0" fillId="0" borderId="13" xfId="79" applyFont="1" applyBorder="1" applyAlignment="1">
      <alignment/>
    </xf>
    <xf numFmtId="9" fontId="0" fillId="0" borderId="0" xfId="0" applyNumberFormat="1" applyAlignment="1">
      <alignment/>
    </xf>
    <xf numFmtId="189" fontId="0" fillId="0" borderId="0" xfId="58" applyNumberFormat="1" applyFont="1" applyAlignment="1">
      <alignment/>
    </xf>
    <xf numFmtId="221" fontId="0" fillId="0" borderId="0" xfId="79" applyNumberFormat="1" applyFont="1" applyAlignment="1">
      <alignment/>
    </xf>
    <xf numFmtId="177" fontId="0" fillId="2" borderId="13" xfId="58" applyNumberFormat="1" applyFont="1" applyFill="1" applyBorder="1" applyAlignment="1">
      <alignment/>
    </xf>
    <xf numFmtId="177" fontId="0" fillId="0" borderId="13" xfId="58" applyNumberFormat="1" applyFont="1" applyBorder="1" applyAlignment="1">
      <alignment horizontal="center"/>
    </xf>
    <xf numFmtId="177" fontId="88" fillId="0" borderId="13" xfId="58" applyNumberFormat="1" applyFont="1" applyBorder="1" applyAlignment="1">
      <alignment horizontal="center"/>
    </xf>
    <xf numFmtId="0" fontId="97" fillId="0" borderId="13" xfId="79" applyNumberFormat="1" applyFont="1" applyFill="1" applyBorder="1" applyAlignment="1">
      <alignment vertical="center" wrapText="1"/>
    </xf>
    <xf numFmtId="0" fontId="93" fillId="0" borderId="13" xfId="79" applyNumberFormat="1" applyFont="1" applyBorder="1" applyAlignment="1">
      <alignment horizontal="justify" vertical="center" wrapText="1"/>
    </xf>
    <xf numFmtId="0" fontId="89" fillId="0" borderId="13" xfId="79" applyNumberFormat="1" applyFont="1" applyBorder="1" applyAlignment="1">
      <alignment horizontal="justify" vertical="center" wrapText="1"/>
    </xf>
    <xf numFmtId="0" fontId="99" fillId="0" borderId="13" xfId="79" applyNumberFormat="1" applyFont="1" applyFill="1" applyBorder="1" applyAlignment="1">
      <alignment horizontal="left" vertical="center" wrapText="1"/>
    </xf>
    <xf numFmtId="0" fontId="89" fillId="0" borderId="13" xfId="79" applyNumberFormat="1" applyFont="1" applyFill="1" applyBorder="1" applyAlignment="1">
      <alignment vertical="top" wrapText="1"/>
    </xf>
    <xf numFmtId="0" fontId="93" fillId="0" borderId="13" xfId="0" applyFont="1" applyFill="1" applyBorder="1" applyAlignment="1">
      <alignment horizontal="center" vertical="center"/>
    </xf>
    <xf numFmtId="0" fontId="89" fillId="38" borderId="13" xfId="79" applyNumberFormat="1" applyFont="1" applyFill="1" applyBorder="1" applyAlignment="1">
      <alignment vertical="center" wrapText="1"/>
    </xf>
    <xf numFmtId="9" fontId="89" fillId="38" borderId="13" xfId="79" applyFont="1" applyFill="1" applyBorder="1" applyAlignment="1">
      <alignment vertical="center" wrapText="1"/>
    </xf>
    <xf numFmtId="0" fontId="93" fillId="38" borderId="13" xfId="79" applyNumberFormat="1" applyFont="1" applyFill="1" applyBorder="1" applyAlignment="1">
      <alignment horizontal="center" vertical="center" wrapText="1"/>
    </xf>
    <xf numFmtId="9" fontId="0" fillId="43" borderId="13" xfId="79" applyFont="1" applyFill="1" applyBorder="1" applyAlignment="1">
      <alignment/>
    </xf>
    <xf numFmtId="9" fontId="89" fillId="0" borderId="13" xfId="80" applyFont="1" applyFill="1" applyBorder="1" applyAlignment="1">
      <alignment horizontal="center" vertical="center"/>
    </xf>
    <xf numFmtId="199" fontId="4" fillId="0" borderId="13" xfId="60" applyNumberFormat="1" applyFont="1" applyFill="1" applyBorder="1" applyAlignment="1">
      <alignment vertical="center" wrapText="1"/>
    </xf>
    <xf numFmtId="41" fontId="4" fillId="0" borderId="13" xfId="60" applyFont="1" applyFill="1" applyBorder="1" applyAlignment="1">
      <alignment vertical="center" wrapText="1"/>
    </xf>
    <xf numFmtId="9" fontId="89" fillId="0" borderId="13" xfId="80" applyFont="1" applyFill="1" applyBorder="1" applyAlignment="1">
      <alignment vertical="center"/>
    </xf>
    <xf numFmtId="2" fontId="10" fillId="0" borderId="37" xfId="72" applyNumberFormat="1" applyFont="1" applyFill="1" applyBorder="1" applyAlignment="1" applyProtection="1">
      <alignment vertical="center" wrapText="1"/>
      <protection/>
    </xf>
    <xf numFmtId="0" fontId="0" fillId="0" borderId="63" xfId="0" applyFont="1" applyFill="1" applyBorder="1" applyAlignment="1">
      <alignment vertical="center" wrapText="1"/>
    </xf>
    <xf numFmtId="2" fontId="10" fillId="0" borderId="22" xfId="72" applyNumberFormat="1" applyFont="1" applyFill="1" applyBorder="1" applyAlignment="1" applyProtection="1">
      <alignment horizontal="center" vertical="center" wrapText="1"/>
      <protection/>
    </xf>
    <xf numFmtId="2" fontId="10" fillId="0" borderId="57" xfId="72" applyNumberFormat="1" applyFont="1" applyFill="1" applyBorder="1" applyAlignment="1" applyProtection="1">
      <alignment horizontal="center" vertical="center" wrapText="1"/>
      <protection/>
    </xf>
    <xf numFmtId="9" fontId="90" fillId="0" borderId="64" xfId="72" applyNumberFormat="1" applyFont="1" applyFill="1" applyBorder="1" applyAlignment="1" applyProtection="1">
      <alignment horizontal="center" vertical="center" wrapText="1"/>
      <protection/>
    </xf>
    <xf numFmtId="9" fontId="90" fillId="0" borderId="41" xfId="72" applyNumberFormat="1" applyFont="1" applyFill="1" applyBorder="1" applyAlignment="1" applyProtection="1">
      <alignment horizontal="center" vertical="center" wrapText="1"/>
      <protection/>
    </xf>
    <xf numFmtId="9" fontId="90" fillId="0" borderId="65" xfId="72" applyNumberFormat="1" applyFont="1" applyFill="1" applyBorder="1" applyAlignment="1" applyProtection="1">
      <alignment horizontal="center" vertical="center" wrapText="1"/>
      <protection/>
    </xf>
    <xf numFmtId="9" fontId="90" fillId="0" borderId="58" xfId="72" applyNumberFormat="1" applyFont="1" applyFill="1" applyBorder="1" applyAlignment="1" applyProtection="1">
      <alignment horizontal="center" vertical="center" wrapText="1"/>
      <protection/>
    </xf>
    <xf numFmtId="9" fontId="90" fillId="0" borderId="34" xfId="72" applyNumberFormat="1" applyFont="1" applyFill="1" applyBorder="1" applyAlignment="1" applyProtection="1">
      <alignment horizontal="center" vertical="center" wrapText="1"/>
      <protection/>
    </xf>
    <xf numFmtId="9" fontId="90" fillId="0" borderId="35" xfId="72" applyNumberFormat="1" applyFont="1" applyFill="1" applyBorder="1" applyAlignment="1" applyProtection="1">
      <alignment horizontal="center" vertical="center" wrapText="1"/>
      <protection/>
    </xf>
    <xf numFmtId="2" fontId="10" fillId="0" borderId="20" xfId="72" applyNumberFormat="1" applyFont="1" applyFill="1" applyBorder="1" applyAlignment="1" applyProtection="1">
      <alignment vertical="center" wrapText="1"/>
      <protection/>
    </xf>
    <xf numFmtId="2" fontId="10" fillId="0" borderId="16" xfId="72" applyNumberFormat="1" applyFont="1" applyFill="1" applyBorder="1" applyAlignment="1" applyProtection="1">
      <alignment horizontal="center" vertical="center" wrapText="1"/>
      <protection/>
    </xf>
    <xf numFmtId="9" fontId="90" fillId="0" borderId="66" xfId="72" applyNumberFormat="1" applyFont="1" applyFill="1" applyBorder="1" applyAlignment="1" applyProtection="1">
      <alignment horizontal="center" vertical="center" wrapText="1"/>
      <protection/>
    </xf>
    <xf numFmtId="9" fontId="90" fillId="0" borderId="0" xfId="72" applyNumberFormat="1" applyFont="1" applyFill="1" applyBorder="1" applyAlignment="1" applyProtection="1">
      <alignment horizontal="center" vertical="center" wrapText="1"/>
      <protection/>
    </xf>
    <xf numFmtId="9" fontId="90" fillId="0" borderId="29" xfId="72" applyNumberFormat="1" applyFont="1" applyFill="1" applyBorder="1" applyAlignment="1" applyProtection="1">
      <alignment horizontal="center" vertical="center" wrapText="1"/>
      <protection/>
    </xf>
    <xf numFmtId="2" fontId="10" fillId="0" borderId="37" xfId="72" applyNumberFormat="1" applyFont="1" applyFill="1" applyBorder="1" applyAlignment="1" applyProtection="1">
      <alignment horizontal="center" vertical="center" wrapText="1"/>
      <protection/>
    </xf>
    <xf numFmtId="2" fontId="10" fillId="0" borderId="51" xfId="72" applyNumberFormat="1" applyFont="1" applyFill="1" applyBorder="1" applyAlignment="1" applyProtection="1">
      <alignment horizontal="center" vertical="center" wrapText="1"/>
      <protection/>
    </xf>
    <xf numFmtId="0" fontId="11" fillId="5" borderId="67" xfId="72" applyFont="1" applyFill="1" applyBorder="1" applyAlignment="1" applyProtection="1">
      <alignment horizontal="center" vertical="center" wrapText="1"/>
      <protection/>
    </xf>
    <xf numFmtId="0" fontId="11" fillId="5" borderId="20" xfId="72" applyFont="1" applyFill="1" applyBorder="1" applyAlignment="1" applyProtection="1">
      <alignment horizontal="center" vertical="center" wrapText="1"/>
      <protection/>
    </xf>
    <xf numFmtId="0" fontId="11" fillId="5" borderId="68" xfId="72" applyFont="1" applyFill="1" applyBorder="1" applyAlignment="1" applyProtection="1">
      <alignment horizontal="center" vertical="center" wrapText="1"/>
      <protection/>
    </xf>
    <xf numFmtId="0" fontId="11" fillId="5" borderId="16" xfId="72" applyFont="1" applyFill="1" applyBorder="1" applyAlignment="1" applyProtection="1">
      <alignment horizontal="center" vertical="center" wrapText="1"/>
      <protection/>
    </xf>
    <xf numFmtId="0" fontId="11" fillId="5" borderId="69" xfId="72" applyFont="1" applyFill="1" applyBorder="1" applyAlignment="1" applyProtection="1">
      <alignment horizontal="center" vertical="center" wrapText="1"/>
      <protection/>
    </xf>
    <xf numFmtId="0" fontId="11" fillId="5" borderId="59" xfId="72" applyFont="1" applyFill="1" applyBorder="1" applyAlignment="1" applyProtection="1">
      <alignment horizontal="center" vertical="center" wrapText="1"/>
      <protection/>
    </xf>
    <xf numFmtId="0" fontId="11" fillId="5" borderId="60" xfId="72" applyFont="1" applyFill="1" applyBorder="1" applyAlignment="1" applyProtection="1">
      <alignment horizontal="center" vertical="center" wrapText="1"/>
      <protection/>
    </xf>
    <xf numFmtId="0" fontId="11" fillId="5" borderId="62" xfId="72" applyFont="1" applyFill="1" applyBorder="1" applyAlignment="1" applyProtection="1">
      <alignment horizontal="center" vertical="center" wrapText="1"/>
      <protection/>
    </xf>
    <xf numFmtId="0" fontId="11" fillId="5" borderId="14" xfId="72" applyFont="1" applyFill="1" applyBorder="1" applyAlignment="1" applyProtection="1">
      <alignment horizontal="center" vertical="center" wrapText="1"/>
      <protection/>
    </xf>
    <xf numFmtId="0" fontId="11" fillId="5" borderId="70" xfId="72" applyFont="1" applyFill="1" applyBorder="1" applyAlignment="1" applyProtection="1">
      <alignment horizontal="center" vertical="center" wrapText="1"/>
      <protection/>
    </xf>
    <xf numFmtId="0" fontId="11" fillId="5" borderId="45" xfId="72" applyFont="1" applyFill="1" applyBorder="1" applyAlignment="1" applyProtection="1">
      <alignment horizontal="center" vertical="center" wrapText="1"/>
      <protection/>
    </xf>
    <xf numFmtId="2" fontId="10" fillId="0" borderId="51" xfId="72" applyNumberFormat="1" applyFont="1" applyFill="1" applyBorder="1" applyAlignment="1" applyProtection="1">
      <alignment vertical="center" wrapText="1"/>
      <protection/>
    </xf>
    <xf numFmtId="2" fontId="10" fillId="0" borderId="54" xfId="72" applyNumberFormat="1" applyFont="1" applyFill="1" applyBorder="1" applyAlignment="1" applyProtection="1">
      <alignment horizontal="center" vertical="center" wrapText="1"/>
      <protection/>
    </xf>
    <xf numFmtId="9" fontId="90" fillId="0" borderId="64" xfId="72" applyNumberFormat="1" applyFont="1" applyFill="1" applyBorder="1" applyAlignment="1" applyProtection="1">
      <alignment horizontal="left" vertical="center" wrapText="1"/>
      <protection/>
    </xf>
    <xf numFmtId="9" fontId="90" fillId="0" borderId="41" xfId="72" applyNumberFormat="1" applyFont="1" applyFill="1" applyBorder="1" applyAlignment="1" applyProtection="1">
      <alignment horizontal="left" vertical="center" wrapText="1"/>
      <protection/>
    </xf>
    <xf numFmtId="9" fontId="90" fillId="0" borderId="65" xfId="72" applyNumberFormat="1" applyFont="1" applyFill="1" applyBorder="1" applyAlignment="1" applyProtection="1">
      <alignment horizontal="left" vertical="center" wrapText="1"/>
      <protection/>
    </xf>
    <xf numFmtId="9" fontId="90" fillId="0" borderId="66" xfId="72" applyNumberFormat="1" applyFont="1" applyFill="1" applyBorder="1" applyAlignment="1" applyProtection="1">
      <alignment horizontal="left" vertical="center" wrapText="1"/>
      <protection/>
    </xf>
    <xf numFmtId="9" fontId="90" fillId="0" borderId="0" xfId="72" applyNumberFormat="1" applyFont="1" applyFill="1" applyBorder="1" applyAlignment="1" applyProtection="1">
      <alignment horizontal="left" vertical="center" wrapText="1"/>
      <protection/>
    </xf>
    <xf numFmtId="9" fontId="90" fillId="0" borderId="29" xfId="72" applyNumberFormat="1" applyFont="1" applyFill="1" applyBorder="1" applyAlignment="1" applyProtection="1">
      <alignment horizontal="left" vertical="center" wrapText="1"/>
      <protection/>
    </xf>
    <xf numFmtId="0" fontId="11" fillId="0" borderId="37" xfId="72" applyFont="1" applyFill="1" applyBorder="1" applyAlignment="1" applyProtection="1">
      <alignment horizontal="center" vertical="center" wrapText="1"/>
      <protection/>
    </xf>
    <xf numFmtId="0" fontId="11" fillId="0" borderId="63" xfId="72" applyFont="1" applyFill="1" applyBorder="1" applyAlignment="1" applyProtection="1">
      <alignment horizontal="center" vertical="center" wrapText="1"/>
      <protection/>
    </xf>
    <xf numFmtId="0" fontId="11" fillId="0" borderId="22" xfId="72" applyFont="1" applyFill="1" applyBorder="1" applyAlignment="1" applyProtection="1">
      <alignment horizontal="center" vertical="center" wrapText="1"/>
      <protection/>
    </xf>
    <xf numFmtId="0" fontId="11" fillId="0" borderId="57" xfId="72" applyFont="1" applyFill="1" applyBorder="1" applyAlignment="1" applyProtection="1">
      <alignment horizontal="center" vertical="center" wrapText="1"/>
      <protection/>
    </xf>
    <xf numFmtId="9" fontId="90" fillId="0" borderId="64" xfId="81" applyFont="1" applyFill="1" applyBorder="1" applyAlignment="1" applyProtection="1">
      <alignment horizontal="center" vertical="center" wrapText="1"/>
      <protection/>
    </xf>
    <xf numFmtId="9" fontId="90" fillId="0" borderId="41" xfId="81" applyFont="1" applyFill="1" applyBorder="1" applyAlignment="1" applyProtection="1">
      <alignment horizontal="center" vertical="center" wrapText="1"/>
      <protection/>
    </xf>
    <xf numFmtId="9" fontId="90" fillId="0" borderId="42" xfId="81" applyFont="1" applyFill="1" applyBorder="1" applyAlignment="1" applyProtection="1">
      <alignment horizontal="center" vertical="center" wrapText="1"/>
      <protection/>
    </xf>
    <xf numFmtId="9" fontId="90" fillId="0" borderId="58" xfId="81" applyFont="1" applyFill="1" applyBorder="1" applyAlignment="1" applyProtection="1">
      <alignment horizontal="center" vertical="center" wrapText="1"/>
      <protection/>
    </xf>
    <xf numFmtId="9" fontId="90" fillId="0" borderId="34" xfId="81" applyFont="1" applyFill="1" applyBorder="1" applyAlignment="1" applyProtection="1">
      <alignment horizontal="center" vertical="center" wrapText="1"/>
      <protection/>
    </xf>
    <xf numFmtId="9" fontId="90" fillId="0" borderId="71" xfId="81" applyFont="1" applyFill="1" applyBorder="1" applyAlignment="1" applyProtection="1">
      <alignment horizontal="center" vertical="center" wrapText="1"/>
      <protection/>
    </xf>
    <xf numFmtId="9" fontId="90" fillId="0" borderId="65" xfId="81" applyFont="1" applyFill="1" applyBorder="1" applyAlignment="1" applyProtection="1">
      <alignment horizontal="center" vertical="center" wrapText="1"/>
      <protection/>
    </xf>
    <xf numFmtId="9" fontId="90" fillId="0" borderId="35" xfId="81" applyFont="1" applyFill="1" applyBorder="1" applyAlignment="1" applyProtection="1">
      <alignment horizontal="center" vertical="center" wrapText="1"/>
      <protection/>
    </xf>
    <xf numFmtId="0" fontId="11" fillId="5" borderId="13" xfId="72" applyFont="1" applyFill="1" applyBorder="1" applyAlignment="1" applyProtection="1">
      <alignment horizontal="center" vertical="center" wrapText="1"/>
      <protection/>
    </xf>
    <xf numFmtId="3" fontId="11" fillId="0" borderId="64" xfId="72" applyNumberFormat="1" applyFont="1" applyFill="1" applyBorder="1" applyAlignment="1" applyProtection="1">
      <alignment horizontal="center" vertical="center" wrapText="1"/>
      <protection/>
    </xf>
    <xf numFmtId="3" fontId="11" fillId="0" borderId="42" xfId="72" applyNumberFormat="1" applyFont="1" applyFill="1" applyBorder="1" applyAlignment="1" applyProtection="1">
      <alignment horizontal="center" vertical="center" wrapText="1"/>
      <protection/>
    </xf>
    <xf numFmtId="0" fontId="90" fillId="0" borderId="13" xfId="72" applyFont="1" applyFill="1" applyBorder="1" applyAlignment="1" applyProtection="1">
      <alignment horizontal="left" vertical="center" wrapText="1"/>
      <protection/>
    </xf>
    <xf numFmtId="0" fontId="90" fillId="0" borderId="21" xfId="72" applyFont="1" applyFill="1" applyBorder="1" applyAlignment="1" applyProtection="1">
      <alignment horizontal="left" vertical="center" wrapText="1"/>
      <protection/>
    </xf>
    <xf numFmtId="0" fontId="11" fillId="0" borderId="67" xfId="72" applyFont="1" applyFill="1" applyBorder="1" applyAlignment="1" applyProtection="1">
      <alignment horizontal="center" vertical="center" wrapText="1"/>
      <protection/>
    </xf>
    <xf numFmtId="0" fontId="11" fillId="0" borderId="69" xfId="72" applyFont="1" applyFill="1" applyBorder="1" applyAlignment="1" applyProtection="1">
      <alignment horizontal="center" vertical="center" wrapText="1"/>
      <protection/>
    </xf>
    <xf numFmtId="0" fontId="11" fillId="0" borderId="72" xfId="72" applyFont="1" applyFill="1" applyBorder="1" applyAlignment="1" applyProtection="1">
      <alignment horizontal="center" vertical="center" wrapText="1"/>
      <protection/>
    </xf>
    <xf numFmtId="0" fontId="10" fillId="5" borderId="13" xfId="72" applyFont="1" applyFill="1" applyBorder="1" applyAlignment="1" applyProtection="1">
      <alignment horizontal="center" vertical="center" wrapText="1"/>
      <protection/>
    </xf>
    <xf numFmtId="0" fontId="11" fillId="5" borderId="21" xfId="72" applyFont="1" applyFill="1" applyBorder="1" applyAlignment="1" applyProtection="1">
      <alignment horizontal="center" vertical="center" wrapText="1"/>
      <protection/>
    </xf>
    <xf numFmtId="0" fontId="11" fillId="5" borderId="39" xfId="72" applyFont="1" applyFill="1" applyBorder="1" applyAlignment="1" applyProtection="1">
      <alignment horizontal="center" vertical="center" wrapText="1"/>
      <protection/>
    </xf>
    <xf numFmtId="0" fontId="11" fillId="5" borderId="15" xfId="72" applyFont="1" applyFill="1" applyBorder="1" applyAlignment="1" applyProtection="1">
      <alignment horizontal="center" vertical="center" wrapText="1"/>
      <protection/>
    </xf>
    <xf numFmtId="0" fontId="11" fillId="5" borderId="44" xfId="72" applyFont="1" applyFill="1" applyBorder="1" applyAlignment="1" applyProtection="1">
      <alignment horizontal="center" vertical="center" wrapText="1"/>
      <protection/>
    </xf>
    <xf numFmtId="0" fontId="11" fillId="5" borderId="19" xfId="72" applyFont="1" applyFill="1" applyBorder="1" applyAlignment="1" applyProtection="1">
      <alignment horizontal="center" vertical="center" wrapText="1"/>
      <protection/>
    </xf>
    <xf numFmtId="0" fontId="11" fillId="5" borderId="49" xfId="72" applyFont="1" applyFill="1" applyBorder="1" applyAlignment="1" applyProtection="1">
      <alignment horizontal="center" vertical="center" wrapText="1"/>
      <protection/>
    </xf>
    <xf numFmtId="0" fontId="11" fillId="5" borderId="18" xfId="72" applyFont="1" applyFill="1" applyBorder="1" applyAlignment="1" applyProtection="1">
      <alignment horizontal="center" vertical="center" wrapText="1"/>
      <protection/>
    </xf>
    <xf numFmtId="0" fontId="11" fillId="5" borderId="64" xfId="72" applyFont="1" applyFill="1" applyBorder="1" applyAlignment="1" applyProtection="1">
      <alignment horizontal="center" vertical="center" wrapText="1"/>
      <protection/>
    </xf>
    <xf numFmtId="0" fontId="11" fillId="5" borderId="42" xfId="72" applyFont="1" applyFill="1" applyBorder="1" applyAlignment="1" applyProtection="1">
      <alignment horizontal="center" vertical="center" wrapText="1"/>
      <protection/>
    </xf>
    <xf numFmtId="0" fontId="11" fillId="5" borderId="17" xfId="72" applyFont="1" applyFill="1" applyBorder="1" applyAlignment="1" applyProtection="1">
      <alignment horizontal="center" vertical="center" wrapText="1"/>
      <protection/>
    </xf>
    <xf numFmtId="0" fontId="11" fillId="0" borderId="46" xfId="72" applyFont="1" applyFill="1" applyBorder="1" applyAlignment="1">
      <alignment horizontal="center" vertical="center" wrapText="1"/>
      <protection/>
    </xf>
    <xf numFmtId="0" fontId="11" fillId="0" borderId="47" xfId="72" applyFont="1" applyFill="1" applyBorder="1" applyAlignment="1">
      <alignment horizontal="center" vertical="center" wrapText="1"/>
      <protection/>
    </xf>
    <xf numFmtId="0" fontId="11" fillId="0" borderId="48" xfId="72" applyFont="1" applyFill="1" applyBorder="1" applyAlignment="1">
      <alignment horizontal="center" vertical="center" wrapText="1"/>
      <protection/>
    </xf>
    <xf numFmtId="0" fontId="11" fillId="5" borderId="73" xfId="72" applyFont="1" applyFill="1" applyBorder="1" applyAlignment="1">
      <alignment horizontal="center" vertical="center" wrapText="1"/>
      <protection/>
    </xf>
    <xf numFmtId="0" fontId="11" fillId="5" borderId="74" xfId="72" applyFont="1" applyFill="1" applyBorder="1" applyAlignment="1">
      <alignment horizontal="center" vertical="center" wrapText="1"/>
      <protection/>
    </xf>
    <xf numFmtId="9" fontId="11" fillId="0" borderId="73" xfId="79" applyFont="1" applyFill="1" applyBorder="1" applyAlignment="1" applyProtection="1">
      <alignment horizontal="center" vertical="center" wrapText="1"/>
      <protection/>
    </xf>
    <xf numFmtId="9" fontId="11" fillId="0" borderId="74" xfId="79" applyFont="1" applyFill="1" applyBorder="1" applyAlignment="1" applyProtection="1">
      <alignment horizontal="center" vertical="center" wrapText="1"/>
      <protection/>
    </xf>
    <xf numFmtId="0" fontId="11" fillId="5" borderId="75" xfId="72" applyFont="1" applyFill="1" applyBorder="1" applyAlignment="1" applyProtection="1">
      <alignment horizontal="center" vertical="center" wrapText="1"/>
      <protection/>
    </xf>
    <xf numFmtId="0" fontId="11" fillId="5" borderId="74" xfId="72" applyFont="1" applyFill="1" applyBorder="1" applyAlignment="1" applyProtection="1">
      <alignment horizontal="center" vertical="center" wrapText="1"/>
      <protection/>
    </xf>
    <xf numFmtId="0" fontId="11" fillId="5" borderId="73" xfId="72" applyFont="1" applyFill="1" applyBorder="1" applyAlignment="1">
      <alignment horizontal="left" vertical="center" wrapText="1"/>
      <protection/>
    </xf>
    <xf numFmtId="0" fontId="11" fillId="5" borderId="74" xfId="72" applyFont="1" applyFill="1" applyBorder="1" applyAlignment="1">
      <alignment horizontal="left" vertical="center" wrapText="1"/>
      <protection/>
    </xf>
    <xf numFmtId="0" fontId="88" fillId="0" borderId="76" xfId="0" applyFont="1" applyFill="1" applyBorder="1" applyAlignment="1">
      <alignment horizontal="center" vertical="center" wrapText="1"/>
    </xf>
    <xf numFmtId="0" fontId="88" fillId="0" borderId="77"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88" fillId="0" borderId="78" xfId="0" applyFont="1" applyFill="1" applyBorder="1" applyAlignment="1">
      <alignment horizontal="center" vertical="center" wrapText="1"/>
    </xf>
    <xf numFmtId="0" fontId="88" fillId="0" borderId="62" xfId="0" applyFont="1" applyFill="1" applyBorder="1" applyAlignment="1">
      <alignment horizontal="center" vertical="center" wrapText="1"/>
    </xf>
    <xf numFmtId="0" fontId="11" fillId="38" borderId="67" xfId="72" applyFont="1" applyFill="1" applyBorder="1" applyAlignment="1" applyProtection="1">
      <alignment horizontal="center" vertical="center" wrapText="1"/>
      <protection/>
    </xf>
    <xf numFmtId="0" fontId="11" fillId="38" borderId="61" xfId="72" applyFont="1" applyFill="1" applyBorder="1" applyAlignment="1" applyProtection="1">
      <alignment horizontal="center" vertical="center" wrapText="1"/>
      <protection/>
    </xf>
    <xf numFmtId="0" fontId="11" fillId="38" borderId="69" xfId="72" applyFont="1" applyFill="1" applyBorder="1" applyAlignment="1" applyProtection="1">
      <alignment horizontal="center" vertical="center" wrapText="1"/>
      <protection/>
    </xf>
    <xf numFmtId="0" fontId="11" fillId="38" borderId="72" xfId="72" applyFont="1" applyFill="1" applyBorder="1" applyAlignment="1" applyProtection="1">
      <alignment horizontal="center" vertical="center" wrapText="1"/>
      <protection/>
    </xf>
    <xf numFmtId="0" fontId="11" fillId="5" borderId="50" xfId="72" applyFont="1" applyFill="1" applyBorder="1" applyAlignment="1" applyProtection="1">
      <alignment horizontal="center" vertical="center" wrapText="1"/>
      <protection/>
    </xf>
    <xf numFmtId="0" fontId="11" fillId="5" borderId="40" xfId="72" applyFont="1" applyFill="1" applyBorder="1" applyAlignment="1" applyProtection="1">
      <alignment horizontal="center" vertical="center" wrapText="1"/>
      <protection/>
    </xf>
    <xf numFmtId="0" fontId="11" fillId="0" borderId="73" xfId="72" applyFont="1" applyFill="1" applyBorder="1" applyAlignment="1">
      <alignment horizontal="center" vertical="center" wrapText="1"/>
      <protection/>
    </xf>
    <xf numFmtId="0" fontId="11" fillId="0" borderId="75" xfId="72" applyFont="1" applyFill="1" applyBorder="1" applyAlignment="1">
      <alignment horizontal="center" vertical="center" wrapText="1"/>
      <protection/>
    </xf>
    <xf numFmtId="0" fontId="11" fillId="0" borderId="74" xfId="72" applyFont="1" applyFill="1" applyBorder="1" applyAlignment="1">
      <alignment horizontal="center" vertical="center" wrapText="1"/>
      <protection/>
    </xf>
    <xf numFmtId="0" fontId="11" fillId="38" borderId="34" xfId="72" applyFont="1" applyFill="1" applyBorder="1" applyAlignment="1" applyProtection="1">
      <alignment horizontal="left" vertical="center" wrapText="1"/>
      <protection/>
    </xf>
    <xf numFmtId="0" fontId="10" fillId="0" borderId="73" xfId="72" applyFont="1" applyFill="1" applyBorder="1" applyAlignment="1" applyProtection="1">
      <alignment horizontal="center" vertical="center" wrapText="1"/>
      <protection/>
    </xf>
    <xf numFmtId="0" fontId="10" fillId="0" borderId="75" xfId="72" applyFont="1" applyFill="1" applyBorder="1" applyAlignment="1" applyProtection="1">
      <alignment horizontal="center" vertical="center" wrapText="1"/>
      <protection/>
    </xf>
    <xf numFmtId="0" fontId="10" fillId="0" borderId="74" xfId="72" applyFont="1" applyFill="1" applyBorder="1" applyAlignment="1" applyProtection="1">
      <alignment horizontal="center" vertical="center" wrapText="1"/>
      <protection/>
    </xf>
    <xf numFmtId="0" fontId="11" fillId="0" borderId="50" xfId="72" applyFont="1" applyFill="1" applyBorder="1" applyAlignment="1" applyProtection="1">
      <alignment horizontal="center" vertical="center" wrapText="1"/>
      <protection/>
    </xf>
    <xf numFmtId="0" fontId="11" fillId="0" borderId="38" xfId="72" applyFont="1" applyFill="1" applyBorder="1" applyAlignment="1" applyProtection="1">
      <alignment horizontal="center" vertical="center" wrapText="1"/>
      <protection/>
    </xf>
    <xf numFmtId="0" fontId="11" fillId="0" borderId="52" xfId="72" applyFont="1" applyFill="1" applyBorder="1" applyAlignment="1" applyProtection="1">
      <alignment horizontal="center" vertical="center" wrapText="1"/>
      <protection/>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00" fillId="0" borderId="79" xfId="0" applyFont="1" applyBorder="1" applyAlignment="1">
      <alignment horizontal="left" vertical="center" wrapText="1"/>
    </xf>
    <xf numFmtId="0" fontId="100" fillId="0" borderId="38" xfId="0" applyFont="1" applyBorder="1" applyAlignment="1">
      <alignment horizontal="left" vertical="center" wrapText="1"/>
    </xf>
    <xf numFmtId="0" fontId="100" fillId="0" borderId="52" xfId="0" applyFont="1" applyBorder="1" applyAlignment="1">
      <alignment horizontal="left" vertical="center" wrapText="1"/>
    </xf>
    <xf numFmtId="0" fontId="11" fillId="5" borderId="80" xfId="72" applyFont="1" applyFill="1" applyBorder="1" applyAlignment="1">
      <alignment horizontal="left" vertical="center" wrapText="1"/>
      <protection/>
    </xf>
    <xf numFmtId="0" fontId="11" fillId="5" borderId="27" xfId="72" applyFont="1" applyFill="1" applyBorder="1" applyAlignment="1">
      <alignment horizontal="left" vertical="center" wrapText="1"/>
      <protection/>
    </xf>
    <xf numFmtId="0" fontId="11" fillId="5" borderId="28" xfId="72" applyFont="1" applyFill="1" applyBorder="1" applyAlignment="1">
      <alignment horizontal="left" vertical="center" wrapText="1"/>
      <protection/>
    </xf>
    <xf numFmtId="0" fontId="11" fillId="5" borderId="29" xfId="72" applyFont="1" applyFill="1" applyBorder="1" applyAlignment="1">
      <alignment horizontal="left" vertical="center" wrapText="1"/>
      <protection/>
    </xf>
    <xf numFmtId="0" fontId="11" fillId="5" borderId="81" xfId="72" applyFont="1" applyFill="1" applyBorder="1" applyAlignment="1">
      <alignment horizontal="left" vertical="center" wrapText="1"/>
      <protection/>
    </xf>
    <xf numFmtId="0" fontId="11" fillId="5" borderId="35" xfId="72" applyFont="1" applyFill="1" applyBorder="1" applyAlignment="1">
      <alignment horizontal="left" vertical="center" wrapText="1"/>
      <protection/>
    </xf>
    <xf numFmtId="0" fontId="11" fillId="5" borderId="26" xfId="72" applyFont="1" applyFill="1" applyBorder="1" applyAlignment="1">
      <alignment horizontal="left" vertical="center" wrapText="1"/>
      <protection/>
    </xf>
    <xf numFmtId="0" fontId="11" fillId="5" borderId="0" xfId="72" applyFont="1" applyFill="1" applyBorder="1" applyAlignment="1">
      <alignment horizontal="left" vertical="center" wrapText="1"/>
      <protection/>
    </xf>
    <xf numFmtId="0" fontId="11" fillId="5" borderId="34" xfId="72" applyFont="1" applyFill="1" applyBorder="1" applyAlignment="1">
      <alignment horizontal="left" vertical="center" wrapText="1"/>
      <protection/>
    </xf>
    <xf numFmtId="0" fontId="94" fillId="0" borderId="80" xfId="0" applyFont="1" applyFill="1" applyBorder="1" applyAlignment="1">
      <alignment horizontal="center" vertical="center"/>
    </xf>
    <xf numFmtId="0" fontId="94" fillId="0" borderId="27" xfId="0" applyFont="1" applyFill="1" applyBorder="1" applyAlignment="1">
      <alignment horizontal="center" vertical="center"/>
    </xf>
    <xf numFmtId="0" fontId="94" fillId="0" borderId="28" xfId="0" applyFont="1" applyFill="1" applyBorder="1" applyAlignment="1">
      <alignment horizontal="center" vertical="center"/>
    </xf>
    <xf numFmtId="0" fontId="94" fillId="0" borderId="29" xfId="0" applyFont="1" applyFill="1" applyBorder="1" applyAlignment="1">
      <alignment horizontal="center" vertical="center"/>
    </xf>
    <xf numFmtId="0" fontId="94" fillId="0" borderId="81" xfId="0" applyFont="1" applyFill="1" applyBorder="1" applyAlignment="1">
      <alignment horizontal="center" vertical="center"/>
    </xf>
    <xf numFmtId="0" fontId="94" fillId="0" borderId="35"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88" fillId="0" borderId="82" xfId="0" applyFont="1" applyFill="1" applyBorder="1" applyAlignment="1">
      <alignment horizontal="center" vertical="center" wrapText="1"/>
    </xf>
    <xf numFmtId="0" fontId="88" fillId="0" borderId="45" xfId="0" applyFont="1" applyFill="1" applyBorder="1" applyAlignment="1">
      <alignment horizontal="center" vertical="center" wrapText="1"/>
    </xf>
    <xf numFmtId="0" fontId="0" fillId="0" borderId="82" xfId="0" applyFont="1" applyFill="1" applyBorder="1" applyAlignment="1">
      <alignment horizontal="center" vertical="center"/>
    </xf>
    <xf numFmtId="0" fontId="0" fillId="0" borderId="45" xfId="0" applyFont="1" applyFill="1" applyBorder="1" applyAlignment="1">
      <alignment horizontal="center" vertical="center"/>
    </xf>
    <xf numFmtId="0" fontId="11" fillId="5" borderId="80" xfId="72" applyFont="1" applyFill="1" applyBorder="1" applyAlignment="1" applyProtection="1">
      <alignment horizontal="left" vertical="center" wrapText="1"/>
      <protection/>
    </xf>
    <xf numFmtId="0" fontId="11" fillId="5" borderId="27" xfId="72" applyFont="1" applyFill="1" applyBorder="1" applyAlignment="1" applyProtection="1">
      <alignment horizontal="left" vertical="center" wrapText="1"/>
      <protection/>
    </xf>
    <xf numFmtId="0" fontId="11" fillId="5" borderId="28" xfId="72" applyFont="1" applyFill="1" applyBorder="1" applyAlignment="1" applyProtection="1">
      <alignment horizontal="left" vertical="center" wrapText="1"/>
      <protection/>
    </xf>
    <xf numFmtId="0" fontId="11" fillId="5" borderId="29" xfId="72" applyFont="1" applyFill="1" applyBorder="1" applyAlignment="1" applyProtection="1">
      <alignment horizontal="left" vertical="center" wrapText="1"/>
      <protection/>
    </xf>
    <xf numFmtId="0" fontId="11" fillId="5" borderId="81" xfId="72" applyFont="1" applyFill="1" applyBorder="1" applyAlignment="1" applyProtection="1">
      <alignment horizontal="left" vertical="center" wrapText="1"/>
      <protection/>
    </xf>
    <xf numFmtId="0" fontId="11" fillId="5" borderId="35" xfId="72" applyFont="1" applyFill="1" applyBorder="1" applyAlignment="1" applyProtection="1">
      <alignment horizontal="left" vertical="center" wrapText="1"/>
      <protection/>
    </xf>
    <xf numFmtId="0" fontId="101" fillId="0" borderId="83" xfId="0" applyFont="1" applyFill="1" applyBorder="1" applyAlignment="1">
      <alignment horizontal="center" vertical="center"/>
    </xf>
    <xf numFmtId="0" fontId="101" fillId="0" borderId="84" xfId="0" applyFont="1" applyFill="1" applyBorder="1" applyAlignment="1">
      <alignment horizontal="center" vertical="center"/>
    </xf>
    <xf numFmtId="0" fontId="101" fillId="0" borderId="85" xfId="0" applyFont="1" applyFill="1" applyBorder="1" applyAlignment="1">
      <alignment horizontal="center" vertical="center"/>
    </xf>
    <xf numFmtId="0" fontId="11" fillId="5" borderId="73" xfId="72" applyFont="1" applyFill="1" applyBorder="1" applyAlignment="1" applyProtection="1">
      <alignment horizontal="center" vertical="center" wrapText="1"/>
      <protection/>
    </xf>
    <xf numFmtId="0" fontId="11" fillId="0" borderId="80" xfId="72" applyFont="1" applyFill="1" applyBorder="1" applyAlignment="1">
      <alignment horizontal="center" vertical="center" wrapText="1"/>
      <protection/>
    </xf>
    <xf numFmtId="0" fontId="11" fillId="0" borderId="26" xfId="72" applyFont="1" applyFill="1" applyBorder="1" applyAlignment="1">
      <alignment horizontal="center" vertical="center" wrapText="1"/>
      <protection/>
    </xf>
    <xf numFmtId="0" fontId="11" fillId="0" borderId="27" xfId="72" applyFont="1" applyFill="1" applyBorder="1" applyAlignment="1">
      <alignment horizontal="center" vertical="center" wrapText="1"/>
      <protection/>
    </xf>
    <xf numFmtId="0" fontId="11" fillId="0" borderId="28" xfId="72" applyFont="1" applyFill="1" applyBorder="1" applyAlignment="1">
      <alignment horizontal="center" vertical="center" wrapText="1"/>
      <protection/>
    </xf>
    <xf numFmtId="0" fontId="11" fillId="0" borderId="0" xfId="72" applyFont="1" applyFill="1" applyBorder="1" applyAlignment="1">
      <alignment horizontal="center" vertical="center" wrapText="1"/>
      <protection/>
    </xf>
    <xf numFmtId="0" fontId="11" fillId="0" borderId="29" xfId="72" applyFont="1" applyFill="1" applyBorder="1" applyAlignment="1">
      <alignment horizontal="center" vertical="center" wrapText="1"/>
      <protection/>
    </xf>
    <xf numFmtId="0" fontId="11" fillId="0" borderId="81" xfId="72" applyFont="1" applyFill="1" applyBorder="1" applyAlignment="1">
      <alignment horizontal="center" vertical="center" wrapText="1"/>
      <protection/>
    </xf>
    <xf numFmtId="0" fontId="11" fillId="0" borderId="34" xfId="72" applyFont="1" applyFill="1" applyBorder="1" applyAlignment="1">
      <alignment horizontal="center" vertical="center" wrapText="1"/>
      <protection/>
    </xf>
    <xf numFmtId="0" fontId="11" fillId="0" borderId="35" xfId="72" applyFont="1" applyFill="1" applyBorder="1" applyAlignment="1">
      <alignment horizontal="center" vertical="center" wrapText="1"/>
      <protection/>
    </xf>
    <xf numFmtId="0" fontId="11" fillId="5" borderId="75" xfId="72" applyFont="1" applyFill="1" applyBorder="1" applyAlignment="1">
      <alignment horizontal="center" vertical="center" wrapText="1"/>
      <protection/>
    </xf>
    <xf numFmtId="0" fontId="10" fillId="0" borderId="80" xfId="72" applyFont="1" applyFill="1" applyBorder="1" applyAlignment="1" applyProtection="1">
      <alignment horizontal="center" vertical="center" wrapText="1"/>
      <protection/>
    </xf>
    <xf numFmtId="0" fontId="10" fillId="0" borderId="28" xfId="72" applyFont="1" applyFill="1" applyBorder="1" applyAlignment="1" applyProtection="1">
      <alignment horizontal="center" vertical="center" wrapText="1"/>
      <protection/>
    </xf>
    <xf numFmtId="0" fontId="10" fillId="0" borderId="81" xfId="72" applyFont="1" applyFill="1" applyBorder="1" applyAlignment="1" applyProtection="1">
      <alignment horizontal="center" vertical="center" wrapText="1"/>
      <protection/>
    </xf>
    <xf numFmtId="0" fontId="11" fillId="0" borderId="46" xfId="72" applyFont="1" applyFill="1" applyBorder="1" applyAlignment="1" applyProtection="1">
      <alignment horizontal="center" vertical="center"/>
      <protection/>
    </xf>
    <xf numFmtId="0" fontId="11" fillId="0" borderId="47" xfId="72" applyFont="1" applyFill="1" applyBorder="1" applyAlignment="1" applyProtection="1">
      <alignment horizontal="center" vertical="center"/>
      <protection/>
    </xf>
    <xf numFmtId="0" fontId="11" fillId="0" borderId="48" xfId="72" applyFont="1" applyFill="1" applyBorder="1" applyAlignment="1" applyProtection="1">
      <alignment horizontal="center" vertical="center"/>
      <protection/>
    </xf>
    <xf numFmtId="0" fontId="18" fillId="0" borderId="61" xfId="0" applyFont="1" applyFill="1" applyBorder="1" applyAlignment="1">
      <alignment horizontal="left" vertical="center" wrapText="1"/>
    </xf>
    <xf numFmtId="0" fontId="18" fillId="0" borderId="69" xfId="0" applyFont="1" applyFill="1" applyBorder="1" applyAlignment="1">
      <alignment horizontal="left" vertical="center" wrapText="1"/>
    </xf>
    <xf numFmtId="0" fontId="18" fillId="0" borderId="72" xfId="0" applyFont="1" applyFill="1" applyBorder="1" applyAlignment="1">
      <alignment horizontal="left" vertical="center" wrapText="1"/>
    </xf>
    <xf numFmtId="0" fontId="10" fillId="0" borderId="73" xfId="72" applyFont="1" applyFill="1" applyBorder="1" applyAlignment="1">
      <alignment horizontal="center" vertical="center" wrapText="1"/>
      <protection/>
    </xf>
    <xf numFmtId="0" fontId="10" fillId="0" borderId="75" xfId="72" applyFont="1" applyFill="1" applyBorder="1" applyAlignment="1">
      <alignment horizontal="center" vertical="center" wrapText="1"/>
      <protection/>
    </xf>
    <xf numFmtId="0" fontId="10" fillId="0" borderId="74" xfId="72" applyFont="1" applyFill="1" applyBorder="1" applyAlignment="1">
      <alignment horizontal="center" vertical="center" wrapText="1"/>
      <protection/>
    </xf>
    <xf numFmtId="0" fontId="11" fillId="5" borderId="28" xfId="72" applyFont="1" applyFill="1" applyBorder="1" applyAlignment="1" applyProtection="1">
      <alignment horizontal="center" vertical="center" wrapText="1"/>
      <protection/>
    </xf>
    <xf numFmtId="0" fontId="11" fillId="5" borderId="0" xfId="72" applyFont="1" applyFill="1" applyBorder="1" applyAlignment="1" applyProtection="1">
      <alignment horizontal="center" vertical="center" wrapText="1"/>
      <protection/>
    </xf>
    <xf numFmtId="0" fontId="11" fillId="5" borderId="29" xfId="72" applyFont="1" applyFill="1" applyBorder="1" applyAlignment="1" applyProtection="1">
      <alignment horizontal="center" vertical="center" wrapText="1"/>
      <protection/>
    </xf>
    <xf numFmtId="0" fontId="11" fillId="5" borderId="81" xfId="72" applyFont="1" applyFill="1" applyBorder="1" applyAlignment="1" applyProtection="1">
      <alignment horizontal="center" vertical="center" wrapText="1"/>
      <protection/>
    </xf>
    <xf numFmtId="0" fontId="11" fillId="5" borderId="34" xfId="72" applyFont="1" applyFill="1" applyBorder="1" applyAlignment="1" applyProtection="1">
      <alignment horizontal="center" vertical="center" wrapText="1"/>
      <protection/>
    </xf>
    <xf numFmtId="0" fontId="11" fillId="5" borderId="35" xfId="72" applyFont="1" applyFill="1" applyBorder="1" applyAlignment="1" applyProtection="1">
      <alignment horizontal="center" vertical="center" wrapText="1"/>
      <protection/>
    </xf>
    <xf numFmtId="9" fontId="11" fillId="0" borderId="73" xfId="72" applyNumberFormat="1" applyFont="1" applyFill="1" applyBorder="1" applyAlignment="1" applyProtection="1">
      <alignment horizontal="center" vertical="center" wrapText="1"/>
      <protection/>
    </xf>
    <xf numFmtId="9" fontId="11" fillId="0" borderId="74" xfId="72" applyNumberFormat="1" applyFont="1" applyFill="1" applyBorder="1" applyAlignment="1" applyProtection="1">
      <alignment horizontal="center" vertical="center" wrapText="1"/>
      <protection/>
    </xf>
    <xf numFmtId="0" fontId="11" fillId="38" borderId="39" xfId="72" applyFont="1" applyFill="1" applyBorder="1" applyAlignment="1" applyProtection="1">
      <alignment horizontal="center" vertical="center" wrapText="1"/>
      <protection/>
    </xf>
    <xf numFmtId="0" fontId="11" fillId="38" borderId="15" xfId="72" applyFont="1" applyFill="1" applyBorder="1" applyAlignment="1" applyProtection="1">
      <alignment horizontal="center" vertical="center" wrapText="1"/>
      <protection/>
    </xf>
    <xf numFmtId="0" fontId="11" fillId="38" borderId="19" xfId="72" applyFont="1" applyFill="1" applyBorder="1" applyAlignment="1" applyProtection="1">
      <alignment horizontal="center" vertical="center" wrapText="1"/>
      <protection/>
    </xf>
    <xf numFmtId="0" fontId="11" fillId="5" borderId="80" xfId="72" applyFont="1" applyFill="1" applyBorder="1" applyAlignment="1">
      <alignment horizontal="center" vertical="center" wrapText="1"/>
      <protection/>
    </xf>
    <xf numFmtId="0" fontId="11" fillId="5" borderId="27" xfId="72" applyFont="1" applyFill="1" applyBorder="1" applyAlignment="1">
      <alignment horizontal="center" vertical="center" wrapText="1"/>
      <protection/>
    </xf>
    <xf numFmtId="0" fontId="11" fillId="5" borderId="28" xfId="72" applyFont="1" applyFill="1" applyBorder="1" applyAlignment="1">
      <alignment horizontal="center" vertical="center" wrapText="1"/>
      <protection/>
    </xf>
    <xf numFmtId="0" fontId="11" fillId="5" borderId="29" xfId="72" applyFont="1" applyFill="1" applyBorder="1" applyAlignment="1">
      <alignment horizontal="center" vertical="center" wrapText="1"/>
      <protection/>
    </xf>
    <xf numFmtId="0" fontId="11" fillId="5" borderId="81" xfId="72" applyFont="1" applyFill="1" applyBorder="1" applyAlignment="1">
      <alignment horizontal="center" vertical="center" wrapText="1"/>
      <protection/>
    </xf>
    <xf numFmtId="0" fontId="11" fillId="5" borderId="35" xfId="72" applyFont="1" applyFill="1" applyBorder="1" applyAlignment="1">
      <alignment horizontal="center" vertical="center" wrapText="1"/>
      <protection/>
    </xf>
    <xf numFmtId="0" fontId="14" fillId="0" borderId="73" xfId="72" applyFont="1" applyFill="1" applyBorder="1" applyAlignment="1">
      <alignment horizontal="center" vertical="center" wrapText="1"/>
      <protection/>
    </xf>
    <xf numFmtId="0" fontId="14" fillId="0" borderId="75" xfId="72" applyFont="1" applyFill="1" applyBorder="1" applyAlignment="1">
      <alignment horizontal="center" vertical="center" wrapText="1"/>
      <protection/>
    </xf>
    <xf numFmtId="0" fontId="14" fillId="0" borderId="74" xfId="72" applyFont="1" applyFill="1" applyBorder="1" applyAlignment="1">
      <alignment horizontal="center" vertical="center" wrapText="1"/>
      <protection/>
    </xf>
    <xf numFmtId="0" fontId="11" fillId="38" borderId="0" xfId="72" applyFont="1" applyFill="1" applyBorder="1" applyAlignment="1" applyProtection="1">
      <alignment horizontal="center" vertical="center" wrapText="1"/>
      <protection/>
    </xf>
    <xf numFmtId="0" fontId="11" fillId="0" borderId="14" xfId="72" applyFont="1" applyFill="1" applyBorder="1" applyAlignment="1" applyProtection="1">
      <alignment horizontal="center" vertical="center" wrapText="1"/>
      <protection/>
    </xf>
    <xf numFmtId="0" fontId="11" fillId="0" borderId="70" xfId="72" applyFont="1" applyFill="1" applyBorder="1" applyAlignment="1" applyProtection="1">
      <alignment horizontal="center" vertical="center" wrapText="1"/>
      <protection/>
    </xf>
    <xf numFmtId="0" fontId="11" fillId="0" borderId="17" xfId="72" applyFont="1" applyFill="1" applyBorder="1" applyAlignment="1" applyProtection="1">
      <alignment horizontal="center" vertical="center" wrapText="1"/>
      <protection/>
    </xf>
    <xf numFmtId="0" fontId="11" fillId="38" borderId="18" xfId="72" applyFont="1" applyFill="1" applyBorder="1" applyAlignment="1" applyProtection="1">
      <alignment horizontal="center" vertical="center" wrapText="1"/>
      <protection/>
    </xf>
    <xf numFmtId="0" fontId="11" fillId="38" borderId="44" xfId="72" applyFont="1" applyFill="1" applyBorder="1" applyAlignment="1" applyProtection="1">
      <alignment horizontal="center" vertical="center" wrapText="1"/>
      <protection/>
    </xf>
    <xf numFmtId="0" fontId="11" fillId="0" borderId="61" xfId="0" applyFont="1" applyFill="1" applyBorder="1" applyAlignment="1">
      <alignment horizontal="left" vertical="center" wrapText="1"/>
    </xf>
    <xf numFmtId="0" fontId="11" fillId="0" borderId="69" xfId="0" applyFont="1" applyFill="1" applyBorder="1" applyAlignment="1">
      <alignment horizontal="left" vertical="center" wrapText="1"/>
    </xf>
    <xf numFmtId="0" fontId="11" fillId="0" borderId="72" xfId="0" applyFont="1" applyFill="1" applyBorder="1" applyAlignment="1">
      <alignment horizontal="left" vertical="center" wrapText="1"/>
    </xf>
    <xf numFmtId="0" fontId="11" fillId="0" borderId="80" xfId="72" applyFont="1" applyFill="1" applyBorder="1" applyAlignment="1" applyProtection="1">
      <alignment horizontal="center" vertical="center"/>
      <protection/>
    </xf>
    <xf numFmtId="0" fontId="11" fillId="0" borderId="26" xfId="72" applyFont="1" applyFill="1" applyBorder="1" applyAlignment="1" applyProtection="1">
      <alignment horizontal="center" vertical="center"/>
      <protection/>
    </xf>
    <xf numFmtId="0" fontId="11" fillId="0" borderId="27" xfId="72" applyFont="1" applyFill="1" applyBorder="1" applyAlignment="1" applyProtection="1">
      <alignment horizontal="center" vertical="center"/>
      <protection/>
    </xf>
    <xf numFmtId="0" fontId="11" fillId="0" borderId="28" xfId="72" applyFont="1" applyFill="1" applyBorder="1" applyAlignment="1" applyProtection="1">
      <alignment horizontal="center" vertical="center"/>
      <protection/>
    </xf>
    <xf numFmtId="0" fontId="11" fillId="0" borderId="0" xfId="72" applyFont="1" applyFill="1" applyBorder="1" applyAlignment="1" applyProtection="1">
      <alignment horizontal="center" vertical="center"/>
      <protection/>
    </xf>
    <xf numFmtId="0" fontId="11" fillId="0" borderId="29" xfId="72" applyFont="1" applyFill="1" applyBorder="1" applyAlignment="1" applyProtection="1">
      <alignment horizontal="center" vertical="center"/>
      <protection/>
    </xf>
    <xf numFmtId="0" fontId="11" fillId="0" borderId="28" xfId="72" applyFont="1" applyFill="1" applyBorder="1" applyAlignment="1" applyProtection="1">
      <alignment horizontal="center" vertical="center" wrapText="1"/>
      <protection/>
    </xf>
    <xf numFmtId="0" fontId="11" fillId="0" borderId="0" xfId="72" applyFont="1" applyFill="1" applyBorder="1" applyAlignment="1" applyProtection="1">
      <alignment horizontal="center" vertical="center" wrapText="1"/>
      <protection/>
    </xf>
    <xf numFmtId="0" fontId="11" fillId="0" borderId="29" xfId="72" applyFont="1" applyFill="1" applyBorder="1" applyAlignment="1" applyProtection="1">
      <alignment horizontal="center" vertical="center" wrapText="1"/>
      <protection/>
    </xf>
    <xf numFmtId="0" fontId="11" fillId="0" borderId="81" xfId="72" applyFont="1" applyFill="1" applyBorder="1" applyAlignment="1" applyProtection="1">
      <alignment horizontal="center" vertical="center" wrapText="1"/>
      <protection/>
    </xf>
    <xf numFmtId="0" fontId="11" fillId="0" borderId="34" xfId="72" applyFont="1" applyFill="1" applyBorder="1" applyAlignment="1" applyProtection="1">
      <alignment horizontal="center" vertical="center" wrapText="1"/>
      <protection/>
    </xf>
    <xf numFmtId="0" fontId="11" fillId="0" borderId="35" xfId="72" applyFont="1" applyFill="1" applyBorder="1" applyAlignment="1" applyProtection="1">
      <alignment horizontal="center" vertical="center" wrapText="1"/>
      <protection/>
    </xf>
    <xf numFmtId="188" fontId="11" fillId="38" borderId="40" xfId="66" applyNumberFormat="1" applyFont="1" applyFill="1" applyBorder="1" applyAlignment="1" applyProtection="1">
      <alignment horizontal="center" vertical="center" wrapText="1"/>
      <protection/>
    </xf>
    <xf numFmtId="188" fontId="11" fillId="38" borderId="86" xfId="66" applyNumberFormat="1" applyFont="1" applyFill="1" applyBorder="1" applyAlignment="1" applyProtection="1">
      <alignment horizontal="center" vertical="center" wrapText="1"/>
      <protection/>
    </xf>
    <xf numFmtId="188" fontId="11" fillId="38" borderId="79" xfId="66" applyNumberFormat="1" applyFont="1" applyFill="1" applyBorder="1" applyAlignment="1" applyProtection="1">
      <alignment horizontal="center" vertical="center" wrapText="1"/>
      <protection/>
    </xf>
    <xf numFmtId="0" fontId="11" fillId="39" borderId="28" xfId="72" applyFont="1" applyFill="1" applyBorder="1" applyAlignment="1" applyProtection="1">
      <alignment horizontal="center" vertical="center" wrapText="1"/>
      <protection/>
    </xf>
    <xf numFmtId="0" fontId="11" fillId="5" borderId="46" xfId="72" applyFont="1" applyFill="1" applyBorder="1" applyAlignment="1" applyProtection="1">
      <alignment horizontal="center" vertical="center" wrapText="1"/>
      <protection/>
    </xf>
    <xf numFmtId="0" fontId="11" fillId="5" borderId="47" xfId="72" applyFont="1" applyFill="1" applyBorder="1" applyAlignment="1" applyProtection="1">
      <alignment horizontal="center" vertical="center" wrapText="1"/>
      <protection/>
    </xf>
    <xf numFmtId="0" fontId="11" fillId="5" borderId="48" xfId="72" applyFont="1" applyFill="1" applyBorder="1" applyAlignment="1" applyProtection="1">
      <alignment horizontal="center" vertical="center" wrapText="1"/>
      <protection/>
    </xf>
    <xf numFmtId="188" fontId="11" fillId="38" borderId="14" xfId="66" applyNumberFormat="1" applyFont="1" applyFill="1" applyBorder="1" applyAlignment="1" applyProtection="1">
      <alignment horizontal="center" vertical="center"/>
      <protection/>
    </xf>
    <xf numFmtId="188" fontId="11" fillId="38" borderId="17" xfId="66" applyNumberFormat="1" applyFont="1" applyFill="1" applyBorder="1" applyAlignment="1" applyProtection="1">
      <alignment horizontal="center" vertical="center"/>
      <protection/>
    </xf>
    <xf numFmtId="0" fontId="94" fillId="0" borderId="83" xfId="0" applyFont="1" applyFill="1" applyBorder="1" applyAlignment="1">
      <alignment horizontal="center" vertical="center"/>
    </xf>
    <xf numFmtId="0" fontId="94" fillId="0" borderId="85" xfId="0" applyFont="1" applyFill="1" applyBorder="1" applyAlignment="1">
      <alignment horizontal="center" vertical="center"/>
    </xf>
    <xf numFmtId="0" fontId="10" fillId="0" borderId="83" xfId="72" applyFont="1" applyFill="1" applyBorder="1" applyAlignment="1" applyProtection="1">
      <alignment horizontal="center" vertical="center" wrapText="1"/>
      <protection/>
    </xf>
    <xf numFmtId="0" fontId="10" fillId="0" borderId="84" xfId="72" applyFont="1" applyFill="1" applyBorder="1" applyAlignment="1" applyProtection="1">
      <alignment horizontal="center" vertical="center" wrapText="1"/>
      <protection/>
    </xf>
    <xf numFmtId="0" fontId="10" fillId="0" borderId="85" xfId="72" applyFont="1" applyFill="1" applyBorder="1" applyAlignment="1" applyProtection="1">
      <alignment horizontal="center" vertical="center" wrapText="1"/>
      <protection/>
    </xf>
    <xf numFmtId="0" fontId="11" fillId="43" borderId="17" xfId="0" applyFont="1" applyFill="1" applyBorder="1" applyAlignment="1">
      <alignment horizontal="left" vertical="center" wrapText="1"/>
    </xf>
    <xf numFmtId="0" fontId="11" fillId="43" borderId="13" xfId="0" applyFont="1" applyFill="1" applyBorder="1" applyAlignment="1">
      <alignment horizontal="left" vertical="center" wrapText="1"/>
    </xf>
    <xf numFmtId="0" fontId="11" fillId="43" borderId="21" xfId="0" applyFont="1" applyFill="1" applyBorder="1" applyAlignment="1">
      <alignment horizontal="left" vertical="center" wrapText="1"/>
    </xf>
    <xf numFmtId="0" fontId="91" fillId="0" borderId="79" xfId="0" applyFont="1" applyBorder="1" applyAlignment="1">
      <alignment horizontal="left" vertical="center" wrapText="1"/>
    </xf>
    <xf numFmtId="0" fontId="91" fillId="0" borderId="38" xfId="0" applyFont="1" applyBorder="1" applyAlignment="1">
      <alignment horizontal="left" vertical="center" wrapText="1"/>
    </xf>
    <xf numFmtId="0" fontId="91" fillId="0" borderId="52" xfId="0" applyFont="1" applyBorder="1" applyAlignment="1">
      <alignment horizontal="left" vertical="center" wrapText="1"/>
    </xf>
    <xf numFmtId="0" fontId="11" fillId="5" borderId="26" xfId="72" applyFont="1" applyFill="1" applyBorder="1" applyAlignment="1">
      <alignment horizontal="center" vertical="center" wrapText="1"/>
      <protection/>
    </xf>
    <xf numFmtId="0" fontId="11" fillId="5" borderId="0" xfId="72" applyFont="1" applyFill="1" applyBorder="1" applyAlignment="1">
      <alignment horizontal="center" vertical="center" wrapText="1"/>
      <protection/>
    </xf>
    <xf numFmtId="0" fontId="11" fillId="5" borderId="34" xfId="72" applyFont="1" applyFill="1" applyBorder="1" applyAlignment="1">
      <alignment horizontal="center" vertical="center" wrapText="1"/>
      <protection/>
    </xf>
    <xf numFmtId="188" fontId="11" fillId="38" borderId="14" xfId="66" applyNumberFormat="1" applyFont="1" applyFill="1" applyBorder="1" applyAlignment="1" applyProtection="1">
      <alignment horizontal="center" vertical="center" wrapText="1"/>
      <protection/>
    </xf>
    <xf numFmtId="188" fontId="11" fillId="38" borderId="17" xfId="66" applyNumberFormat="1" applyFont="1" applyFill="1" applyBorder="1" applyAlignment="1" applyProtection="1">
      <alignment horizontal="center" vertical="center" wrapText="1"/>
      <protection/>
    </xf>
    <xf numFmtId="0" fontId="11" fillId="38" borderId="14" xfId="72" applyFont="1" applyFill="1" applyBorder="1" applyAlignment="1" applyProtection="1">
      <alignment horizontal="center" vertical="center" wrapText="1"/>
      <protection/>
    </xf>
    <xf numFmtId="0" fontId="11" fillId="38" borderId="17" xfId="72" applyFont="1" applyFill="1" applyBorder="1" applyAlignment="1" applyProtection="1">
      <alignment horizontal="center" vertical="center" wrapText="1"/>
      <protection/>
    </xf>
    <xf numFmtId="0" fontId="11" fillId="0" borderId="45" xfId="72" applyFont="1" applyFill="1" applyBorder="1" applyAlignment="1" applyProtection="1">
      <alignment horizontal="center" vertical="center" wrapText="1"/>
      <protection/>
    </xf>
    <xf numFmtId="188" fontId="11" fillId="38" borderId="76" xfId="66" applyNumberFormat="1" applyFont="1" applyFill="1" applyBorder="1" applyAlignment="1" applyProtection="1">
      <alignment horizontal="center" vertical="center" wrapText="1"/>
      <protection/>
    </xf>
    <xf numFmtId="0" fontId="11" fillId="38" borderId="82" xfId="72" applyFont="1" applyFill="1" applyBorder="1" applyAlignment="1" applyProtection="1">
      <alignment horizontal="center" vertical="center" wrapText="1"/>
      <protection/>
    </xf>
    <xf numFmtId="0" fontId="11" fillId="38" borderId="70" xfId="72" applyFont="1" applyFill="1" applyBorder="1" applyAlignment="1" applyProtection="1">
      <alignment horizontal="center" vertical="center" wrapText="1"/>
      <protection/>
    </xf>
    <xf numFmtId="188" fontId="11" fillId="0" borderId="14" xfId="66" applyNumberFormat="1" applyFont="1" applyFill="1" applyBorder="1" applyAlignment="1" applyProtection="1">
      <alignment horizontal="center" vertical="center" wrapText="1"/>
      <protection/>
    </xf>
    <xf numFmtId="188" fontId="11" fillId="0" borderId="45" xfId="66" applyNumberFormat="1" applyFont="1" applyFill="1" applyBorder="1" applyAlignment="1" applyProtection="1">
      <alignment horizontal="center" vertical="center" wrapText="1"/>
      <protection/>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91" fillId="0" borderId="13" xfId="0" applyFont="1" applyBorder="1" applyAlignment="1">
      <alignment horizontal="left" vertical="center" wrapText="1"/>
    </xf>
    <xf numFmtId="0" fontId="91" fillId="0" borderId="39" xfId="0" applyFont="1" applyBorder="1" applyAlignment="1">
      <alignment horizontal="center" vertical="center"/>
    </xf>
    <xf numFmtId="0" fontId="91" fillId="0" borderId="15" xfId="0" applyFont="1" applyBorder="1" applyAlignment="1">
      <alignment horizontal="center" vertical="center"/>
    </xf>
    <xf numFmtId="0" fontId="91" fillId="0" borderId="44" xfId="0" applyFont="1" applyBorder="1" applyAlignment="1">
      <alignment horizontal="center" vertical="center"/>
    </xf>
    <xf numFmtId="0" fontId="91" fillId="11" borderId="14" xfId="0" applyFont="1" applyFill="1" applyBorder="1" applyAlignment="1">
      <alignment horizontal="center" vertical="center"/>
    </xf>
    <xf numFmtId="0" fontId="91" fillId="11" borderId="70" xfId="0" applyFont="1" applyFill="1" applyBorder="1" applyAlignment="1">
      <alignment horizontal="center" vertical="center"/>
    </xf>
    <xf numFmtId="0" fontId="91" fillId="11" borderId="17" xfId="0" applyFont="1" applyFill="1" applyBorder="1" applyAlignment="1">
      <alignment horizontal="center" vertical="center"/>
    </xf>
    <xf numFmtId="0" fontId="91" fillId="11" borderId="39" xfId="0" applyFont="1" applyFill="1" applyBorder="1" applyAlignment="1">
      <alignment horizontal="left" vertical="center"/>
    </xf>
    <xf numFmtId="0" fontId="91" fillId="11" borderId="15" xfId="0" applyFont="1" applyFill="1" applyBorder="1" applyAlignment="1">
      <alignment horizontal="left" vertical="center"/>
    </xf>
    <xf numFmtId="0" fontId="91" fillId="11" borderId="44" xfId="0" applyFont="1" applyFill="1" applyBorder="1" applyAlignment="1">
      <alignment horizontal="left" vertical="center"/>
    </xf>
    <xf numFmtId="0" fontId="91" fillId="0" borderId="14" xfId="0" applyFont="1" applyFill="1" applyBorder="1" applyAlignment="1">
      <alignment horizontal="center" vertical="center"/>
    </xf>
    <xf numFmtId="0" fontId="91" fillId="0" borderId="70" xfId="0" applyFont="1" applyFill="1" applyBorder="1" applyAlignment="1">
      <alignment horizontal="center" vertical="center"/>
    </xf>
    <xf numFmtId="0" fontId="91" fillId="0" borderId="17" xfId="0" applyFont="1" applyFill="1" applyBorder="1" applyAlignment="1">
      <alignment horizontal="center" vertical="center"/>
    </xf>
    <xf numFmtId="0" fontId="91" fillId="0" borderId="64" xfId="0" applyFont="1" applyBorder="1" applyAlignment="1">
      <alignment horizontal="center" vertical="center"/>
    </xf>
    <xf numFmtId="0" fontId="91" fillId="0" borderId="41" xfId="0" applyFont="1" applyBorder="1" applyAlignment="1">
      <alignment horizontal="center" vertical="center"/>
    </xf>
    <xf numFmtId="0" fontId="91" fillId="0" borderId="42" xfId="0" applyFont="1" applyBorder="1" applyAlignment="1">
      <alignment horizontal="center" vertical="center"/>
    </xf>
    <xf numFmtId="0" fontId="91" fillId="11" borderId="14" xfId="0" applyFont="1" applyFill="1" applyBorder="1" applyAlignment="1">
      <alignment horizontal="center" vertical="center" wrapText="1"/>
    </xf>
    <xf numFmtId="0" fontId="91" fillId="11" borderId="17" xfId="0" applyFont="1" applyFill="1" applyBorder="1" applyAlignment="1">
      <alignment horizontal="center" vertical="center" wrapText="1"/>
    </xf>
    <xf numFmtId="0" fontId="11" fillId="38" borderId="13" xfId="72" applyFont="1" applyFill="1" applyBorder="1" applyAlignment="1">
      <alignment horizontal="left" vertical="center" wrapText="1"/>
      <protection/>
    </xf>
    <xf numFmtId="0" fontId="91" fillId="11" borderId="22" xfId="0" applyFont="1" applyFill="1" applyBorder="1" applyAlignment="1">
      <alignment horizontal="center" vertical="center" wrapText="1"/>
    </xf>
    <xf numFmtId="0" fontId="91" fillId="11" borderId="16" xfId="0" applyFont="1" applyFill="1" applyBorder="1" applyAlignment="1">
      <alignment horizontal="center" vertical="center" wrapText="1"/>
    </xf>
    <xf numFmtId="0" fontId="91" fillId="11" borderId="70" xfId="0" applyFont="1" applyFill="1" applyBorder="1" applyAlignment="1">
      <alignment horizontal="center" vertical="center" wrapText="1"/>
    </xf>
    <xf numFmtId="0" fontId="91" fillId="41" borderId="13" xfId="72" applyFont="1" applyFill="1" applyBorder="1" applyAlignment="1">
      <alignment horizontal="center" vertical="center" wrapText="1"/>
      <protection/>
    </xf>
    <xf numFmtId="0" fontId="11" fillId="41" borderId="13" xfId="72" applyFont="1" applyFill="1" applyBorder="1" applyAlignment="1">
      <alignment horizontal="center" vertical="center" wrapText="1"/>
      <protection/>
    </xf>
    <xf numFmtId="0" fontId="89" fillId="0" borderId="14" xfId="0" applyFont="1" applyBorder="1" applyAlignment="1">
      <alignment horizontal="left" vertical="center"/>
    </xf>
    <xf numFmtId="0" fontId="89" fillId="0" borderId="70" xfId="0" applyFont="1" applyBorder="1" applyAlignment="1">
      <alignment horizontal="left" vertical="center"/>
    </xf>
    <xf numFmtId="0" fontId="89" fillId="0" borderId="17" xfId="0" applyFont="1" applyBorder="1" applyAlignment="1">
      <alignment horizontal="left" vertical="center"/>
    </xf>
    <xf numFmtId="0" fontId="91" fillId="11" borderId="54" xfId="0" applyFont="1" applyFill="1" applyBorder="1" applyAlignment="1">
      <alignment horizontal="center" vertical="center" wrapText="1"/>
    </xf>
    <xf numFmtId="0" fontId="91" fillId="0" borderId="13" xfId="0" applyFont="1" applyFill="1" applyBorder="1" applyAlignment="1">
      <alignment horizontal="center" vertical="center" wrapText="1"/>
    </xf>
    <xf numFmtId="0" fontId="91" fillId="11" borderId="64" xfId="0" applyFont="1" applyFill="1" applyBorder="1" applyAlignment="1">
      <alignment horizontal="center" vertical="center"/>
    </xf>
    <xf numFmtId="0" fontId="91" fillId="11" borderId="41" xfId="0" applyFont="1" applyFill="1" applyBorder="1" applyAlignment="1">
      <alignment horizontal="center" vertical="center"/>
    </xf>
    <xf numFmtId="0" fontId="91" fillId="11" borderId="42" xfId="0" applyFont="1" applyFill="1" applyBorder="1" applyAlignment="1">
      <alignment horizontal="center" vertical="center"/>
    </xf>
    <xf numFmtId="0" fontId="91" fillId="11" borderId="66" xfId="0" applyFont="1" applyFill="1" applyBorder="1" applyAlignment="1">
      <alignment horizontal="center" vertical="center"/>
    </xf>
    <xf numFmtId="0" fontId="91" fillId="11" borderId="0" xfId="0" applyFont="1" applyFill="1" applyBorder="1" applyAlignment="1">
      <alignment horizontal="center" vertical="center"/>
    </xf>
    <xf numFmtId="0" fontId="91" fillId="11" borderId="43" xfId="0" applyFont="1" applyFill="1" applyBorder="1" applyAlignment="1">
      <alignment horizontal="center" vertical="center"/>
    </xf>
    <xf numFmtId="0" fontId="91" fillId="11" borderId="39" xfId="0" applyFont="1" applyFill="1" applyBorder="1" applyAlignment="1">
      <alignment horizontal="center" vertical="center"/>
    </xf>
    <xf numFmtId="0" fontId="91" fillId="11" borderId="15" xfId="0" applyFont="1" applyFill="1" applyBorder="1" applyAlignment="1">
      <alignment horizontal="center" vertical="center"/>
    </xf>
    <xf numFmtId="0" fontId="91" fillId="11" borderId="44" xfId="0" applyFont="1" applyFill="1" applyBorder="1" applyAlignment="1">
      <alignment horizontal="center" vertical="center"/>
    </xf>
    <xf numFmtId="0" fontId="91" fillId="11" borderId="13" xfId="0" applyFont="1" applyFill="1" applyBorder="1" applyAlignment="1">
      <alignment horizontal="center" vertical="center"/>
    </xf>
    <xf numFmtId="0" fontId="102" fillId="0" borderId="13" xfId="0" applyFont="1" applyFill="1" applyBorder="1" applyAlignment="1">
      <alignment horizontal="center" vertical="center"/>
    </xf>
    <xf numFmtId="0" fontId="91" fillId="11" borderId="14" xfId="0" applyFont="1" applyFill="1" applyBorder="1" applyAlignment="1">
      <alignment horizontal="left" vertical="center"/>
    </xf>
    <xf numFmtId="0" fontId="91" fillId="11" borderId="70" xfId="0" applyFont="1" applyFill="1" applyBorder="1" applyAlignment="1">
      <alignment horizontal="left" vertical="center"/>
    </xf>
    <xf numFmtId="0" fontId="91" fillId="11" borderId="17" xfId="0" applyFont="1" applyFill="1" applyBorder="1" applyAlignment="1">
      <alignment horizontal="left" vertical="center"/>
    </xf>
    <xf numFmtId="0" fontId="89" fillId="0" borderId="39" xfId="0" applyFont="1" applyBorder="1" applyAlignment="1">
      <alignment horizontal="center" vertical="center"/>
    </xf>
    <xf numFmtId="0" fontId="89" fillId="0" borderId="15" xfId="0" applyFont="1" applyBorder="1" applyAlignment="1">
      <alignment horizontal="center" vertical="center"/>
    </xf>
    <xf numFmtId="0" fontId="89" fillId="0" borderId="70" xfId="0" applyFont="1" applyBorder="1" applyAlignment="1">
      <alignment horizontal="center" vertical="center"/>
    </xf>
    <xf numFmtId="0" fontId="89" fillId="0" borderId="17" xfId="0" applyFont="1" applyBorder="1" applyAlignment="1">
      <alignment horizontal="center" vertical="center"/>
    </xf>
    <xf numFmtId="0" fontId="89" fillId="0" borderId="14" xfId="0" applyFont="1" applyBorder="1" applyAlignment="1">
      <alignment horizontal="center" vertical="center"/>
    </xf>
    <xf numFmtId="0" fontId="91" fillId="0" borderId="64" xfId="0" applyFont="1" applyBorder="1" applyAlignment="1">
      <alignment vertical="center" wrapText="1"/>
    </xf>
    <xf numFmtId="0" fontId="91" fillId="0" borderId="41" xfId="0" applyFont="1" applyBorder="1" applyAlignment="1">
      <alignment vertical="center" wrapText="1"/>
    </xf>
    <xf numFmtId="0" fontId="91" fillId="0" borderId="42" xfId="0" applyFont="1" applyBorder="1" applyAlignment="1">
      <alignment vertical="center" wrapText="1"/>
    </xf>
    <xf numFmtId="0" fontId="91"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13" xfId="0" applyFont="1" applyFill="1" applyBorder="1" applyAlignment="1">
      <alignment horizontal="center" vertical="center"/>
    </xf>
    <xf numFmtId="0" fontId="11" fillId="11" borderId="70" xfId="0" applyFont="1" applyFill="1" applyBorder="1" applyAlignment="1">
      <alignment horizontal="center"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91" fillId="17" borderId="14" xfId="0" applyFont="1" applyFill="1" applyBorder="1" applyAlignment="1">
      <alignment horizontal="center" vertical="center"/>
    </xf>
    <xf numFmtId="0" fontId="91" fillId="17" borderId="17" xfId="0" applyFont="1" applyFill="1" applyBorder="1" applyAlignment="1">
      <alignment horizontal="center" vertical="center"/>
    </xf>
    <xf numFmtId="0" fontId="91" fillId="0" borderId="14" xfId="0" applyFont="1" applyFill="1" applyBorder="1" applyAlignment="1">
      <alignment horizontal="left" vertical="center" wrapText="1"/>
    </xf>
    <xf numFmtId="0" fontId="91" fillId="0" borderId="17" xfId="0" applyFont="1" applyFill="1" applyBorder="1" applyAlignment="1">
      <alignment horizontal="left" vertical="center" wrapText="1"/>
    </xf>
    <xf numFmtId="0" fontId="89" fillId="0" borderId="22" xfId="0" applyFont="1" applyFill="1" applyBorder="1" applyAlignment="1">
      <alignment horizontal="left" vertical="center" wrapText="1"/>
    </xf>
    <xf numFmtId="0" fontId="89" fillId="0" borderId="54" xfId="0" applyFont="1" applyFill="1" applyBorder="1" applyAlignment="1">
      <alignment horizontal="left" vertical="center" wrapText="1"/>
    </xf>
    <xf numFmtId="0" fontId="89" fillId="0" borderId="16" xfId="0" applyFont="1" applyFill="1" applyBorder="1" applyAlignment="1">
      <alignment horizontal="left" vertical="center" wrapText="1"/>
    </xf>
    <xf numFmtId="41" fontId="89" fillId="0" borderId="64" xfId="60" applyFont="1" applyFill="1" applyBorder="1" applyAlignment="1">
      <alignment horizontal="left" vertical="center"/>
    </xf>
    <xf numFmtId="41" fontId="89" fillId="0" borderId="66" xfId="60" applyFont="1" applyFill="1" applyBorder="1" applyAlignment="1">
      <alignment horizontal="left" vertical="center"/>
    </xf>
    <xf numFmtId="41" fontId="89" fillId="0" borderId="39" xfId="60" applyFont="1" applyFill="1" applyBorder="1" applyAlignment="1">
      <alignment horizontal="left" vertical="center"/>
    </xf>
    <xf numFmtId="189" fontId="88" fillId="0" borderId="13" xfId="58" applyNumberFormat="1" applyFont="1" applyBorder="1" applyAlignment="1">
      <alignment horizontal="center" vertical="center" wrapText="1"/>
    </xf>
    <xf numFmtId="189" fontId="88" fillId="0" borderId="13" xfId="58" applyNumberFormat="1" applyFont="1" applyBorder="1" applyAlignment="1">
      <alignment horizontal="center" vertical="center"/>
    </xf>
    <xf numFmtId="189" fontId="88" fillId="0" borderId="14" xfId="58" applyNumberFormat="1" applyFont="1" applyBorder="1" applyAlignment="1">
      <alignment horizontal="center" vertical="center"/>
    </xf>
    <xf numFmtId="189" fontId="88" fillId="0" borderId="70" xfId="58" applyNumberFormat="1" applyFont="1" applyBorder="1" applyAlignment="1">
      <alignment horizontal="center" vertical="center"/>
    </xf>
    <xf numFmtId="189" fontId="88" fillId="0" borderId="17" xfId="58" applyNumberFormat="1" applyFont="1" applyBorder="1" applyAlignment="1">
      <alignment horizontal="center" vertical="center"/>
    </xf>
    <xf numFmtId="9" fontId="10" fillId="38" borderId="39" xfId="72" applyNumberFormat="1" applyFont="1" applyFill="1" applyBorder="1" applyAlignment="1">
      <alignment horizontal="left" vertical="center" wrapText="1"/>
      <protection/>
    </xf>
    <xf numFmtId="9" fontId="10" fillId="38" borderId="70" xfId="72" applyNumberFormat="1" applyFont="1" applyFill="1" applyBorder="1" applyAlignment="1">
      <alignment horizontal="left" vertical="center" wrapText="1"/>
      <protection/>
    </xf>
    <xf numFmtId="9" fontId="10" fillId="38" borderId="17" xfId="72" applyNumberFormat="1" applyFont="1" applyFill="1" applyBorder="1" applyAlignment="1">
      <alignment horizontal="left" vertical="center" wrapText="1"/>
      <protection/>
    </xf>
    <xf numFmtId="9" fontId="10" fillId="0" borderId="64" xfId="72" applyNumberFormat="1" applyFont="1" applyBorder="1" applyAlignment="1">
      <alignment horizontal="left" vertical="center" wrapText="1"/>
      <protection/>
    </xf>
    <xf numFmtId="9" fontId="10" fillId="0" borderId="41" xfId="72" applyNumberFormat="1" applyFont="1" applyBorder="1" applyAlignment="1">
      <alignment horizontal="left" vertical="center" wrapText="1"/>
      <protection/>
    </xf>
    <xf numFmtId="9" fontId="10" fillId="0" borderId="42" xfId="72" applyNumberFormat="1" applyFont="1" applyBorder="1" applyAlignment="1">
      <alignment horizontal="left" vertical="center" wrapText="1"/>
      <protection/>
    </xf>
    <xf numFmtId="9" fontId="10" fillId="0" borderId="39" xfId="72" applyNumberFormat="1" applyFont="1" applyBorder="1" applyAlignment="1">
      <alignment horizontal="left" vertical="center" wrapText="1"/>
      <protection/>
    </xf>
    <xf numFmtId="9" fontId="10" fillId="0" borderId="15" xfId="72" applyNumberFormat="1" applyFont="1" applyBorder="1" applyAlignment="1">
      <alignment horizontal="left" vertical="center" wrapText="1"/>
      <protection/>
    </xf>
    <xf numFmtId="9" fontId="10" fillId="0" borderId="44" xfId="72" applyNumberFormat="1" applyFont="1" applyBorder="1" applyAlignment="1">
      <alignment horizontal="left" vertical="center" wrapText="1"/>
      <protection/>
    </xf>
    <xf numFmtId="14" fontId="94" fillId="0" borderId="80" xfId="0" applyNumberFormat="1" applyFont="1" applyBorder="1" applyAlignment="1">
      <alignment horizontal="center" vertical="center"/>
    </xf>
    <xf numFmtId="0" fontId="94" fillId="0" borderId="27" xfId="0" applyFont="1" applyBorder="1" applyAlignment="1">
      <alignment horizontal="center" vertical="center"/>
    </xf>
    <xf numFmtId="0" fontId="94" fillId="0" borderId="28" xfId="0" applyFont="1" applyBorder="1" applyAlignment="1">
      <alignment horizontal="center" vertical="center"/>
    </xf>
    <xf numFmtId="0" fontId="94" fillId="0" borderId="29" xfId="0" applyFont="1" applyBorder="1" applyAlignment="1">
      <alignment horizontal="center" vertical="center"/>
    </xf>
    <xf numFmtId="0" fontId="94" fillId="0" borderId="81" xfId="0" applyFont="1" applyBorder="1" applyAlignment="1">
      <alignment horizontal="center" vertical="center"/>
    </xf>
    <xf numFmtId="0" fontId="94" fillId="0" borderId="35" xfId="0" applyFont="1" applyBorder="1" applyAlignment="1">
      <alignment horizontal="center" vertical="center"/>
    </xf>
    <xf numFmtId="0" fontId="88" fillId="0" borderId="78" xfId="0" applyFont="1" applyBorder="1" applyAlignment="1">
      <alignment horizontal="center" vertical="center" wrapText="1"/>
    </xf>
    <xf numFmtId="0" fontId="88" fillId="0" borderId="62" xfId="0" applyFont="1" applyBorder="1" applyAlignment="1">
      <alignment horizontal="center" vertical="center" wrapText="1"/>
    </xf>
    <xf numFmtId="0" fontId="10" fillId="0" borderId="80" xfId="72" applyFont="1" applyBorder="1" applyAlignment="1">
      <alignment horizontal="center" vertical="center" wrapText="1"/>
      <protection/>
    </xf>
    <xf numFmtId="0" fontId="10" fillId="0" borderId="28" xfId="72" applyFont="1" applyBorder="1" applyAlignment="1">
      <alignment horizontal="center" vertical="center" wrapText="1"/>
      <protection/>
    </xf>
    <xf numFmtId="0" fontId="10" fillId="0" borderId="81" xfId="72" applyFont="1" applyBorder="1" applyAlignment="1">
      <alignment horizontal="center" vertical="center" wrapText="1"/>
      <protection/>
    </xf>
    <xf numFmtId="0" fontId="11" fillId="0" borderId="46" xfId="72" applyFont="1" applyBorder="1" applyAlignment="1">
      <alignment horizontal="center" vertical="center"/>
      <protection/>
    </xf>
    <xf numFmtId="0" fontId="11" fillId="0" borderId="47" xfId="72" applyFont="1" applyBorder="1" applyAlignment="1">
      <alignment horizontal="center" vertical="center"/>
      <protection/>
    </xf>
    <xf numFmtId="0" fontId="11" fillId="0" borderId="48" xfId="72" applyFont="1" applyBorder="1" applyAlignment="1">
      <alignment horizontal="center" vertical="center"/>
      <protection/>
    </xf>
    <xf numFmtId="0" fontId="18" fillId="0" borderId="61" xfId="0" applyFont="1" applyBorder="1" applyAlignment="1">
      <alignment horizontal="left" vertical="center" wrapText="1"/>
    </xf>
    <xf numFmtId="0" fontId="18" fillId="0" borderId="69" xfId="0" applyFont="1" applyBorder="1" applyAlignment="1">
      <alignment horizontal="left" vertical="center" wrapText="1"/>
    </xf>
    <xf numFmtId="0" fontId="18" fillId="0" borderId="72" xfId="0" applyFont="1" applyBorder="1" applyAlignment="1">
      <alignment horizontal="left" vertical="center" wrapText="1"/>
    </xf>
    <xf numFmtId="0" fontId="18" fillId="0" borderId="17" xfId="0" applyFont="1" applyBorder="1" applyAlignment="1">
      <alignment horizontal="left" vertical="center" wrapText="1"/>
    </xf>
    <xf numFmtId="0" fontId="18" fillId="0" borderId="13" xfId="0" applyFont="1" applyBorder="1" applyAlignment="1">
      <alignment horizontal="left" vertical="center" wrapText="1"/>
    </xf>
    <xf numFmtId="0" fontId="18" fillId="0" borderId="21" xfId="0" applyFont="1" applyBorder="1" applyAlignment="1">
      <alignment horizontal="left" vertical="center" wrapText="1"/>
    </xf>
    <xf numFmtId="0" fontId="11" fillId="0" borderId="67" xfId="72" applyFont="1" applyBorder="1" applyAlignment="1">
      <alignment horizontal="center" vertical="center" wrapText="1"/>
      <protection/>
    </xf>
    <xf numFmtId="0" fontId="11" fillId="0" borderId="69" xfId="72" applyFont="1" applyBorder="1" applyAlignment="1">
      <alignment horizontal="center" vertical="center" wrapText="1"/>
      <protection/>
    </xf>
    <xf numFmtId="0" fontId="11" fillId="0" borderId="72" xfId="72" applyFont="1" applyBorder="1" applyAlignment="1">
      <alignment horizontal="center" vertical="center" wrapText="1"/>
      <protection/>
    </xf>
    <xf numFmtId="0" fontId="11" fillId="0" borderId="50" xfId="72" applyFont="1" applyBorder="1" applyAlignment="1">
      <alignment horizontal="center" vertical="center" wrapText="1"/>
      <protection/>
    </xf>
    <xf numFmtId="0" fontId="11" fillId="0" borderId="38" xfId="72" applyFont="1" applyBorder="1" applyAlignment="1">
      <alignment horizontal="center" vertical="center" wrapText="1"/>
      <protection/>
    </xf>
    <xf numFmtId="0" fontId="11" fillId="0" borderId="52" xfId="72" applyFont="1" applyBorder="1" applyAlignment="1">
      <alignment horizontal="center" vertical="center" wrapText="1"/>
      <protection/>
    </xf>
    <xf numFmtId="0" fontId="0" fillId="0" borderId="78" xfId="0" applyBorder="1" applyAlignment="1">
      <alignment horizontal="center" vertical="center"/>
    </xf>
    <xf numFmtId="0" fontId="0" fillId="0" borderId="62" xfId="0" applyBorder="1" applyAlignment="1">
      <alignment horizontal="center" vertical="center"/>
    </xf>
    <xf numFmtId="0" fontId="88" fillId="0" borderId="82" xfId="0" applyFont="1" applyBorder="1" applyAlignment="1">
      <alignment horizontal="center" vertical="center" wrapText="1"/>
    </xf>
    <xf numFmtId="0" fontId="88" fillId="0" borderId="45" xfId="0" applyFont="1" applyBorder="1" applyAlignment="1">
      <alignment horizontal="center" vertical="center" wrapText="1"/>
    </xf>
    <xf numFmtId="0" fontId="0" fillId="0" borderId="82" xfId="0" applyBorder="1" applyAlignment="1">
      <alignment horizontal="center" vertical="center"/>
    </xf>
    <xf numFmtId="0" fontId="0" fillId="0" borderId="45" xfId="0" applyBorder="1" applyAlignment="1">
      <alignment horizontal="center" vertical="center"/>
    </xf>
    <xf numFmtId="0" fontId="88" fillId="0" borderId="76" xfId="0" applyFont="1" applyBorder="1" applyAlignment="1">
      <alignment horizontal="center" vertical="center" wrapText="1"/>
    </xf>
    <xf numFmtId="0" fontId="88" fillId="0" borderId="77" xfId="0" applyFont="1" applyBorder="1" applyAlignment="1">
      <alignment horizontal="center" vertical="center" wrapText="1"/>
    </xf>
    <xf numFmtId="0" fontId="0" fillId="0" borderId="76" xfId="0" applyBorder="1" applyAlignment="1">
      <alignment horizontal="center" vertical="center"/>
    </xf>
    <xf numFmtId="0" fontId="0" fillId="0" borderId="77" xfId="0" applyBorder="1" applyAlignment="1">
      <alignment horizontal="center" vertical="center"/>
    </xf>
    <xf numFmtId="0" fontId="11" fillId="0" borderId="80" xfId="72" applyFont="1" applyBorder="1" applyAlignment="1">
      <alignment horizontal="center" vertical="center" wrapText="1"/>
      <protection/>
    </xf>
    <xf numFmtId="0" fontId="11" fillId="0" borderId="26" xfId="72" applyFont="1" applyBorder="1" applyAlignment="1">
      <alignment horizontal="center" vertical="center" wrapText="1"/>
      <protection/>
    </xf>
    <xf numFmtId="0" fontId="11" fillId="0" borderId="27" xfId="72" applyFont="1" applyBorder="1" applyAlignment="1">
      <alignment horizontal="center" vertical="center" wrapText="1"/>
      <protection/>
    </xf>
    <xf numFmtId="0" fontId="11" fillId="0" borderId="28" xfId="72" applyFont="1" applyBorder="1" applyAlignment="1">
      <alignment horizontal="center" vertical="center" wrapText="1"/>
      <protection/>
    </xf>
    <xf numFmtId="0" fontId="11" fillId="0" borderId="0" xfId="72" applyFont="1" applyAlignment="1">
      <alignment horizontal="center" vertical="center" wrapText="1"/>
      <protection/>
    </xf>
    <xf numFmtId="0" fontId="11" fillId="0" borderId="29" xfId="72" applyFont="1" applyBorder="1" applyAlignment="1">
      <alignment horizontal="center" vertical="center" wrapText="1"/>
      <protection/>
    </xf>
    <xf numFmtId="0" fontId="11" fillId="0" borderId="81" xfId="72" applyFont="1" applyBorder="1" applyAlignment="1">
      <alignment horizontal="center" vertical="center" wrapText="1"/>
      <protection/>
    </xf>
    <xf numFmtId="0" fontId="11" fillId="0" borderId="34" xfId="72" applyFont="1" applyBorder="1" applyAlignment="1">
      <alignment horizontal="center" vertical="center" wrapText="1"/>
      <protection/>
    </xf>
    <xf numFmtId="0" fontId="11" fillId="0" borderId="35" xfId="72" applyFont="1" applyBorder="1" applyAlignment="1">
      <alignment horizontal="center" vertical="center" wrapText="1"/>
      <protection/>
    </xf>
    <xf numFmtId="0" fontId="101" fillId="0" borderId="83" xfId="0" applyFont="1" applyBorder="1" applyAlignment="1">
      <alignment horizontal="center" vertical="center"/>
    </xf>
    <xf numFmtId="0" fontId="101" fillId="0" borderId="84" xfId="0" applyFont="1" applyBorder="1" applyAlignment="1">
      <alignment horizontal="center" vertical="center"/>
    </xf>
    <xf numFmtId="0" fontId="101" fillId="0" borderId="85" xfId="0" applyFont="1" applyBorder="1" applyAlignment="1">
      <alignment horizontal="center" vertical="center"/>
    </xf>
    <xf numFmtId="0" fontId="11" fillId="5" borderId="0" xfId="72" applyFont="1" applyFill="1" applyAlignment="1">
      <alignment horizontal="left" vertical="center" wrapText="1"/>
      <protection/>
    </xf>
    <xf numFmtId="0" fontId="11" fillId="0" borderId="73" xfId="72" applyFont="1" applyBorder="1" applyAlignment="1">
      <alignment horizontal="center" vertical="center" wrapText="1"/>
      <protection/>
    </xf>
    <xf numFmtId="0" fontId="11" fillId="0" borderId="75" xfId="72" applyFont="1" applyBorder="1" applyAlignment="1">
      <alignment horizontal="center" vertical="center" wrapText="1"/>
      <protection/>
    </xf>
    <xf numFmtId="0" fontId="11" fillId="0" borderId="74" xfId="72" applyFont="1" applyBorder="1" applyAlignment="1">
      <alignment horizontal="center" vertical="center" wrapText="1"/>
      <protection/>
    </xf>
    <xf numFmtId="0" fontId="11" fillId="0" borderId="46" xfId="72" applyFont="1" applyBorder="1" applyAlignment="1">
      <alignment horizontal="center" vertical="center" wrapText="1"/>
      <protection/>
    </xf>
    <xf numFmtId="0" fontId="11" fillId="0" borderId="47" xfId="72" applyFont="1" applyBorder="1" applyAlignment="1">
      <alignment horizontal="center" vertical="center" wrapText="1"/>
      <protection/>
    </xf>
    <xf numFmtId="0" fontId="11" fillId="0" borderId="48" xfId="72" applyFont="1" applyBorder="1" applyAlignment="1">
      <alignment horizontal="center" vertical="center" wrapText="1"/>
      <protection/>
    </xf>
    <xf numFmtId="0" fontId="11" fillId="38" borderId="34" xfId="72" applyFont="1" applyFill="1" applyBorder="1" applyAlignment="1">
      <alignment horizontal="left" vertical="center" wrapText="1"/>
      <protection/>
    </xf>
    <xf numFmtId="0" fontId="10" fillId="0" borderId="73" xfId="72" applyFont="1" applyBorder="1" applyAlignment="1">
      <alignment horizontal="center" vertical="center" wrapText="1"/>
      <protection/>
    </xf>
    <xf numFmtId="0" fontId="10" fillId="0" borderId="75" xfId="72" applyFont="1" applyBorder="1" applyAlignment="1">
      <alignment horizontal="center" vertical="center" wrapText="1"/>
      <protection/>
    </xf>
    <xf numFmtId="0" fontId="10" fillId="0" borderId="74" xfId="72" applyFont="1" applyBorder="1" applyAlignment="1">
      <alignment horizontal="center" vertical="center" wrapText="1"/>
      <protection/>
    </xf>
    <xf numFmtId="9" fontId="11" fillId="0" borderId="73" xfId="72" applyNumberFormat="1" applyFont="1" applyBorder="1" applyAlignment="1">
      <alignment horizontal="center" vertical="center" wrapText="1"/>
      <protection/>
    </xf>
    <xf numFmtId="9" fontId="11" fillId="0" borderId="74" xfId="72" applyNumberFormat="1" applyFont="1" applyBorder="1" applyAlignment="1">
      <alignment horizontal="center" vertical="center" wrapText="1"/>
      <protection/>
    </xf>
    <xf numFmtId="0" fontId="11" fillId="5" borderId="0" xfId="72" applyFont="1" applyFill="1" applyAlignment="1">
      <alignment horizontal="center" vertical="center" wrapText="1"/>
      <protection/>
    </xf>
    <xf numFmtId="0" fontId="11" fillId="5" borderId="67" xfId="72" applyFont="1" applyFill="1" applyBorder="1" applyAlignment="1">
      <alignment horizontal="center" vertical="center" wrapText="1"/>
      <protection/>
    </xf>
    <xf numFmtId="0" fontId="11" fillId="5" borderId="59" xfId="72" applyFont="1" applyFill="1" applyBorder="1" applyAlignment="1">
      <alignment horizontal="center" vertical="center" wrapText="1"/>
      <protection/>
    </xf>
    <xf numFmtId="0" fontId="11" fillId="5" borderId="20" xfId="72" applyFont="1" applyFill="1" applyBorder="1" applyAlignment="1">
      <alignment horizontal="center" vertical="center" wrapText="1"/>
      <protection/>
    </xf>
    <xf numFmtId="0" fontId="11" fillId="5" borderId="14" xfId="72" applyFont="1" applyFill="1" applyBorder="1" applyAlignment="1">
      <alignment horizontal="center" vertical="center" wrapText="1"/>
      <protection/>
    </xf>
    <xf numFmtId="0" fontId="11" fillId="5" borderId="13" xfId="72" applyFont="1" applyFill="1" applyBorder="1" applyAlignment="1">
      <alignment horizontal="center" vertical="center" wrapText="1"/>
      <protection/>
    </xf>
    <xf numFmtId="0" fontId="11" fillId="5" borderId="50" xfId="72" applyFont="1" applyFill="1" applyBorder="1" applyAlignment="1">
      <alignment horizontal="center" vertical="center" wrapText="1"/>
      <protection/>
    </xf>
    <xf numFmtId="0" fontId="11" fillId="5" borderId="40" xfId="72" applyFont="1" applyFill="1" applyBorder="1" applyAlignment="1">
      <alignment horizontal="center" vertical="center" wrapText="1"/>
      <protection/>
    </xf>
    <xf numFmtId="0" fontId="11" fillId="38" borderId="67" xfId="72" applyFont="1" applyFill="1" applyBorder="1" applyAlignment="1">
      <alignment horizontal="center" vertical="center" wrapText="1"/>
      <protection/>
    </xf>
    <xf numFmtId="0" fontId="11" fillId="38" borderId="61" xfId="72" applyFont="1" applyFill="1" applyBorder="1" applyAlignment="1">
      <alignment horizontal="center" vertical="center" wrapText="1"/>
      <protection/>
    </xf>
    <xf numFmtId="0" fontId="11" fillId="38" borderId="69" xfId="72" applyFont="1" applyFill="1" applyBorder="1" applyAlignment="1">
      <alignment horizontal="center" vertical="center" wrapText="1"/>
      <protection/>
    </xf>
    <xf numFmtId="0" fontId="11" fillId="38" borderId="72" xfId="72" applyFont="1" applyFill="1" applyBorder="1" applyAlignment="1">
      <alignment horizontal="center" vertical="center" wrapText="1"/>
      <protection/>
    </xf>
    <xf numFmtId="0" fontId="11" fillId="5" borderId="49" xfId="72" applyFont="1" applyFill="1" applyBorder="1" applyAlignment="1">
      <alignment horizontal="center" vertical="center" wrapText="1"/>
      <protection/>
    </xf>
    <xf numFmtId="0" fontId="11" fillId="5" borderId="18" xfId="72" applyFont="1" applyFill="1" applyBorder="1" applyAlignment="1">
      <alignment horizontal="center" vertical="center" wrapText="1"/>
      <protection/>
    </xf>
    <xf numFmtId="0" fontId="11" fillId="5" borderId="64" xfId="72" applyFont="1" applyFill="1" applyBorder="1" applyAlignment="1">
      <alignment horizontal="center" vertical="center" wrapText="1"/>
      <protection/>
    </xf>
    <xf numFmtId="0" fontId="11" fillId="5" borderId="42" xfId="72" applyFont="1" applyFill="1" applyBorder="1" applyAlignment="1">
      <alignment horizontal="center" vertical="center" wrapText="1"/>
      <protection/>
    </xf>
    <xf numFmtId="0" fontId="11" fillId="5" borderId="39" xfId="72" applyFont="1" applyFill="1" applyBorder="1" applyAlignment="1">
      <alignment horizontal="center" vertical="center" wrapText="1"/>
      <protection/>
    </xf>
    <xf numFmtId="0" fontId="11" fillId="5" borderId="44" xfId="72" applyFont="1" applyFill="1" applyBorder="1" applyAlignment="1">
      <alignment horizontal="center" vertical="center" wrapText="1"/>
      <protection/>
    </xf>
    <xf numFmtId="0" fontId="11" fillId="5" borderId="70" xfId="72" applyFont="1" applyFill="1" applyBorder="1" applyAlignment="1">
      <alignment horizontal="center" vertical="center" wrapText="1"/>
      <protection/>
    </xf>
    <xf numFmtId="0" fontId="11" fillId="5" borderId="17" xfId="72" applyFont="1" applyFill="1" applyBorder="1" applyAlignment="1">
      <alignment horizontal="center" vertical="center" wrapText="1"/>
      <protection/>
    </xf>
    <xf numFmtId="0" fontId="11" fillId="5" borderId="21" xfId="72" applyFont="1" applyFill="1" applyBorder="1" applyAlignment="1">
      <alignment horizontal="center" vertical="center" wrapText="1"/>
      <protection/>
    </xf>
    <xf numFmtId="9" fontId="10" fillId="38" borderId="64" xfId="81" applyFont="1" applyFill="1" applyBorder="1" applyAlignment="1" applyProtection="1" quotePrefix="1">
      <alignment horizontal="left" vertical="center" wrapText="1"/>
      <protection/>
    </xf>
    <xf numFmtId="9" fontId="10" fillId="38" borderId="41" xfId="81" applyFont="1" applyFill="1" applyBorder="1" applyAlignment="1" applyProtection="1">
      <alignment horizontal="left" vertical="center" wrapText="1"/>
      <protection/>
    </xf>
    <xf numFmtId="9" fontId="10" fillId="38" borderId="65" xfId="81" applyFont="1" applyFill="1" applyBorder="1" applyAlignment="1" applyProtection="1">
      <alignment horizontal="left" vertical="center" wrapText="1"/>
      <protection/>
    </xf>
    <xf numFmtId="9" fontId="10" fillId="38" borderId="58" xfId="81" applyFont="1" applyFill="1" applyBorder="1" applyAlignment="1" applyProtection="1">
      <alignment horizontal="left" vertical="center" wrapText="1"/>
      <protection/>
    </xf>
    <xf numFmtId="9" fontId="10" fillId="38" borderId="34" xfId="81" applyFont="1" applyFill="1" applyBorder="1" applyAlignment="1" applyProtection="1">
      <alignment horizontal="left" vertical="center" wrapText="1"/>
      <protection/>
    </xf>
    <xf numFmtId="9" fontId="10" fillId="38" borderId="35" xfId="81" applyFont="1" applyFill="1" applyBorder="1" applyAlignment="1" applyProtection="1">
      <alignment horizontal="left" vertical="center" wrapText="1"/>
      <protection/>
    </xf>
    <xf numFmtId="3" fontId="11" fillId="0" borderId="64" xfId="72" applyNumberFormat="1" applyFont="1" applyBorder="1" applyAlignment="1">
      <alignment horizontal="center" vertical="center" wrapText="1"/>
      <protection/>
    </xf>
    <xf numFmtId="3" fontId="11" fillId="0" borderId="42" xfId="72" applyNumberFormat="1" applyFont="1" applyBorder="1" applyAlignment="1">
      <alignment horizontal="center" vertical="center" wrapText="1"/>
      <protection/>
    </xf>
    <xf numFmtId="0" fontId="90" fillId="0" borderId="13" xfId="72" applyFont="1" applyBorder="1" applyAlignment="1">
      <alignment horizontal="left" vertical="center" wrapText="1"/>
      <protection/>
    </xf>
    <xf numFmtId="0" fontId="90" fillId="0" borderId="21" xfId="72" applyFont="1" applyBorder="1" applyAlignment="1">
      <alignment horizontal="left" vertical="center" wrapText="1"/>
      <protection/>
    </xf>
    <xf numFmtId="0" fontId="10" fillId="5" borderId="13" xfId="72" applyFont="1" applyFill="1" applyBorder="1" applyAlignment="1">
      <alignment horizontal="center" vertical="center" wrapText="1"/>
      <protection/>
    </xf>
    <xf numFmtId="2" fontId="10" fillId="0" borderId="37" xfId="72" applyNumberFormat="1" applyFont="1" applyBorder="1" applyAlignment="1">
      <alignment vertical="center" wrapText="1"/>
      <protection/>
    </xf>
    <xf numFmtId="2" fontId="10" fillId="0" borderId="51" xfId="72" applyNumberFormat="1" applyFont="1" applyBorder="1" applyAlignment="1">
      <alignment vertical="center" wrapText="1"/>
      <protection/>
    </xf>
    <xf numFmtId="9" fontId="10" fillId="0" borderId="22" xfId="79" applyFont="1" applyFill="1" applyBorder="1" applyAlignment="1" applyProtection="1">
      <alignment horizontal="center" vertical="center" wrapText="1"/>
      <protection/>
    </xf>
    <xf numFmtId="9" fontId="10" fillId="0" borderId="16" xfId="79" applyFont="1" applyFill="1" applyBorder="1" applyAlignment="1" applyProtection="1">
      <alignment horizontal="center" vertical="center" wrapText="1"/>
      <protection/>
    </xf>
    <xf numFmtId="9" fontId="10" fillId="38" borderId="14" xfId="72" applyNumberFormat="1" applyFont="1" applyFill="1" applyBorder="1" applyAlignment="1">
      <alignment horizontal="left" vertical="center" wrapText="1"/>
      <protection/>
    </xf>
    <xf numFmtId="0" fontId="11" fillId="5" borderId="15" xfId="72" applyFont="1" applyFill="1" applyBorder="1" applyAlignment="1">
      <alignment horizontal="center" vertical="center" wrapText="1"/>
      <protection/>
    </xf>
    <xf numFmtId="0" fontId="11" fillId="5" borderId="19" xfId="72" applyFont="1" applyFill="1" applyBorder="1" applyAlignment="1">
      <alignment horizontal="center" vertical="center" wrapText="1"/>
      <protection/>
    </xf>
    <xf numFmtId="0" fontId="10" fillId="0" borderId="37" xfId="72" applyFont="1" applyBorder="1" applyAlignment="1">
      <alignment horizontal="center" vertical="center" wrapText="1"/>
      <protection/>
    </xf>
    <xf numFmtId="0" fontId="10" fillId="0" borderId="63" xfId="72" applyFont="1" applyBorder="1" applyAlignment="1">
      <alignment horizontal="center" vertical="center" wrapText="1"/>
      <protection/>
    </xf>
    <xf numFmtId="9" fontId="11" fillId="0" borderId="22" xfId="79" applyFont="1" applyFill="1" applyBorder="1" applyAlignment="1" applyProtection="1">
      <alignment horizontal="center" vertical="center" wrapText="1"/>
      <protection/>
    </xf>
    <xf numFmtId="9" fontId="11" fillId="0" borderId="57" xfId="79" applyFont="1" applyFill="1" applyBorder="1" applyAlignment="1" applyProtection="1">
      <alignment horizontal="center" vertical="center" wrapText="1"/>
      <protection/>
    </xf>
    <xf numFmtId="9" fontId="10" fillId="38" borderId="64" xfId="81" applyFont="1" applyFill="1" applyBorder="1" applyAlignment="1" applyProtection="1">
      <alignment horizontal="left" vertical="center" wrapText="1"/>
      <protection/>
    </xf>
    <xf numFmtId="9" fontId="10" fillId="38" borderId="42" xfId="81" applyFont="1" applyFill="1" applyBorder="1" applyAlignment="1" applyProtection="1">
      <alignment horizontal="left" vertical="center" wrapText="1"/>
      <protection/>
    </xf>
    <xf numFmtId="9" fontId="10" fillId="38" borderId="71" xfId="81" applyFont="1" applyFill="1" applyBorder="1" applyAlignment="1" applyProtection="1">
      <alignment horizontal="left" vertical="center" wrapText="1"/>
      <protection/>
    </xf>
    <xf numFmtId="9" fontId="10" fillId="0" borderId="64" xfId="81" applyFont="1" applyFill="1" applyBorder="1" applyAlignment="1" applyProtection="1">
      <alignment horizontal="left" vertical="center" wrapText="1"/>
      <protection/>
    </xf>
    <xf numFmtId="9" fontId="10" fillId="0" borderId="41" xfId="81" applyFont="1" applyFill="1" applyBorder="1" applyAlignment="1" applyProtection="1">
      <alignment horizontal="left" vertical="center" wrapText="1"/>
      <protection/>
    </xf>
    <xf numFmtId="9" fontId="10" fillId="0" borderId="42" xfId="81" applyFont="1" applyFill="1" applyBorder="1" applyAlignment="1" applyProtection="1">
      <alignment horizontal="left" vertical="center" wrapText="1"/>
      <protection/>
    </xf>
    <xf numFmtId="9" fontId="10" fillId="0" borderId="58" xfId="81" applyFont="1" applyFill="1" applyBorder="1" applyAlignment="1" applyProtection="1">
      <alignment horizontal="left" vertical="center" wrapText="1"/>
      <protection/>
    </xf>
    <xf numFmtId="9" fontId="10" fillId="0" borderId="34" xfId="81" applyFont="1" applyFill="1" applyBorder="1" applyAlignment="1" applyProtection="1">
      <alignment horizontal="left" vertical="center" wrapText="1"/>
      <protection/>
    </xf>
    <xf numFmtId="9" fontId="10" fillId="0" borderId="71" xfId="81" applyFont="1" applyFill="1" applyBorder="1" applyAlignment="1" applyProtection="1">
      <alignment horizontal="left" vertical="center" wrapText="1"/>
      <protection/>
    </xf>
    <xf numFmtId="2" fontId="10" fillId="0" borderId="63" xfId="72" applyNumberFormat="1" applyFont="1" applyBorder="1" applyAlignment="1">
      <alignment vertical="center" wrapText="1"/>
      <protection/>
    </xf>
    <xf numFmtId="9" fontId="10" fillId="0" borderId="57" xfId="79" applyFont="1" applyFill="1" applyBorder="1" applyAlignment="1" applyProtection="1">
      <alignment horizontal="center" vertical="center" wrapText="1"/>
      <protection/>
    </xf>
    <xf numFmtId="9" fontId="10" fillId="0" borderId="64" xfId="72" applyNumberFormat="1" applyFont="1" applyBorder="1" applyAlignment="1" quotePrefix="1">
      <alignment horizontal="left" vertical="center" wrapText="1"/>
      <protection/>
    </xf>
    <xf numFmtId="9" fontId="10" fillId="0" borderId="65" xfId="72" applyNumberFormat="1" applyFont="1" applyBorder="1" applyAlignment="1">
      <alignment horizontal="left" vertical="center" wrapText="1"/>
      <protection/>
    </xf>
    <xf numFmtId="9" fontId="10" fillId="0" borderId="66" xfId="72" applyNumberFormat="1" applyFont="1" applyBorder="1" applyAlignment="1">
      <alignment horizontal="left" vertical="center" wrapText="1"/>
      <protection/>
    </xf>
    <xf numFmtId="9" fontId="10" fillId="0" borderId="0" xfId="72" applyNumberFormat="1" applyFont="1" applyAlignment="1">
      <alignment horizontal="left" vertical="center" wrapText="1"/>
      <protection/>
    </xf>
    <xf numFmtId="9" fontId="10" fillId="0" borderId="29" xfId="72" applyNumberFormat="1" applyFont="1" applyBorder="1" applyAlignment="1">
      <alignment horizontal="left" vertical="center" wrapText="1"/>
      <protection/>
    </xf>
    <xf numFmtId="0" fontId="11" fillId="5" borderId="87" xfId="72" applyFont="1" applyFill="1" applyBorder="1" applyAlignment="1">
      <alignment horizontal="center" vertical="center" wrapText="1"/>
      <protection/>
    </xf>
    <xf numFmtId="0" fontId="11" fillId="5" borderId="51" xfId="72" applyFont="1" applyFill="1" applyBorder="1" applyAlignment="1">
      <alignment horizontal="center" vertical="center" wrapText="1"/>
      <protection/>
    </xf>
    <xf numFmtId="0" fontId="11" fillId="5" borderId="68" xfId="72" applyFont="1" applyFill="1" applyBorder="1" applyAlignment="1">
      <alignment horizontal="center" vertical="center" wrapText="1"/>
      <protection/>
    </xf>
    <xf numFmtId="0" fontId="11" fillId="5" borderId="16" xfId="72" applyFont="1" applyFill="1" applyBorder="1" applyAlignment="1">
      <alignment horizontal="center" vertical="center" wrapText="1"/>
      <protection/>
    </xf>
    <xf numFmtId="0" fontId="11" fillId="5" borderId="60" xfId="72" applyFont="1" applyFill="1" applyBorder="1" applyAlignment="1">
      <alignment horizontal="center" vertical="center" wrapText="1"/>
      <protection/>
    </xf>
    <xf numFmtId="0" fontId="11" fillId="5" borderId="61" xfId="72" applyFont="1" applyFill="1" applyBorder="1" applyAlignment="1">
      <alignment horizontal="center" vertical="center" wrapText="1"/>
      <protection/>
    </xf>
    <xf numFmtId="0" fontId="11" fillId="5" borderId="62" xfId="72" applyFont="1" applyFill="1" applyBorder="1" applyAlignment="1">
      <alignment horizontal="center" vertical="center" wrapText="1"/>
      <protection/>
    </xf>
    <xf numFmtId="0" fontId="11" fillId="5" borderId="45" xfId="72" applyFont="1" applyFill="1" applyBorder="1" applyAlignment="1">
      <alignment horizontal="center" vertical="center" wrapText="1"/>
      <protection/>
    </xf>
    <xf numFmtId="2" fontId="10" fillId="38" borderId="20" xfId="72" applyNumberFormat="1" applyFont="1" applyFill="1" applyBorder="1" applyAlignment="1">
      <alignment vertical="center" wrapText="1"/>
      <protection/>
    </xf>
    <xf numFmtId="2" fontId="10" fillId="38" borderId="50" xfId="72" applyNumberFormat="1" applyFont="1" applyFill="1" applyBorder="1" applyAlignment="1">
      <alignment vertical="center" wrapText="1"/>
      <protection/>
    </xf>
    <xf numFmtId="190" fontId="10" fillId="0" borderId="22" xfId="79" applyNumberFormat="1" applyFont="1" applyBorder="1" applyAlignment="1">
      <alignment horizontal="center" vertical="center" wrapText="1"/>
    </xf>
    <xf numFmtId="190" fontId="10" fillId="0" borderId="57" xfId="79" applyNumberFormat="1" applyFont="1" applyBorder="1" applyAlignment="1">
      <alignment horizontal="center" vertical="center" wrapText="1"/>
    </xf>
    <xf numFmtId="9" fontId="89" fillId="0" borderId="64" xfId="72" applyNumberFormat="1" applyFont="1" applyBorder="1" applyAlignment="1">
      <alignment horizontal="left" vertical="center" wrapText="1"/>
      <protection/>
    </xf>
    <xf numFmtId="9" fontId="89" fillId="0" borderId="41" xfId="72" applyNumberFormat="1" applyFont="1" applyBorder="1" applyAlignment="1">
      <alignment horizontal="left" vertical="center" wrapText="1"/>
      <protection/>
    </xf>
    <xf numFmtId="9" fontId="89" fillId="0" borderId="65" xfId="72" applyNumberFormat="1" applyFont="1" applyBorder="1" applyAlignment="1">
      <alignment horizontal="left" vertical="center" wrapText="1"/>
      <protection/>
    </xf>
    <xf numFmtId="9" fontId="89" fillId="0" borderId="58" xfId="72" applyNumberFormat="1" applyFont="1" applyBorder="1" applyAlignment="1">
      <alignment horizontal="left" vertical="center" wrapText="1"/>
      <protection/>
    </xf>
    <xf numFmtId="9" fontId="89" fillId="0" borderId="34" xfId="72" applyNumberFormat="1" applyFont="1" applyBorder="1" applyAlignment="1">
      <alignment horizontal="left" vertical="center" wrapText="1"/>
      <protection/>
    </xf>
    <xf numFmtId="9" fontId="89" fillId="0" borderId="35" xfId="72" applyNumberFormat="1" applyFont="1" applyBorder="1" applyAlignment="1">
      <alignment horizontal="left" vertical="center" wrapText="1"/>
      <protection/>
    </xf>
    <xf numFmtId="2" fontId="11" fillId="0" borderId="20" xfId="72" applyNumberFormat="1" applyFont="1" applyFill="1" applyBorder="1" applyAlignment="1">
      <alignment vertical="center" wrapText="1"/>
      <protection/>
    </xf>
    <xf numFmtId="2" fontId="10" fillId="0" borderId="20" xfId="72" applyNumberFormat="1" applyFont="1" applyFill="1" applyBorder="1" applyAlignment="1">
      <alignment vertical="center" wrapText="1"/>
      <protection/>
    </xf>
    <xf numFmtId="190" fontId="10" fillId="0" borderId="16" xfId="79" applyNumberFormat="1" applyFont="1" applyBorder="1" applyAlignment="1">
      <alignment horizontal="center" vertical="center" wrapText="1"/>
    </xf>
    <xf numFmtId="2" fontId="10" fillId="0" borderId="51" xfId="72" applyNumberFormat="1" applyFont="1" applyFill="1" applyBorder="1" applyAlignment="1">
      <alignment vertical="center" wrapText="1"/>
      <protection/>
    </xf>
    <xf numFmtId="0" fontId="11" fillId="5" borderId="69" xfId="72" applyFont="1" applyFill="1" applyBorder="1" applyAlignment="1">
      <alignment horizontal="center" vertical="center" wrapText="1"/>
      <protection/>
    </xf>
    <xf numFmtId="190" fontId="10" fillId="0" borderId="54" xfId="79" applyNumberFormat="1" applyFont="1" applyBorder="1" applyAlignment="1">
      <alignment horizontal="center" vertical="center" wrapText="1"/>
    </xf>
    <xf numFmtId="0" fontId="10" fillId="0" borderId="37" xfId="72" applyFont="1" applyFill="1" applyBorder="1" applyAlignment="1">
      <alignment horizontal="center" vertical="center" wrapText="1"/>
      <protection/>
    </xf>
    <xf numFmtId="0" fontId="10" fillId="0" borderId="63" xfId="72" applyFont="1" applyFill="1" applyBorder="1" applyAlignment="1">
      <alignment horizontal="center" vertical="center" wrapText="1"/>
      <protection/>
    </xf>
    <xf numFmtId="9" fontId="11" fillId="0" borderId="22" xfId="72" applyNumberFormat="1" applyFont="1" applyBorder="1" applyAlignment="1">
      <alignment horizontal="center" vertical="center" wrapText="1"/>
      <protection/>
    </xf>
    <xf numFmtId="0" fontId="11" fillId="0" borderId="57" xfId="72" applyFont="1" applyBorder="1" applyAlignment="1">
      <alignment horizontal="center" vertical="center" wrapText="1"/>
      <protection/>
    </xf>
    <xf numFmtId="9" fontId="10" fillId="0" borderId="64" xfId="81" applyFont="1" applyFill="1" applyBorder="1" applyAlignment="1" applyProtection="1">
      <alignment horizontal="center" vertical="center" wrapText="1"/>
      <protection/>
    </xf>
    <xf numFmtId="9" fontId="10" fillId="0" borderId="41" xfId="81" applyFont="1" applyFill="1" applyBorder="1" applyAlignment="1" applyProtection="1">
      <alignment horizontal="center" vertical="center" wrapText="1"/>
      <protection/>
    </xf>
    <xf numFmtId="9" fontId="10" fillId="0" borderId="42" xfId="81" applyFont="1" applyFill="1" applyBorder="1" applyAlignment="1" applyProtection="1">
      <alignment horizontal="center" vertical="center" wrapText="1"/>
      <protection/>
    </xf>
    <xf numFmtId="9" fontId="10" fillId="0" borderId="58" xfId="81" applyFont="1" applyFill="1" applyBorder="1" applyAlignment="1" applyProtection="1">
      <alignment horizontal="center" vertical="center" wrapText="1"/>
      <protection/>
    </xf>
    <xf numFmtId="9" fontId="10" fillId="0" borderId="34" xfId="81" applyFont="1" applyFill="1" applyBorder="1" applyAlignment="1" applyProtection="1">
      <alignment horizontal="center" vertical="center" wrapText="1"/>
      <protection/>
    </xf>
    <xf numFmtId="9" fontId="10" fillId="0" borderId="71" xfId="81" applyFont="1" applyFill="1" applyBorder="1" applyAlignment="1" applyProtection="1">
      <alignment horizontal="center" vertical="center" wrapText="1"/>
      <protection/>
    </xf>
    <xf numFmtId="3" fontId="10" fillId="0" borderId="64" xfId="72" applyNumberFormat="1" applyFont="1" applyBorder="1" applyAlignment="1">
      <alignment horizontal="center" vertical="center" wrapText="1"/>
      <protection/>
    </xf>
    <xf numFmtId="3" fontId="10" fillId="0" borderId="42" xfId="72" applyNumberFormat="1" applyFont="1" applyBorder="1" applyAlignment="1">
      <alignment horizontal="center" vertical="center" wrapText="1"/>
      <protection/>
    </xf>
    <xf numFmtId="0" fontId="11" fillId="0" borderId="0" xfId="72" applyFont="1" applyFill="1" applyAlignment="1">
      <alignment horizontal="center" vertical="center" wrapText="1"/>
      <protection/>
    </xf>
    <xf numFmtId="2" fontId="10" fillId="0" borderId="50" xfId="72" applyNumberFormat="1" applyFont="1" applyBorder="1" applyAlignment="1">
      <alignment horizontal="left" vertical="center" wrapText="1"/>
      <protection/>
    </xf>
    <xf numFmtId="2" fontId="10" fillId="0" borderId="63" xfId="72" applyNumberFormat="1" applyFont="1" applyBorder="1" applyAlignment="1">
      <alignment horizontal="left" vertical="center" wrapText="1"/>
      <protection/>
    </xf>
    <xf numFmtId="9" fontId="10" fillId="0" borderId="38" xfId="79" applyFont="1" applyFill="1" applyBorder="1" applyAlignment="1" applyProtection="1">
      <alignment horizontal="center" vertical="center" wrapText="1"/>
      <protection/>
    </xf>
    <xf numFmtId="9" fontId="89" fillId="0" borderId="52" xfId="72" applyNumberFormat="1" applyFont="1" applyBorder="1" applyAlignment="1">
      <alignment vertical="center" wrapText="1"/>
      <protection/>
    </xf>
    <xf numFmtId="9" fontId="89" fillId="0" borderId="41" xfId="72" applyNumberFormat="1" applyFont="1" applyBorder="1" applyAlignment="1">
      <alignment vertical="center" wrapText="1"/>
      <protection/>
    </xf>
    <xf numFmtId="9" fontId="89" fillId="0" borderId="65" xfId="72" applyNumberFormat="1" applyFont="1" applyBorder="1" applyAlignment="1">
      <alignment vertical="center" wrapText="1"/>
      <protection/>
    </xf>
    <xf numFmtId="9" fontId="89" fillId="0" borderId="58" xfId="72" applyNumberFormat="1" applyFont="1" applyBorder="1" applyAlignment="1">
      <alignment vertical="center" wrapText="1"/>
      <protection/>
    </xf>
    <xf numFmtId="9" fontId="89" fillId="0" borderId="34" xfId="72" applyNumberFormat="1" applyFont="1" applyBorder="1" applyAlignment="1">
      <alignment vertical="center" wrapText="1"/>
      <protection/>
    </xf>
    <xf numFmtId="9" fontId="89" fillId="0" borderId="35" xfId="72" applyNumberFormat="1" applyFont="1" applyBorder="1" applyAlignment="1">
      <alignment vertical="center" wrapText="1"/>
      <protection/>
    </xf>
    <xf numFmtId="2" fontId="10" fillId="0" borderId="51" xfId="72" applyNumberFormat="1" applyFont="1" applyBorder="1" applyAlignment="1">
      <alignment horizontal="left" vertical="center" wrapText="1"/>
      <protection/>
    </xf>
    <xf numFmtId="2" fontId="10" fillId="0" borderId="20" xfId="72" applyNumberFormat="1" applyFont="1" applyBorder="1" applyAlignment="1">
      <alignment horizontal="left" vertical="center" wrapText="1"/>
      <protection/>
    </xf>
    <xf numFmtId="9" fontId="10" fillId="0" borderId="54" xfId="79" applyFont="1" applyBorder="1" applyAlignment="1">
      <alignment horizontal="center" vertical="center" wrapText="1"/>
    </xf>
    <xf numFmtId="9" fontId="10" fillId="0" borderId="16" xfId="79" applyFont="1" applyBorder="1" applyAlignment="1">
      <alignment horizontal="center" vertical="center" wrapText="1"/>
    </xf>
    <xf numFmtId="9" fontId="10" fillId="0" borderId="19" xfId="72" applyNumberFormat="1" applyFont="1" applyBorder="1" applyAlignment="1">
      <alignment horizontal="left" vertical="center" wrapText="1"/>
      <protection/>
    </xf>
    <xf numFmtId="9" fontId="10" fillId="0" borderId="22" xfId="72" applyNumberFormat="1" applyFont="1" applyBorder="1" applyAlignment="1">
      <alignment horizontal="center" vertical="center" wrapText="1"/>
      <protection/>
    </xf>
    <xf numFmtId="0" fontId="10" fillId="0" borderId="57" xfId="72" applyFont="1" applyBorder="1" applyAlignment="1">
      <alignment horizontal="center" vertical="center" wrapText="1"/>
      <protection/>
    </xf>
    <xf numFmtId="9" fontId="10" fillId="0" borderId="65" xfId="81" applyFont="1" applyFill="1" applyBorder="1" applyAlignment="1" applyProtection="1">
      <alignment horizontal="center" vertical="center" wrapText="1"/>
      <protection/>
    </xf>
    <xf numFmtId="9" fontId="10" fillId="0" borderId="35" xfId="81" applyFont="1" applyFill="1" applyBorder="1" applyAlignment="1" applyProtection="1">
      <alignment horizontal="center" vertical="center" wrapText="1"/>
      <protection/>
    </xf>
    <xf numFmtId="0" fontId="10" fillId="0" borderId="83" xfId="72" applyFont="1" applyBorder="1" applyAlignment="1">
      <alignment horizontal="center" vertical="center" wrapText="1"/>
      <protection/>
    </xf>
    <xf numFmtId="0" fontId="10" fillId="0" borderId="84" xfId="72" applyFont="1" applyBorder="1" applyAlignment="1">
      <alignment horizontal="center" vertical="center" wrapText="1"/>
      <protection/>
    </xf>
    <xf numFmtId="0" fontId="10" fillId="0" borderId="85" xfId="72" applyFont="1" applyBorder="1" applyAlignment="1">
      <alignment horizontal="center" vertical="center" wrapText="1"/>
      <protection/>
    </xf>
    <xf numFmtId="0" fontId="11" fillId="0" borderId="80" xfId="72" applyFont="1" applyBorder="1" applyAlignment="1">
      <alignment horizontal="center" vertical="center"/>
      <protection/>
    </xf>
    <xf numFmtId="0" fontId="11" fillId="0" borderId="26" xfId="72" applyFont="1" applyBorder="1" applyAlignment="1">
      <alignment horizontal="center" vertical="center"/>
      <protection/>
    </xf>
    <xf numFmtId="0" fontId="11" fillId="0" borderId="27" xfId="72" applyFont="1" applyBorder="1" applyAlignment="1">
      <alignment horizontal="center" vertical="center"/>
      <protection/>
    </xf>
    <xf numFmtId="2" fontId="10" fillId="0" borderId="37" xfId="72" applyNumberFormat="1" applyFont="1" applyBorder="1" applyAlignment="1">
      <alignment horizontal="left" vertical="center" wrapText="1"/>
      <protection/>
    </xf>
    <xf numFmtId="9" fontId="10" fillId="0" borderId="22" xfId="79" applyFont="1" applyBorder="1" applyAlignment="1">
      <alignment horizontal="center" vertical="center" wrapText="1"/>
    </xf>
    <xf numFmtId="9" fontId="10" fillId="0" borderId="64" xfId="72" applyNumberFormat="1" applyFont="1" applyFill="1" applyBorder="1" applyAlignment="1">
      <alignment horizontal="left" vertical="center" wrapText="1"/>
      <protection/>
    </xf>
    <xf numFmtId="9" fontId="10" fillId="0" borderId="41" xfId="72" applyNumberFormat="1" applyFont="1" applyFill="1" applyBorder="1" applyAlignment="1">
      <alignment horizontal="left" vertical="center" wrapText="1"/>
      <protection/>
    </xf>
    <xf numFmtId="9" fontId="10" fillId="0" borderId="65" xfId="72" applyNumberFormat="1" applyFont="1" applyFill="1" applyBorder="1" applyAlignment="1">
      <alignment horizontal="left" vertical="center" wrapText="1"/>
      <protection/>
    </xf>
    <xf numFmtId="9" fontId="10" fillId="0" borderId="66" xfId="72" applyNumberFormat="1" applyFont="1" applyFill="1" applyBorder="1" applyAlignment="1">
      <alignment horizontal="left" vertical="center" wrapText="1"/>
      <protection/>
    </xf>
    <xf numFmtId="9" fontId="10" fillId="0" borderId="0" xfId="72" applyNumberFormat="1" applyFont="1" applyFill="1" applyAlignment="1">
      <alignment horizontal="left" vertical="center" wrapText="1"/>
      <protection/>
    </xf>
    <xf numFmtId="9" fontId="10" fillId="0" borderId="29" xfId="72" applyNumberFormat="1" applyFont="1" applyFill="1" applyBorder="1" applyAlignment="1">
      <alignment horizontal="left" vertical="center" wrapText="1"/>
      <protection/>
    </xf>
    <xf numFmtId="0" fontId="11" fillId="0" borderId="28" xfId="72" applyFont="1" applyBorder="1" applyAlignment="1">
      <alignment horizontal="center" vertical="center"/>
      <protection/>
    </xf>
    <xf numFmtId="0" fontId="11" fillId="0" borderId="0" xfId="72" applyFont="1" applyAlignment="1">
      <alignment horizontal="center" vertical="center"/>
      <protection/>
    </xf>
    <xf numFmtId="0" fontId="11" fillId="0" borderId="29" xfId="72" applyFont="1" applyBorder="1" applyAlignment="1">
      <alignment horizontal="center" vertical="center"/>
      <protection/>
    </xf>
    <xf numFmtId="0" fontId="10" fillId="0" borderId="64"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88"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90"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92" xfId="0" applyFont="1" applyBorder="1" applyAlignment="1">
      <alignment horizontal="left" vertical="center" wrapText="1"/>
    </xf>
    <xf numFmtId="0" fontId="10" fillId="0" borderId="41" xfId="0" applyFont="1" applyBorder="1" applyAlignment="1">
      <alignment horizontal="left" vertical="center" wrapText="1"/>
    </xf>
    <xf numFmtId="0" fontId="10" fillId="0" borderId="65" xfId="0" applyFont="1" applyBorder="1" applyAlignment="1">
      <alignment horizontal="left" vertical="center" wrapText="1"/>
    </xf>
    <xf numFmtId="0" fontId="10" fillId="0" borderId="9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89" fillId="0" borderId="64" xfId="0" applyFont="1" applyBorder="1" applyAlignment="1">
      <alignment horizontal="left" vertical="center" wrapText="1"/>
    </xf>
    <xf numFmtId="0" fontId="89" fillId="0" borderId="41" xfId="0" applyFont="1" applyBorder="1" applyAlignment="1">
      <alignment horizontal="left" vertical="center" wrapText="1"/>
    </xf>
    <xf numFmtId="0" fontId="89" fillId="0" borderId="42" xfId="0" applyFont="1" applyBorder="1" applyAlignment="1">
      <alignment horizontal="left" vertical="center" wrapText="1"/>
    </xf>
    <xf numFmtId="0" fontId="89" fillId="0" borderId="58" xfId="0" applyFont="1" applyBorder="1" applyAlignment="1">
      <alignment horizontal="left" vertical="center" wrapText="1"/>
    </xf>
    <xf numFmtId="0" fontId="89" fillId="0" borderId="34" xfId="0" applyFont="1" applyBorder="1" applyAlignment="1">
      <alignment horizontal="left" vertical="center" wrapText="1"/>
    </xf>
    <xf numFmtId="0" fontId="89" fillId="0" borderId="71" xfId="0" applyFont="1" applyBorder="1" applyAlignment="1">
      <alignment horizontal="left" vertical="center" wrapText="1"/>
    </xf>
    <xf numFmtId="0" fontId="10" fillId="0" borderId="64" xfId="0" applyFont="1" applyBorder="1" applyAlignment="1">
      <alignment horizontal="left" vertical="center" wrapText="1"/>
    </xf>
    <xf numFmtId="0" fontId="10" fillId="0" borderId="42" xfId="0" applyFont="1" applyBorder="1" applyAlignment="1">
      <alignment horizontal="left" vertical="center" wrapText="1"/>
    </xf>
    <xf numFmtId="0" fontId="10" fillId="0" borderId="58" xfId="0" applyFont="1" applyBorder="1" applyAlignment="1">
      <alignment horizontal="left" vertical="center" wrapText="1"/>
    </xf>
    <xf numFmtId="0" fontId="10" fillId="0" borderId="71" xfId="0" applyFont="1" applyBorder="1" applyAlignment="1">
      <alignment horizontal="left" vertical="center" wrapText="1"/>
    </xf>
    <xf numFmtId="190" fontId="10" fillId="0" borderId="54" xfId="79" applyNumberFormat="1" applyFont="1" applyFill="1" applyBorder="1" applyAlignment="1" applyProtection="1">
      <alignment horizontal="center" vertical="center" wrapText="1"/>
      <protection/>
    </xf>
    <xf numFmtId="190" fontId="10" fillId="0" borderId="16" xfId="79" applyNumberFormat="1" applyFont="1" applyFill="1" applyBorder="1" applyAlignment="1" applyProtection="1">
      <alignment horizontal="center" vertical="center" wrapText="1"/>
      <protection/>
    </xf>
    <xf numFmtId="9" fontId="19" fillId="0" borderId="64" xfId="72" applyNumberFormat="1" applyFont="1" applyBorder="1" applyAlignment="1">
      <alignment vertical="center" wrapText="1"/>
      <protection/>
    </xf>
    <xf numFmtId="9" fontId="19" fillId="0" borderId="41" xfId="72" applyNumberFormat="1" applyFont="1" applyBorder="1" applyAlignment="1">
      <alignment vertical="center" wrapText="1"/>
      <protection/>
    </xf>
    <xf numFmtId="9" fontId="19" fillId="0" borderId="65" xfId="72" applyNumberFormat="1" applyFont="1" applyBorder="1" applyAlignment="1">
      <alignment vertical="center" wrapText="1"/>
      <protection/>
    </xf>
    <xf numFmtId="9" fontId="19" fillId="0" borderId="39" xfId="72" applyNumberFormat="1" applyFont="1" applyBorder="1" applyAlignment="1">
      <alignment vertical="center" wrapText="1"/>
      <protection/>
    </xf>
    <xf numFmtId="9" fontId="19" fillId="0" borderId="15" xfId="72" applyNumberFormat="1" applyFont="1" applyBorder="1" applyAlignment="1">
      <alignment vertical="center" wrapText="1"/>
      <protection/>
    </xf>
    <xf numFmtId="9" fontId="19" fillId="0" borderId="19" xfId="72" applyNumberFormat="1" applyFont="1" applyBorder="1" applyAlignment="1">
      <alignment vertical="center" wrapText="1"/>
      <protection/>
    </xf>
    <xf numFmtId="0" fontId="0" fillId="0" borderId="51" xfId="0" applyBorder="1" applyAlignment="1">
      <alignment horizontal="left" vertical="center" wrapText="1"/>
    </xf>
    <xf numFmtId="9" fontId="19" fillId="0" borderId="66" xfId="72" applyNumberFormat="1" applyFont="1" applyBorder="1" applyAlignment="1">
      <alignment vertical="center" wrapText="1"/>
      <protection/>
    </xf>
    <xf numFmtId="9" fontId="19" fillId="0" borderId="0" xfId="72" applyNumberFormat="1" applyFont="1" applyAlignment="1">
      <alignment vertical="center" wrapText="1"/>
      <protection/>
    </xf>
    <xf numFmtId="9" fontId="19" fillId="0" borderId="29" xfId="72" applyNumberFormat="1" applyFont="1" applyBorder="1" applyAlignment="1">
      <alignment vertical="center" wrapText="1"/>
      <protection/>
    </xf>
    <xf numFmtId="2" fontId="10" fillId="0" borderId="94" xfId="72" applyNumberFormat="1" applyFont="1" applyBorder="1" applyAlignment="1">
      <alignment horizontal="left" vertical="center" wrapText="1"/>
      <protection/>
    </xf>
    <xf numFmtId="0" fontId="0" fillId="0" borderId="63" xfId="0" applyBorder="1" applyAlignment="1">
      <alignment horizontal="left" vertical="center" wrapText="1"/>
    </xf>
    <xf numFmtId="190" fontId="10" fillId="0" borderId="22" xfId="79" applyNumberFormat="1" applyFont="1" applyFill="1" applyBorder="1" applyAlignment="1" applyProtection="1">
      <alignment horizontal="center" vertical="center" wrapText="1"/>
      <protection/>
    </xf>
    <xf numFmtId="190" fontId="10" fillId="0" borderId="57" xfId="79" applyNumberFormat="1" applyFont="1" applyFill="1" applyBorder="1" applyAlignment="1" applyProtection="1">
      <alignment horizontal="center" vertical="center" wrapText="1"/>
      <protection/>
    </xf>
    <xf numFmtId="9" fontId="19" fillId="0" borderId="58" xfId="72" applyNumberFormat="1" applyFont="1" applyBorder="1" applyAlignment="1">
      <alignment vertical="center" wrapText="1"/>
      <protection/>
    </xf>
    <xf numFmtId="9" fontId="19" fillId="0" borderId="34" xfId="72" applyNumberFormat="1" applyFont="1" applyBorder="1" applyAlignment="1">
      <alignment vertical="center" wrapText="1"/>
      <protection/>
    </xf>
    <xf numFmtId="9" fontId="19" fillId="0" borderId="35" xfId="72" applyNumberFormat="1" applyFont="1" applyBorder="1" applyAlignment="1">
      <alignment vertical="center" wrapText="1"/>
      <protection/>
    </xf>
    <xf numFmtId="199" fontId="11" fillId="0" borderId="95" xfId="72" applyNumberFormat="1" applyFont="1" applyBorder="1" applyAlignment="1">
      <alignment horizontal="center" vertical="center" wrapText="1"/>
      <protection/>
    </xf>
    <xf numFmtId="199" fontId="11" fillId="0" borderId="26" xfId="72" applyNumberFormat="1" applyFont="1" applyBorder="1" applyAlignment="1">
      <alignment horizontal="center" vertical="center" wrapText="1"/>
      <protection/>
    </xf>
    <xf numFmtId="199" fontId="11" fillId="0" borderId="96" xfId="72" applyNumberFormat="1" applyFont="1" applyBorder="1" applyAlignment="1">
      <alignment horizontal="center" vertical="center" wrapText="1"/>
      <protection/>
    </xf>
    <xf numFmtId="199" fontId="11" fillId="0" borderId="66" xfId="72" applyNumberFormat="1" applyFont="1" applyBorder="1" applyAlignment="1">
      <alignment horizontal="center" vertical="center" wrapText="1"/>
      <protection/>
    </xf>
    <xf numFmtId="199" fontId="11" fillId="0" borderId="0" xfId="72" applyNumberFormat="1" applyFont="1" applyAlignment="1">
      <alignment horizontal="center" vertical="center" wrapText="1"/>
      <protection/>
    </xf>
    <xf numFmtId="199" fontId="11" fillId="0" borderId="43" xfId="72" applyNumberFormat="1" applyFont="1" applyBorder="1" applyAlignment="1">
      <alignment horizontal="center" vertical="center" wrapText="1"/>
      <protection/>
    </xf>
    <xf numFmtId="199" fontId="11" fillId="0" borderId="58" xfId="72" applyNumberFormat="1" applyFont="1" applyBorder="1" applyAlignment="1">
      <alignment horizontal="center" vertical="center" wrapText="1"/>
      <protection/>
    </xf>
    <xf numFmtId="199" fontId="11" fillId="0" borderId="34" xfId="72" applyNumberFormat="1" applyFont="1" applyBorder="1" applyAlignment="1">
      <alignment horizontal="center" vertical="center" wrapText="1"/>
      <protection/>
    </xf>
    <xf numFmtId="199" fontId="11" fillId="0" borderId="71" xfId="72" applyNumberFormat="1" applyFont="1" applyBorder="1" applyAlignment="1">
      <alignment horizontal="center" vertical="center" wrapText="1"/>
      <protection/>
    </xf>
    <xf numFmtId="0" fontId="11" fillId="38" borderId="26" xfId="72" applyFont="1" applyFill="1" applyBorder="1" applyAlignment="1">
      <alignment horizontal="center" vertical="center" wrapText="1"/>
      <protection/>
    </xf>
    <xf numFmtId="0" fontId="11" fillId="38" borderId="0" xfId="72" applyFont="1" applyFill="1" applyAlignment="1">
      <alignment horizontal="center" vertical="center" wrapText="1"/>
      <protection/>
    </xf>
    <xf numFmtId="0" fontId="11" fillId="38" borderId="34" xfId="72" applyFont="1" applyFill="1" applyBorder="1" applyAlignment="1">
      <alignment horizontal="center" vertical="center" wrapText="1"/>
      <protection/>
    </xf>
    <xf numFmtId="0" fontId="11" fillId="38" borderId="14" xfId="72" applyFont="1" applyFill="1" applyBorder="1" applyAlignment="1">
      <alignment horizontal="left" vertical="center" wrapText="1"/>
      <protection/>
    </xf>
    <xf numFmtId="0" fontId="11" fillId="38" borderId="70" xfId="72" applyFont="1" applyFill="1" applyBorder="1" applyAlignment="1">
      <alignment horizontal="left" vertical="center" wrapText="1"/>
      <protection/>
    </xf>
    <xf numFmtId="0" fontId="11" fillId="38" borderId="17" xfId="72" applyFont="1" applyFill="1" applyBorder="1" applyAlignment="1">
      <alignment horizontal="left" vertical="center" wrapText="1"/>
      <protection/>
    </xf>
    <xf numFmtId="0" fontId="11" fillId="38" borderId="45" xfId="72" applyFont="1" applyFill="1" applyBorder="1" applyAlignment="1">
      <alignment horizontal="left" vertical="center" wrapText="1"/>
      <protection/>
    </xf>
    <xf numFmtId="0" fontId="11" fillId="38" borderId="40" xfId="72" applyFont="1" applyFill="1" applyBorder="1" applyAlignment="1">
      <alignment horizontal="left" vertical="center" wrapText="1"/>
      <protection/>
    </xf>
    <xf numFmtId="0" fontId="11" fillId="38" borderId="86" xfId="72" applyFont="1" applyFill="1" applyBorder="1" applyAlignment="1">
      <alignment horizontal="left" vertical="center" wrapText="1"/>
      <protection/>
    </xf>
    <xf numFmtId="0" fontId="11" fillId="38" borderId="79" xfId="72" applyFont="1" applyFill="1" applyBorder="1" applyAlignment="1">
      <alignment horizontal="left" vertical="center" wrapText="1"/>
      <protection/>
    </xf>
    <xf numFmtId="0" fontId="11" fillId="38" borderId="77" xfId="72" applyFont="1" applyFill="1" applyBorder="1" applyAlignment="1">
      <alignment horizontal="left" vertical="center" wrapText="1"/>
      <protection/>
    </xf>
    <xf numFmtId="9" fontId="0" fillId="0" borderId="13" xfId="79" applyFont="1" applyBorder="1" applyAlignment="1">
      <alignment horizontal="center" vertical="center" wrapText="1"/>
    </xf>
    <xf numFmtId="189" fontId="88" fillId="0" borderId="0" xfId="58" applyNumberFormat="1" applyFont="1" applyBorder="1" applyAlignment="1">
      <alignment horizontal="center" vertical="center" wrapText="1"/>
    </xf>
    <xf numFmtId="189" fontId="0" fillId="0" borderId="13" xfId="58" applyNumberFormat="1" applyFont="1" applyBorder="1" applyAlignment="1">
      <alignment horizontal="center" vertical="center"/>
    </xf>
    <xf numFmtId="9" fontId="0" fillId="0" borderId="22" xfId="79" applyFont="1" applyBorder="1" applyAlignment="1">
      <alignment horizontal="center" vertical="center"/>
    </xf>
    <xf numFmtId="9" fontId="0" fillId="0" borderId="16" xfId="79" applyFont="1" applyBorder="1" applyAlignment="1">
      <alignment horizontal="center" vertical="center"/>
    </xf>
    <xf numFmtId="189" fontId="0" fillId="0" borderId="22" xfId="58" applyNumberFormat="1" applyFont="1" applyBorder="1" applyAlignment="1">
      <alignment horizontal="center" vertical="center"/>
    </xf>
    <xf numFmtId="189" fontId="0" fillId="0" borderId="16" xfId="58" applyNumberFormat="1" applyFont="1" applyBorder="1" applyAlignment="1">
      <alignment horizontal="center" vertical="center"/>
    </xf>
    <xf numFmtId="14" fontId="94" fillId="0" borderId="13" xfId="0" applyNumberFormat="1" applyFont="1" applyBorder="1" applyAlignment="1">
      <alignment horizontal="center" vertical="center"/>
    </xf>
    <xf numFmtId="0" fontId="94" fillId="0" borderId="13" xfId="0" applyFont="1" applyBorder="1" applyAlignment="1">
      <alignment horizontal="center" vertical="center"/>
    </xf>
    <xf numFmtId="0" fontId="11" fillId="0" borderId="61" xfId="0" applyFont="1" applyBorder="1" applyAlignment="1">
      <alignment horizontal="left" vertical="center" wrapText="1"/>
    </xf>
    <xf numFmtId="0" fontId="11" fillId="0" borderId="69" xfId="0" applyFont="1" applyBorder="1" applyAlignment="1">
      <alignment horizontal="left" vertical="center" wrapText="1"/>
    </xf>
    <xf numFmtId="0" fontId="91" fillId="0" borderId="14" xfId="0" applyFont="1" applyBorder="1" applyAlignment="1">
      <alignment horizontal="center" vertical="center" wrapText="1"/>
    </xf>
    <xf numFmtId="0" fontId="91" fillId="0" borderId="17" xfId="0" applyFont="1" applyBorder="1" applyAlignment="1">
      <alignment horizontal="center" vertical="center" wrapText="1"/>
    </xf>
    <xf numFmtId="0" fontId="91" fillId="41" borderId="64" xfId="72" applyFont="1" applyFill="1" applyBorder="1" applyAlignment="1">
      <alignment horizontal="center" vertical="center" wrapText="1"/>
      <protection/>
    </xf>
    <xf numFmtId="0" fontId="91" fillId="41" borderId="41" xfId="72" applyFont="1" applyFill="1" applyBorder="1" applyAlignment="1">
      <alignment horizontal="center" vertical="center" wrapText="1"/>
      <protection/>
    </xf>
    <xf numFmtId="0" fontId="91" fillId="41" borderId="42" xfId="72" applyFont="1" applyFill="1" applyBorder="1" applyAlignment="1">
      <alignment horizontal="center" vertical="center" wrapText="1"/>
      <protection/>
    </xf>
    <xf numFmtId="0" fontId="91" fillId="41" borderId="66" xfId="72" applyFont="1" applyFill="1" applyBorder="1" applyAlignment="1">
      <alignment horizontal="center" vertical="center" wrapText="1"/>
      <protection/>
    </xf>
    <xf numFmtId="0" fontId="91" fillId="41" borderId="0" xfId="72" applyFont="1" applyFill="1" applyBorder="1" applyAlignment="1">
      <alignment horizontal="center" vertical="center" wrapText="1"/>
      <protection/>
    </xf>
    <xf numFmtId="0" fontId="91" fillId="41" borderId="43" xfId="72" applyFont="1" applyFill="1" applyBorder="1" applyAlignment="1">
      <alignment horizontal="center" vertical="center" wrapText="1"/>
      <protection/>
    </xf>
    <xf numFmtId="0" fontId="91" fillId="41" borderId="39" xfId="72" applyFont="1" applyFill="1" applyBorder="1" applyAlignment="1">
      <alignment horizontal="center" vertical="center" wrapText="1"/>
      <protection/>
    </xf>
    <xf numFmtId="0" fontId="91" fillId="41" borderId="15" xfId="72" applyFont="1" applyFill="1" applyBorder="1" applyAlignment="1">
      <alignment horizontal="center" vertical="center" wrapText="1"/>
      <protection/>
    </xf>
    <xf numFmtId="0" fontId="91" fillId="41" borderId="44" xfId="72" applyFont="1" applyFill="1" applyBorder="1" applyAlignment="1">
      <alignment horizontal="center" vertical="center" wrapText="1"/>
      <protection/>
    </xf>
    <xf numFmtId="0" fontId="11" fillId="41" borderId="64" xfId="72" applyFont="1" applyFill="1" applyBorder="1" applyAlignment="1">
      <alignment horizontal="center" vertical="center" wrapText="1"/>
      <protection/>
    </xf>
    <xf numFmtId="0" fontId="11" fillId="41" borderId="41" xfId="72" applyFont="1" applyFill="1" applyBorder="1" applyAlignment="1">
      <alignment horizontal="center" vertical="center" wrapText="1"/>
      <protection/>
    </xf>
    <xf numFmtId="0" fontId="11" fillId="41" borderId="42" xfId="72" applyFont="1" applyFill="1" applyBorder="1" applyAlignment="1">
      <alignment horizontal="center" vertical="center" wrapText="1"/>
      <protection/>
    </xf>
    <xf numFmtId="0" fontId="11" fillId="41" borderId="66" xfId="72" applyFont="1" applyFill="1" applyBorder="1" applyAlignment="1">
      <alignment horizontal="center" vertical="center" wrapText="1"/>
      <protection/>
    </xf>
    <xf numFmtId="0" fontId="11" fillId="41" borderId="0" xfId="72" applyFont="1" applyFill="1" applyBorder="1" applyAlignment="1">
      <alignment horizontal="center" vertical="center" wrapText="1"/>
      <protection/>
    </xf>
    <xf numFmtId="0" fontId="11" fillId="41" borderId="43" xfId="72" applyFont="1" applyFill="1" applyBorder="1" applyAlignment="1">
      <alignment horizontal="center" vertical="center" wrapText="1"/>
      <protection/>
    </xf>
    <xf numFmtId="0" fontId="11" fillId="41" borderId="39" xfId="72" applyFont="1" applyFill="1" applyBorder="1" applyAlignment="1">
      <alignment horizontal="center" vertical="center" wrapText="1"/>
      <protection/>
    </xf>
    <xf numFmtId="0" fontId="11" fillId="41" borderId="15" xfId="72" applyFont="1" applyFill="1" applyBorder="1" applyAlignment="1">
      <alignment horizontal="center" vertical="center" wrapText="1"/>
      <protection/>
    </xf>
    <xf numFmtId="0" fontId="11" fillId="41" borderId="44" xfId="72" applyFont="1" applyFill="1" applyBorder="1" applyAlignment="1">
      <alignment horizontal="center" vertical="center" wrapText="1"/>
      <protection/>
    </xf>
    <xf numFmtId="0" fontId="91" fillId="0" borderId="14" xfId="0" applyFont="1" applyBorder="1" applyAlignment="1">
      <alignment horizontal="left" vertical="center" wrapText="1"/>
    </xf>
    <xf numFmtId="0" fontId="91" fillId="0" borderId="17" xfId="0" applyFont="1" applyBorder="1" applyAlignment="1">
      <alignment horizontal="left" vertical="center" wrapText="1"/>
    </xf>
    <xf numFmtId="0" fontId="11" fillId="0" borderId="14" xfId="0" applyFont="1" applyBorder="1" applyAlignment="1">
      <alignment horizontal="left" vertical="center" wrapText="1"/>
    </xf>
    <xf numFmtId="0" fontId="11" fillId="0" borderId="17" xfId="0" applyFont="1" applyBorder="1" applyAlignment="1">
      <alignment horizontal="left" vertical="center" wrapText="1"/>
    </xf>
    <xf numFmtId="0" fontId="91" fillId="0" borderId="14" xfId="0" applyFont="1" applyBorder="1" applyAlignment="1">
      <alignment horizontal="center" vertical="center"/>
    </xf>
    <xf numFmtId="0" fontId="91" fillId="0" borderId="70" xfId="0" applyFont="1" applyBorder="1" applyAlignment="1">
      <alignment horizontal="center" vertical="center"/>
    </xf>
    <xf numFmtId="0" fontId="91" fillId="0" borderId="17" xfId="0" applyFont="1" applyBorder="1" applyAlignment="1">
      <alignment horizontal="center" vertical="center"/>
    </xf>
    <xf numFmtId="0" fontId="89" fillId="0" borderId="22" xfId="59" applyNumberFormat="1" applyFont="1" applyBorder="1" applyAlignment="1">
      <alignment horizontal="center" vertical="center" wrapText="1"/>
    </xf>
    <xf numFmtId="0" fontId="89" fillId="0" borderId="16" xfId="59" applyNumberFormat="1" applyFont="1" applyBorder="1" applyAlignment="1">
      <alignment horizontal="center" vertical="center" wrapText="1"/>
    </xf>
    <xf numFmtId="0" fontId="89" fillId="0" borderId="22" xfId="0" applyFont="1" applyBorder="1" applyAlignment="1">
      <alignment horizontal="center" vertical="center"/>
    </xf>
    <xf numFmtId="0" fontId="89" fillId="0" borderId="16" xfId="0" applyFont="1" applyBorder="1" applyAlignment="1">
      <alignment horizontal="center" vertical="center"/>
    </xf>
    <xf numFmtId="9" fontId="89" fillId="0" borderId="22" xfId="79" applyFont="1" applyBorder="1" applyAlignment="1">
      <alignment horizontal="center" vertical="center" wrapText="1"/>
    </xf>
    <xf numFmtId="9" fontId="89" fillId="0" borderId="16" xfId="79" applyFont="1" applyBorder="1" applyAlignment="1">
      <alignment horizontal="center" vertical="center" wrapText="1"/>
    </xf>
    <xf numFmtId="9" fontId="89" fillId="0" borderId="22" xfId="79" applyFont="1" applyBorder="1" applyAlignment="1">
      <alignment horizontal="center" vertical="center"/>
    </xf>
    <xf numFmtId="9" fontId="89" fillId="0" borderId="16" xfId="79" applyFont="1" applyBorder="1" applyAlignment="1">
      <alignment horizontal="center" vertical="center"/>
    </xf>
    <xf numFmtId="9" fontId="89" fillId="0" borderId="22" xfId="79" applyFont="1" applyFill="1" applyBorder="1" applyAlignment="1">
      <alignment horizontal="center" vertical="center"/>
    </xf>
    <xf numFmtId="9" fontId="89" fillId="0" borderId="16" xfId="79" applyFont="1" applyFill="1" applyBorder="1" applyAlignment="1">
      <alignment horizontal="center" vertical="center"/>
    </xf>
    <xf numFmtId="0" fontId="89" fillId="0" borderId="22" xfId="79" applyNumberFormat="1" applyFont="1" applyFill="1" applyBorder="1" applyAlignment="1">
      <alignment horizontal="left" vertical="center" wrapText="1"/>
    </xf>
    <xf numFmtId="0" fontId="89" fillId="0" borderId="16" xfId="79" applyNumberFormat="1" applyFont="1" applyFill="1" applyBorder="1" applyAlignment="1">
      <alignment horizontal="left" vertical="center" wrapText="1"/>
    </xf>
    <xf numFmtId="0" fontId="10" fillId="0" borderId="22" xfId="79" applyNumberFormat="1" applyFont="1" applyFill="1" applyBorder="1" applyAlignment="1">
      <alignment horizontal="center" vertical="center" wrapText="1"/>
    </xf>
    <xf numFmtId="0" fontId="10" fillId="0" borderId="16" xfId="79" applyNumberFormat="1" applyFont="1" applyFill="1" applyBorder="1" applyAlignment="1">
      <alignment horizontal="center" vertical="center"/>
    </xf>
    <xf numFmtId="0" fontId="10" fillId="0" borderId="16" xfId="79" applyNumberFormat="1" applyFont="1" applyFill="1" applyBorder="1" applyAlignment="1">
      <alignment horizontal="center" vertical="center" wrapText="1"/>
    </xf>
    <xf numFmtId="0" fontId="91" fillId="11" borderId="0" xfId="0" applyFont="1" applyFill="1" applyAlignment="1">
      <alignment horizontal="center" vertical="center"/>
    </xf>
    <xf numFmtId="0" fontId="91" fillId="0" borderId="13" xfId="0" applyFont="1" applyBorder="1" applyAlignment="1">
      <alignment horizontal="center" vertical="center" wrapText="1"/>
    </xf>
    <xf numFmtId="0" fontId="11" fillId="0" borderId="13" xfId="0" applyFont="1" applyBorder="1" applyAlignment="1">
      <alignment horizontal="left" vertical="center" wrapText="1"/>
    </xf>
    <xf numFmtId="9" fontId="10" fillId="0" borderId="22" xfId="79" applyFont="1" applyBorder="1" applyAlignment="1">
      <alignment horizontal="left" vertical="center" wrapText="1"/>
    </xf>
    <xf numFmtId="9" fontId="10" fillId="0" borderId="16" xfId="79" applyFont="1" applyBorder="1" applyAlignment="1">
      <alignment horizontal="left" vertical="center" wrapText="1"/>
    </xf>
    <xf numFmtId="0" fontId="89" fillId="0" borderId="22" xfId="0" applyFont="1" applyBorder="1" applyAlignment="1">
      <alignment horizontal="center" vertical="center" wrapText="1"/>
    </xf>
    <xf numFmtId="0" fontId="89" fillId="0" borderId="16" xfId="0" applyFont="1" applyBorder="1" applyAlignment="1">
      <alignment horizontal="center" vertical="center" wrapText="1"/>
    </xf>
    <xf numFmtId="9" fontId="89" fillId="0" borderId="22" xfId="0" applyNumberFormat="1" applyFont="1" applyBorder="1" applyAlignment="1">
      <alignment horizontal="center" vertical="center"/>
    </xf>
    <xf numFmtId="9" fontId="89" fillId="0" borderId="16" xfId="0" applyNumberFormat="1" applyFont="1" applyBorder="1" applyAlignment="1">
      <alignment horizontal="center" vertical="center"/>
    </xf>
    <xf numFmtId="9" fontId="10" fillId="0" borderId="16" xfId="72" applyNumberFormat="1" applyFont="1" applyBorder="1" applyAlignment="1">
      <alignment horizontal="center" vertical="center" wrapText="1"/>
      <protection/>
    </xf>
    <xf numFmtId="9" fontId="10" fillId="0" borderId="22" xfId="72" applyNumberFormat="1" applyFont="1" applyFill="1" applyBorder="1" applyAlignment="1">
      <alignment horizontal="center" vertical="center" wrapText="1"/>
      <protection/>
    </xf>
    <xf numFmtId="9" fontId="10" fillId="0" borderId="16" xfId="72" applyNumberFormat="1" applyFont="1" applyFill="1" applyBorder="1" applyAlignment="1">
      <alignment horizontal="center" vertical="center" wrapText="1"/>
      <protection/>
    </xf>
    <xf numFmtId="0" fontId="91" fillId="11" borderId="13" xfId="0" applyFont="1" applyFill="1" applyBorder="1" applyAlignment="1">
      <alignment horizontal="center" vertical="center" wrapText="1"/>
    </xf>
    <xf numFmtId="0" fontId="11" fillId="38" borderId="16" xfId="72" applyFont="1" applyFill="1" applyBorder="1" applyAlignment="1">
      <alignment horizontal="left" vertical="center" wrapText="1"/>
      <protection/>
    </xf>
    <xf numFmtId="0" fontId="11" fillId="0" borderId="13" xfId="0" applyFont="1" applyBorder="1" applyAlignment="1">
      <alignment horizontal="center" vertical="center" wrapText="1"/>
    </xf>
    <xf numFmtId="0" fontId="91" fillId="11" borderId="13" xfId="0" applyFont="1" applyFill="1" applyBorder="1" applyAlignment="1">
      <alignment horizontal="left" vertical="center"/>
    </xf>
    <xf numFmtId="0" fontId="89" fillId="0" borderId="13" xfId="0" applyFont="1" applyBorder="1" applyAlignment="1">
      <alignment horizontal="left" vertical="center"/>
    </xf>
    <xf numFmtId="0" fontId="0" fillId="0" borderId="43"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80"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xf numFmtId="0" fontId="89" fillId="37" borderId="13" xfId="80" applyNumberFormat="1" applyFont="1" applyFill="1" applyBorder="1" applyAlignment="1">
      <alignment vertical="center" wrapText="1"/>
    </xf>
    <xf numFmtId="0" fontId="10" fillId="37" borderId="13" xfId="80" applyNumberFormat="1" applyFont="1" applyFill="1" applyBorder="1" applyAlignment="1">
      <alignment horizontal="center" vertical="center"/>
    </xf>
    <xf numFmtId="0" fontId="89" fillId="0" borderId="13" xfId="79" applyNumberFormat="1" applyFont="1" applyBorder="1" applyAlignment="1" quotePrefix="1">
      <alignment horizontal="left" vertical="center" wrapText="1"/>
    </xf>
    <xf numFmtId="0" fontId="89" fillId="0" borderId="13" xfId="79" applyNumberFormat="1" applyFont="1" applyFill="1" applyBorder="1" applyAlignment="1">
      <alignment horizontal="left" vertical="center" wrapText="1"/>
    </xf>
    <xf numFmtId="0" fontId="10" fillId="0" borderId="13" xfId="79" applyNumberFormat="1" applyFont="1" applyFill="1" applyBorder="1" applyAlignment="1" quotePrefix="1">
      <alignment horizontal="left" vertical="center" wrapText="1"/>
    </xf>
    <xf numFmtId="0" fontId="10" fillId="0" borderId="13" xfId="79" applyNumberFormat="1" applyFont="1" applyFill="1" applyBorder="1" applyAlignment="1">
      <alignment horizontal="left" vertical="center" wrapText="1"/>
    </xf>
    <xf numFmtId="0" fontId="0" fillId="0" borderId="13" xfId="0" applyBorder="1" applyAlignment="1" quotePrefix="1">
      <alignment vertical="center" wrapText="1"/>
    </xf>
    <xf numFmtId="0" fontId="89" fillId="0" borderId="13" xfId="79" applyNumberFormat="1" applyFont="1" applyFill="1" applyBorder="1" applyAlignment="1" quotePrefix="1">
      <alignment vertical="center" wrapText="1"/>
    </xf>
    <xf numFmtId="0" fontId="89" fillId="0" borderId="13" xfId="79" applyNumberFormat="1" applyFont="1" applyBorder="1" applyAlignment="1" quotePrefix="1">
      <alignment vertical="center" wrapText="1"/>
    </xf>
    <xf numFmtId="0" fontId="103" fillId="0" borderId="13" xfId="79" applyNumberFormat="1" applyFont="1" applyFill="1" applyBorder="1" applyAlignment="1">
      <alignment horizontal="left" vertical="center" wrapText="1"/>
    </xf>
    <xf numFmtId="0" fontId="104" fillId="0" borderId="13" xfId="79" applyNumberFormat="1" applyFont="1" applyFill="1" applyBorder="1" applyAlignment="1">
      <alignment horizontal="left" vertical="top" wrapText="1"/>
    </xf>
    <xf numFmtId="0" fontId="99" fillId="0" borderId="13" xfId="0" applyFont="1" applyBorder="1" applyAlignment="1">
      <alignment vertical="center" wrapText="1"/>
    </xf>
    <xf numFmtId="0" fontId="92" fillId="0" borderId="17" xfId="0" applyFont="1" applyBorder="1" applyAlignment="1">
      <alignment vertical="center" wrapText="1"/>
    </xf>
    <xf numFmtId="0" fontId="89" fillId="42" borderId="13" xfId="79" applyNumberFormat="1" applyFont="1" applyFill="1" applyBorder="1" applyAlignment="1">
      <alignment vertical="top" wrapText="1"/>
    </xf>
    <xf numFmtId="9" fontId="93" fillId="0" borderId="13" xfId="79" applyFont="1" applyFill="1" applyBorder="1" applyAlignment="1">
      <alignment vertical="center" wrapText="1"/>
    </xf>
    <xf numFmtId="0" fontId="10" fillId="0" borderId="13" xfId="79" applyNumberFormat="1" applyFont="1" applyBorder="1" applyAlignment="1">
      <alignment horizontal="center" vertical="center" wrapText="1"/>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0] 2 2" xfId="61"/>
    <cellStyle name="Millares 2" xfId="62"/>
    <cellStyle name="Currency" xfId="63"/>
    <cellStyle name="Currency [0]" xfId="64"/>
    <cellStyle name="Moneda 130" xfId="65"/>
    <cellStyle name="Moneda 2" xfId="66"/>
    <cellStyle name="Moneda 2 2" xfId="67"/>
    <cellStyle name="Moneda 23" xfId="68"/>
    <cellStyle name="Moneda 3" xfId="69"/>
    <cellStyle name="Neutral" xfId="70"/>
    <cellStyle name="Neutral 2" xfId="71"/>
    <cellStyle name="Normal 2" xfId="72"/>
    <cellStyle name="Normal 2 2" xfId="73"/>
    <cellStyle name="Normal 2 3" xfId="74"/>
    <cellStyle name="Normal 3" xfId="75"/>
    <cellStyle name="Normal 3 2" xfId="76"/>
    <cellStyle name="Normal 6 2" xfId="77"/>
    <cellStyle name="Notas" xfId="78"/>
    <cellStyle name="Percent" xfId="79"/>
    <cellStyle name="Porcentaje 2" xfId="80"/>
    <cellStyle name="Porcentual 2" xfId="81"/>
    <cellStyle name="Salida" xfId="82"/>
    <cellStyle name="Texto de advertencia" xfId="83"/>
    <cellStyle name="Texto de inicio" xfId="84"/>
    <cellStyle name="Texto de la columna A" xfId="85"/>
    <cellStyle name="Texto explicativo" xfId="86"/>
    <cellStyle name="Título" xfId="87"/>
    <cellStyle name="Título 2" xfId="88"/>
    <cellStyle name="Título 3" xfId="89"/>
    <cellStyle name="Título 4" xfId="90"/>
    <cellStyle name="Total"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238125</xdr:colOff>
      <xdr:row>15</xdr:row>
      <xdr:rowOff>2428875</xdr:rowOff>
    </xdr:from>
    <xdr:to>
      <xdr:col>7</xdr:col>
      <xdr:colOff>238125</xdr:colOff>
      <xdr:row>15</xdr:row>
      <xdr:rowOff>2428875</xdr:rowOff>
    </xdr:to>
    <xdr:pic>
      <xdr:nvPicPr>
        <xdr:cNvPr id="1" name="Entrada de lápiz 1"/>
        <xdr:cNvPicPr preferRelativeResize="1">
          <a:picLocks noChangeAspect="1"/>
        </xdr:cNvPicPr>
      </xdr:nvPicPr>
      <xdr:blipFill>
        <a:blip r:embed="rId1"/>
        <a:stretch>
          <a:fillRect/>
        </a:stretch>
      </xdr:blipFill>
      <xdr:spPr>
        <a:xfrm>
          <a:off x="5257800" y="10467975"/>
          <a:ext cx="0" cy="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152400</xdr:colOff>
      <xdr:row>11</xdr:row>
      <xdr:rowOff>542925</xdr:rowOff>
    </xdr:from>
    <xdr:to>
      <xdr:col>18</xdr:col>
      <xdr:colOff>152400</xdr:colOff>
      <xdr:row>12</xdr:row>
      <xdr:rowOff>542925</xdr:rowOff>
    </xdr:to>
    <xdr:pic>
      <xdr:nvPicPr>
        <xdr:cNvPr id="1" name="Entrada de lápiz 7"/>
        <xdr:cNvPicPr preferRelativeResize="1">
          <a:picLocks noChangeAspect="1"/>
        </xdr:cNvPicPr>
      </xdr:nvPicPr>
      <xdr:blipFill>
        <a:blip r:embed="rId1"/>
        <a:stretch>
          <a:fillRect/>
        </a:stretch>
      </xdr:blipFill>
      <xdr:spPr>
        <a:xfrm>
          <a:off x="17068800" y="2981325"/>
          <a:ext cx="0" cy="542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381625"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2" name="Entrada de lápiz 4"/>
        <xdr:cNvPicPr preferRelativeResize="1">
          <a:picLocks noChangeAspect="1"/>
        </xdr:cNvPicPr>
      </xdr:nvPicPr>
      <xdr:blipFill>
        <a:blip r:embed="rId1"/>
        <a:stretch>
          <a:fillRect/>
        </a:stretch>
      </xdr:blipFill>
      <xdr:spPr>
        <a:xfrm>
          <a:off x="5381625" y="2981325"/>
          <a:ext cx="0" cy="0"/>
        </a:xfrm>
        <a:prstGeom prst="rect">
          <a:avLst/>
        </a:prstGeom>
        <a:noFill/>
        <a:ln w="9525" cmpd="sng">
          <a:noFill/>
        </a:ln>
      </xdr:spPr>
    </xdr:pic>
    <xdr:clientData/>
  </xdr:twoCellAnchor>
  <xdr:twoCellAnchor editAs="oneCell">
    <xdr:from>
      <xdr:col>19</xdr:col>
      <xdr:colOff>152400</xdr:colOff>
      <xdr:row>12</xdr:row>
      <xdr:rowOff>0</xdr:rowOff>
    </xdr:from>
    <xdr:to>
      <xdr:col>19</xdr:col>
      <xdr:colOff>152400</xdr:colOff>
      <xdr:row>12</xdr:row>
      <xdr:rowOff>0</xdr:rowOff>
    </xdr:to>
    <xdr:pic>
      <xdr:nvPicPr>
        <xdr:cNvPr id="3" name="Entrada de lápiz 7"/>
        <xdr:cNvPicPr preferRelativeResize="1">
          <a:picLocks noChangeAspect="1"/>
        </xdr:cNvPicPr>
      </xdr:nvPicPr>
      <xdr:blipFill>
        <a:blip r:embed="rId1"/>
        <a:stretch>
          <a:fillRect/>
        </a:stretch>
      </xdr:blipFill>
      <xdr:spPr>
        <a:xfrm>
          <a:off x="17649825" y="2981325"/>
          <a:ext cx="0" cy="0"/>
        </a:xfrm>
        <a:prstGeom prst="rect">
          <a:avLst/>
        </a:prstGeom>
        <a:noFill/>
        <a:ln w="9525" cmpd="sng">
          <a:noFill/>
        </a:ln>
      </xdr:spPr>
    </xdr:pic>
    <xdr:clientData/>
  </xdr:twoCellAnchor>
  <xdr:twoCellAnchor editAs="oneCell">
    <xdr:from>
      <xdr:col>19</xdr:col>
      <xdr:colOff>152400</xdr:colOff>
      <xdr:row>12</xdr:row>
      <xdr:rowOff>0</xdr:rowOff>
    </xdr:from>
    <xdr:to>
      <xdr:col>19</xdr:col>
      <xdr:colOff>152400</xdr:colOff>
      <xdr:row>12</xdr:row>
      <xdr:rowOff>0</xdr:rowOff>
    </xdr:to>
    <xdr:pic>
      <xdr:nvPicPr>
        <xdr:cNvPr id="4" name="Entrada de lápiz 7"/>
        <xdr:cNvPicPr preferRelativeResize="1">
          <a:picLocks noChangeAspect="1"/>
        </xdr:cNvPicPr>
      </xdr:nvPicPr>
      <xdr:blipFill>
        <a:blip r:embed="rId1"/>
        <a:stretch>
          <a:fillRect/>
        </a:stretch>
      </xdr:blipFill>
      <xdr:spPr>
        <a:xfrm>
          <a:off x="17649825" y="2981325"/>
          <a:ext cx="0" cy="0"/>
        </a:xfrm>
        <a:prstGeom prst="rect">
          <a:avLst/>
        </a:prstGeom>
        <a:noFill/>
        <a:ln w="9525" cmpd="sng">
          <a:noFill/>
        </a:ln>
      </xdr:spPr>
    </xdr:pic>
    <xdr:clientData/>
  </xdr:twoCellAnchor>
  <xdr:twoCellAnchor editAs="oneCell">
    <xdr:from>
      <xdr:col>7</xdr:col>
      <xdr:colOff>247650</xdr:colOff>
      <xdr:row>13</xdr:row>
      <xdr:rowOff>0</xdr:rowOff>
    </xdr:from>
    <xdr:to>
      <xdr:col>7</xdr:col>
      <xdr:colOff>247650</xdr:colOff>
      <xdr:row>13</xdr:row>
      <xdr:rowOff>0</xdr:rowOff>
    </xdr:to>
    <xdr:pic>
      <xdr:nvPicPr>
        <xdr:cNvPr id="5" name="Entrada de lápiz 4"/>
        <xdr:cNvPicPr preferRelativeResize="1">
          <a:picLocks noChangeAspect="1"/>
        </xdr:cNvPicPr>
      </xdr:nvPicPr>
      <xdr:blipFill>
        <a:blip r:embed="rId1"/>
        <a:stretch>
          <a:fillRect/>
        </a:stretch>
      </xdr:blipFill>
      <xdr:spPr>
        <a:xfrm>
          <a:off x="5381625" y="5457825"/>
          <a:ext cx="0" cy="0"/>
        </a:xfrm>
        <a:prstGeom prst="rect">
          <a:avLst/>
        </a:prstGeom>
        <a:noFill/>
        <a:ln w="9525" cmpd="sng">
          <a:noFill/>
        </a:ln>
      </xdr:spPr>
    </xdr:pic>
    <xdr:clientData/>
  </xdr:twoCellAnchor>
  <xdr:twoCellAnchor editAs="oneCell">
    <xdr:from>
      <xdr:col>7</xdr:col>
      <xdr:colOff>247650</xdr:colOff>
      <xdr:row>14</xdr:row>
      <xdr:rowOff>0</xdr:rowOff>
    </xdr:from>
    <xdr:to>
      <xdr:col>7</xdr:col>
      <xdr:colOff>247650</xdr:colOff>
      <xdr:row>14</xdr:row>
      <xdr:rowOff>0</xdr:rowOff>
    </xdr:to>
    <xdr:pic>
      <xdr:nvPicPr>
        <xdr:cNvPr id="6" name="Entrada de lápiz 4"/>
        <xdr:cNvPicPr preferRelativeResize="1">
          <a:picLocks noChangeAspect="1"/>
        </xdr:cNvPicPr>
      </xdr:nvPicPr>
      <xdr:blipFill>
        <a:blip r:embed="rId1"/>
        <a:stretch>
          <a:fillRect/>
        </a:stretch>
      </xdr:blipFill>
      <xdr:spPr>
        <a:xfrm>
          <a:off x="5381625" y="7934325"/>
          <a:ext cx="0" cy="0"/>
        </a:xfrm>
        <a:prstGeom prst="rect">
          <a:avLst/>
        </a:prstGeom>
        <a:noFill/>
        <a:ln w="9525" cmpd="sng">
          <a:noFill/>
        </a:ln>
      </xdr:spPr>
    </xdr:pic>
    <xdr:clientData/>
  </xdr:twoCellAnchor>
  <xdr:twoCellAnchor editAs="oneCell">
    <xdr:from>
      <xdr:col>7</xdr:col>
      <xdr:colOff>247650</xdr:colOff>
      <xdr:row>15</xdr:row>
      <xdr:rowOff>0</xdr:rowOff>
    </xdr:from>
    <xdr:to>
      <xdr:col>7</xdr:col>
      <xdr:colOff>247650</xdr:colOff>
      <xdr:row>15</xdr:row>
      <xdr:rowOff>0</xdr:rowOff>
    </xdr:to>
    <xdr:pic>
      <xdr:nvPicPr>
        <xdr:cNvPr id="7" name="Entrada de lápiz 4"/>
        <xdr:cNvPicPr preferRelativeResize="1">
          <a:picLocks noChangeAspect="1"/>
        </xdr:cNvPicPr>
      </xdr:nvPicPr>
      <xdr:blipFill>
        <a:blip r:embed="rId1"/>
        <a:stretch>
          <a:fillRect/>
        </a:stretch>
      </xdr:blipFill>
      <xdr:spPr>
        <a:xfrm>
          <a:off x="5381625" y="12887325"/>
          <a:ext cx="0" cy="0"/>
        </a:xfrm>
        <a:prstGeom prst="rect">
          <a:avLst/>
        </a:prstGeom>
        <a:noFill/>
        <a:ln w="9525" cmpd="sng">
          <a:noFill/>
        </a:ln>
      </xdr:spPr>
    </xdr:pic>
    <xdr:clientData/>
  </xdr:twoCellAnchor>
  <xdr:twoCellAnchor editAs="oneCell">
    <xdr:from>
      <xdr:col>7</xdr:col>
      <xdr:colOff>247650</xdr:colOff>
      <xdr:row>18</xdr:row>
      <xdr:rowOff>0</xdr:rowOff>
    </xdr:from>
    <xdr:to>
      <xdr:col>7</xdr:col>
      <xdr:colOff>247650</xdr:colOff>
      <xdr:row>18</xdr:row>
      <xdr:rowOff>0</xdr:rowOff>
    </xdr:to>
    <xdr:pic>
      <xdr:nvPicPr>
        <xdr:cNvPr id="8" name="Entrada de lápiz 4"/>
        <xdr:cNvPicPr preferRelativeResize="1">
          <a:picLocks noChangeAspect="1"/>
        </xdr:cNvPicPr>
      </xdr:nvPicPr>
      <xdr:blipFill>
        <a:blip r:embed="rId1"/>
        <a:stretch>
          <a:fillRect/>
        </a:stretch>
      </xdr:blipFill>
      <xdr:spPr>
        <a:xfrm>
          <a:off x="5381625" y="20545425"/>
          <a:ext cx="0" cy="0"/>
        </a:xfrm>
        <a:prstGeom prst="rect">
          <a:avLst/>
        </a:prstGeom>
        <a:noFill/>
        <a:ln w="9525" cmpd="sng">
          <a:noFill/>
        </a:ln>
      </xdr:spPr>
    </xdr:pic>
    <xdr:clientData/>
  </xdr:twoCellAnchor>
  <xdr:twoCellAnchor editAs="oneCell">
    <xdr:from>
      <xdr:col>7</xdr:col>
      <xdr:colOff>247650</xdr:colOff>
      <xdr:row>19</xdr:row>
      <xdr:rowOff>0</xdr:rowOff>
    </xdr:from>
    <xdr:to>
      <xdr:col>7</xdr:col>
      <xdr:colOff>247650</xdr:colOff>
      <xdr:row>19</xdr:row>
      <xdr:rowOff>0</xdr:rowOff>
    </xdr:to>
    <xdr:pic>
      <xdr:nvPicPr>
        <xdr:cNvPr id="9" name="Entrada de lápiz 4"/>
        <xdr:cNvPicPr preferRelativeResize="1">
          <a:picLocks noChangeAspect="1"/>
        </xdr:cNvPicPr>
      </xdr:nvPicPr>
      <xdr:blipFill>
        <a:blip r:embed="rId1"/>
        <a:stretch>
          <a:fillRect/>
        </a:stretch>
      </xdr:blipFill>
      <xdr:spPr>
        <a:xfrm>
          <a:off x="5381625" y="25307925"/>
          <a:ext cx="0" cy="0"/>
        </a:xfrm>
        <a:prstGeom prst="rect">
          <a:avLst/>
        </a:prstGeom>
        <a:noFill/>
        <a:ln w="9525" cmpd="sng">
          <a:noFill/>
        </a:ln>
      </xdr:spPr>
    </xdr:pic>
    <xdr:clientData/>
  </xdr:twoCellAnchor>
  <xdr:twoCellAnchor editAs="oneCell">
    <xdr:from>
      <xdr:col>7</xdr:col>
      <xdr:colOff>247650</xdr:colOff>
      <xdr:row>20</xdr:row>
      <xdr:rowOff>0</xdr:rowOff>
    </xdr:from>
    <xdr:to>
      <xdr:col>7</xdr:col>
      <xdr:colOff>247650</xdr:colOff>
      <xdr:row>20</xdr:row>
      <xdr:rowOff>0</xdr:rowOff>
    </xdr:to>
    <xdr:pic>
      <xdr:nvPicPr>
        <xdr:cNvPr id="10" name="Entrada de lápiz 4"/>
        <xdr:cNvPicPr preferRelativeResize="1">
          <a:picLocks noChangeAspect="1"/>
        </xdr:cNvPicPr>
      </xdr:nvPicPr>
      <xdr:blipFill>
        <a:blip r:embed="rId1"/>
        <a:stretch>
          <a:fillRect/>
        </a:stretch>
      </xdr:blipFill>
      <xdr:spPr>
        <a:xfrm>
          <a:off x="5381625" y="28717875"/>
          <a:ext cx="0" cy="0"/>
        </a:xfrm>
        <a:prstGeom prst="rect">
          <a:avLst/>
        </a:prstGeom>
        <a:noFill/>
        <a:ln w="9525" cmpd="sng">
          <a:noFill/>
        </a:ln>
      </xdr:spPr>
    </xdr:pic>
    <xdr:clientData/>
  </xdr:twoCellAnchor>
  <xdr:twoCellAnchor editAs="oneCell">
    <xdr:from>
      <xdr:col>7</xdr:col>
      <xdr:colOff>247650</xdr:colOff>
      <xdr:row>21</xdr:row>
      <xdr:rowOff>0</xdr:rowOff>
    </xdr:from>
    <xdr:to>
      <xdr:col>7</xdr:col>
      <xdr:colOff>247650</xdr:colOff>
      <xdr:row>21</xdr:row>
      <xdr:rowOff>0</xdr:rowOff>
    </xdr:to>
    <xdr:pic>
      <xdr:nvPicPr>
        <xdr:cNvPr id="11" name="Entrada de lápiz 4"/>
        <xdr:cNvPicPr preferRelativeResize="1">
          <a:picLocks noChangeAspect="1"/>
        </xdr:cNvPicPr>
      </xdr:nvPicPr>
      <xdr:blipFill>
        <a:blip r:embed="rId1"/>
        <a:stretch>
          <a:fillRect/>
        </a:stretch>
      </xdr:blipFill>
      <xdr:spPr>
        <a:xfrm>
          <a:off x="5381625" y="31461075"/>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238125</xdr:colOff>
      <xdr:row>18</xdr:row>
      <xdr:rowOff>0</xdr:rowOff>
    </xdr:from>
    <xdr:to>
      <xdr:col>7</xdr:col>
      <xdr:colOff>238125</xdr:colOff>
      <xdr:row>18</xdr:row>
      <xdr:rowOff>0</xdr:rowOff>
    </xdr:to>
    <xdr:pic>
      <xdr:nvPicPr>
        <xdr:cNvPr id="1" name="Entrada de lápiz 4"/>
        <xdr:cNvPicPr preferRelativeResize="1">
          <a:picLocks noChangeAspect="1"/>
        </xdr:cNvPicPr>
      </xdr:nvPicPr>
      <xdr:blipFill>
        <a:blip r:embed="rId1"/>
        <a:stretch>
          <a:fillRect/>
        </a:stretch>
      </xdr:blipFill>
      <xdr:spPr>
        <a:xfrm>
          <a:off x="5372100" y="20402550"/>
          <a:ext cx="0"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152400</xdr:colOff>
      <xdr:row>20</xdr:row>
      <xdr:rowOff>0</xdr:rowOff>
    </xdr:from>
    <xdr:to>
      <xdr:col>19</xdr:col>
      <xdr:colOff>152400</xdr:colOff>
      <xdr:row>20</xdr:row>
      <xdr:rowOff>0</xdr:rowOff>
    </xdr:to>
    <xdr:pic>
      <xdr:nvPicPr>
        <xdr:cNvPr id="1" name="Entrada de lápiz 7"/>
        <xdr:cNvPicPr preferRelativeResize="1">
          <a:picLocks noChangeAspect="1"/>
        </xdr:cNvPicPr>
      </xdr:nvPicPr>
      <xdr:blipFill>
        <a:blip r:embed="rId1"/>
        <a:stretch>
          <a:fillRect/>
        </a:stretch>
      </xdr:blipFill>
      <xdr:spPr>
        <a:xfrm>
          <a:off x="18478500" y="26260425"/>
          <a:ext cx="0" cy="0"/>
        </a:xfrm>
        <a:prstGeom prst="rect">
          <a:avLst/>
        </a:prstGeom>
        <a:noFill/>
        <a:ln w="9525" cmpd="sng">
          <a:noFill/>
        </a:ln>
      </xdr:spPr>
    </xdr:pic>
    <xdr:clientData/>
  </xdr:twoCellAnchor>
  <xdr:twoCellAnchor editAs="oneCell">
    <xdr:from>
      <xdr:col>19</xdr:col>
      <xdr:colOff>152400</xdr:colOff>
      <xdr:row>20</xdr:row>
      <xdr:rowOff>0</xdr:rowOff>
    </xdr:from>
    <xdr:to>
      <xdr:col>19</xdr:col>
      <xdr:colOff>152400</xdr:colOff>
      <xdr:row>20</xdr:row>
      <xdr:rowOff>0</xdr:rowOff>
    </xdr:to>
    <xdr:pic>
      <xdr:nvPicPr>
        <xdr:cNvPr id="2" name="Entrada de lápiz 7"/>
        <xdr:cNvPicPr preferRelativeResize="1">
          <a:picLocks noChangeAspect="1"/>
        </xdr:cNvPicPr>
      </xdr:nvPicPr>
      <xdr:blipFill>
        <a:blip r:embed="rId1"/>
        <a:stretch>
          <a:fillRect/>
        </a:stretch>
      </xdr:blipFill>
      <xdr:spPr>
        <a:xfrm>
          <a:off x="18478500" y="26260425"/>
          <a:ext cx="0" cy="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257175</xdr:colOff>
      <xdr:row>19</xdr:row>
      <xdr:rowOff>0</xdr:rowOff>
    </xdr:from>
    <xdr:to>
      <xdr:col>7</xdr:col>
      <xdr:colOff>257175</xdr:colOff>
      <xdr:row>19</xdr:row>
      <xdr:rowOff>0</xdr:rowOff>
    </xdr:to>
    <xdr:pic>
      <xdr:nvPicPr>
        <xdr:cNvPr id="1" name="Entrada de lápiz 4"/>
        <xdr:cNvPicPr preferRelativeResize="1">
          <a:picLocks noChangeAspect="1"/>
        </xdr:cNvPicPr>
      </xdr:nvPicPr>
      <xdr:blipFill>
        <a:blip r:embed="rId1"/>
        <a:stretch>
          <a:fillRect/>
        </a:stretch>
      </xdr:blipFill>
      <xdr:spPr>
        <a:xfrm>
          <a:off x="6457950" y="20955000"/>
          <a:ext cx="0" cy="0"/>
        </a:xfrm>
        <a:prstGeom prst="rect">
          <a:avLst/>
        </a:prstGeom>
        <a:noFill/>
        <a:ln w="9525" cmpd="sng">
          <a:noFill/>
        </a:ln>
      </xdr:spPr>
    </xdr:pic>
    <xdr:clientData/>
  </xdr:twoCellAnchor>
  <xdr:twoCellAnchor editAs="oneCell">
    <xdr:from>
      <xdr:col>7</xdr:col>
      <xdr:colOff>257175</xdr:colOff>
      <xdr:row>19</xdr:row>
      <xdr:rowOff>0</xdr:rowOff>
    </xdr:from>
    <xdr:to>
      <xdr:col>7</xdr:col>
      <xdr:colOff>257175</xdr:colOff>
      <xdr:row>19</xdr:row>
      <xdr:rowOff>0</xdr:rowOff>
    </xdr:to>
    <xdr:pic>
      <xdr:nvPicPr>
        <xdr:cNvPr id="2" name="Entrada de lápiz 4"/>
        <xdr:cNvPicPr preferRelativeResize="1">
          <a:picLocks noChangeAspect="1"/>
        </xdr:cNvPicPr>
      </xdr:nvPicPr>
      <xdr:blipFill>
        <a:blip r:embed="rId1"/>
        <a:stretch>
          <a:fillRect/>
        </a:stretch>
      </xdr:blipFill>
      <xdr:spPr>
        <a:xfrm>
          <a:off x="6457950" y="20955000"/>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secretariadistritald-my.sharepoint.com/Users\zarethivanadoncelbaracaldo\Documents\SDM\2022\Plan%20de%20Accio&#769;n%202022\Formulacio&#769;n%20Plan%20de%20accio&#769;n%202022%20-%207662%20okk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 1"/>
      <sheetName val="Meta 2"/>
      <sheetName val="Meta 3"/>
      <sheetName val="Meta 4"/>
      <sheetName val="1. Ind. PA - Direc. Estrat."/>
      <sheetName val="2. Ind PA - Gestión Tec."/>
      <sheetName val="Metas 1 PA proyecto"/>
      <sheetName val="Meta 1..n"/>
      <sheetName val="Metas 4 PA proyecto"/>
      <sheetName val="Metas 5 PA proyecto"/>
      <sheetName val="3. Ind PA - Talento H."/>
      <sheetName val="4. Ind PA - Planeación y "/>
      <sheetName val="5. Ind PA - Seg Eval. y C."/>
      <sheetName val="6. Ind PA - Gestión Doc"/>
      <sheetName val="7. Ind PA - GAyF"/>
      <sheetName val="8. Ind PA - CDI"/>
      <sheetName val="9. Ind PA - Contratación"/>
      <sheetName val="10. Ind PA - Atención Ciuda"/>
      <sheetName val="11. Ind PA - G. Jurídica"/>
      <sheetName val="Territorialización PA"/>
      <sheetName val="Instructivo"/>
      <sheetName val="Generalidades"/>
      <sheetName val="Hoja13"/>
      <sheetName val="Hoja1"/>
    </sheetNames>
    <sheetDataSet>
      <sheetData sheetId="0">
        <row r="34">
          <cell r="D34">
            <v>0.0128</v>
          </cell>
          <cell r="E34">
            <v>0.0128</v>
          </cell>
          <cell r="F34">
            <v>0.0144</v>
          </cell>
          <cell r="G34">
            <v>0.0128</v>
          </cell>
          <cell r="H34">
            <v>0.0128</v>
          </cell>
          <cell r="I34">
            <v>0.0144</v>
          </cell>
          <cell r="J34">
            <v>0.0128</v>
          </cell>
          <cell r="K34">
            <v>0.0128</v>
          </cell>
          <cell r="L34">
            <v>0.0144</v>
          </cell>
          <cell r="M34">
            <v>0.0128</v>
          </cell>
          <cell r="N34">
            <v>0.0128</v>
          </cell>
          <cell r="O34">
            <v>0.0144</v>
          </cell>
          <cell r="P34">
            <v>0.16</v>
          </cell>
        </row>
      </sheetData>
      <sheetData sheetId="1">
        <row r="34">
          <cell r="D34">
            <v>0.162</v>
          </cell>
          <cell r="E34">
            <v>0.058</v>
          </cell>
          <cell r="F34">
            <v>0.07800000000000001</v>
          </cell>
          <cell r="G34">
            <v>0.082</v>
          </cell>
          <cell r="H34">
            <v>0.082</v>
          </cell>
          <cell r="I34">
            <v>0.07800000000000001</v>
          </cell>
          <cell r="J34">
            <v>0.07800000000000001</v>
          </cell>
          <cell r="K34">
            <v>0.07600000000000001</v>
          </cell>
          <cell r="L34">
            <v>0.07600000000000001</v>
          </cell>
          <cell r="M34">
            <v>0.082</v>
          </cell>
          <cell r="N34">
            <v>0.084</v>
          </cell>
          <cell r="O34">
            <v>0.064</v>
          </cell>
          <cell r="P34">
            <v>1.0000000000000002</v>
          </cell>
        </row>
      </sheetData>
      <sheetData sheetId="2">
        <row r="34">
          <cell r="D34">
            <v>0.05666666666666667</v>
          </cell>
          <cell r="E34">
            <v>0.1</v>
          </cell>
          <cell r="F34">
            <v>0.08</v>
          </cell>
          <cell r="G34">
            <v>0.09083333333333335</v>
          </cell>
          <cell r="H34">
            <v>0.07666666666666666</v>
          </cell>
          <cell r="I34">
            <v>0.07666666666666666</v>
          </cell>
          <cell r="J34">
            <v>0.08916666666666667</v>
          </cell>
          <cell r="K34">
            <v>0.09833333333333333</v>
          </cell>
          <cell r="L34">
            <v>0.08</v>
          </cell>
          <cell r="M34">
            <v>0.0875</v>
          </cell>
          <cell r="N34">
            <v>0.08</v>
          </cell>
          <cell r="O34">
            <v>0.08416666666666667</v>
          </cell>
          <cell r="P3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0.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 Id="rId3" Type="http://schemas.openxmlformats.org/officeDocument/2006/relationships/drawing" Target="../drawings/drawing9.xml" /><Relationship Id="rId4"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2.vml" /><Relationship Id="rId3" Type="http://schemas.openxmlformats.org/officeDocument/2006/relationships/drawing" Target="../drawings/drawing10.xml" /><Relationship Id="rId4"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3.vml" /><Relationship Id="rId3" Type="http://schemas.openxmlformats.org/officeDocument/2006/relationships/drawing" Target="../drawings/drawing11.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4.v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5.vml" /><Relationship Id="rId3"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6.vml" /><Relationship Id="rId3"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7.vml" /><Relationship Id="rId3"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8.vml" /><Relationship Id="rId3" Type="http://schemas.openxmlformats.org/officeDocument/2006/relationships/drawing" Target="../drawings/drawing12.xml" /><Relationship Id="rId4"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9.vml" /><Relationship Id="rId3"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55" zoomScaleNormal="55" workbookViewId="0" topLeftCell="A5">
      <selection activeCell="C17" sqref="C17:Q17"/>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688"/>
      <c r="B1" s="691" t="s">
        <v>16</v>
      </c>
      <c r="C1" s="692"/>
      <c r="D1" s="692"/>
      <c r="E1" s="692"/>
      <c r="F1" s="692"/>
      <c r="G1" s="692"/>
      <c r="H1" s="692"/>
      <c r="I1" s="692"/>
      <c r="J1" s="692"/>
      <c r="K1" s="692"/>
      <c r="L1" s="692"/>
      <c r="M1" s="692"/>
      <c r="N1" s="692"/>
      <c r="O1" s="692"/>
      <c r="P1" s="692"/>
      <c r="Q1" s="692"/>
      <c r="R1" s="692"/>
      <c r="S1" s="692"/>
      <c r="T1" s="692"/>
      <c r="U1" s="692"/>
      <c r="V1" s="692"/>
      <c r="W1" s="692"/>
      <c r="X1" s="692"/>
      <c r="Y1" s="692"/>
      <c r="Z1" s="692"/>
      <c r="AA1" s="693"/>
      <c r="AB1" s="694" t="s">
        <v>423</v>
      </c>
      <c r="AC1" s="695"/>
      <c r="AD1" s="696"/>
    </row>
    <row r="2" spans="1:30" ht="30.75" customHeight="1" thickBot="1">
      <c r="A2" s="689"/>
      <c r="B2" s="691" t="s">
        <v>17</v>
      </c>
      <c r="C2" s="692"/>
      <c r="D2" s="692"/>
      <c r="E2" s="692"/>
      <c r="F2" s="692"/>
      <c r="G2" s="692"/>
      <c r="H2" s="692"/>
      <c r="I2" s="692"/>
      <c r="J2" s="692"/>
      <c r="K2" s="692"/>
      <c r="L2" s="692"/>
      <c r="M2" s="692"/>
      <c r="N2" s="692"/>
      <c r="O2" s="692"/>
      <c r="P2" s="692"/>
      <c r="Q2" s="692"/>
      <c r="R2" s="692"/>
      <c r="S2" s="692"/>
      <c r="T2" s="692"/>
      <c r="U2" s="692"/>
      <c r="V2" s="692"/>
      <c r="W2" s="692"/>
      <c r="X2" s="692"/>
      <c r="Y2" s="692"/>
      <c r="Z2" s="692"/>
      <c r="AA2" s="693"/>
      <c r="AB2" s="641" t="s">
        <v>418</v>
      </c>
      <c r="AC2" s="642"/>
      <c r="AD2" s="643"/>
    </row>
    <row r="3" spans="1:30" ht="24" customHeight="1">
      <c r="A3" s="689"/>
      <c r="B3" s="594" t="s">
        <v>295</v>
      </c>
      <c r="C3" s="595"/>
      <c r="D3" s="595"/>
      <c r="E3" s="595"/>
      <c r="F3" s="595"/>
      <c r="G3" s="595"/>
      <c r="H3" s="595"/>
      <c r="I3" s="595"/>
      <c r="J3" s="595"/>
      <c r="K3" s="595"/>
      <c r="L3" s="595"/>
      <c r="M3" s="595"/>
      <c r="N3" s="595"/>
      <c r="O3" s="595"/>
      <c r="P3" s="595"/>
      <c r="Q3" s="595"/>
      <c r="R3" s="595"/>
      <c r="S3" s="595"/>
      <c r="T3" s="595"/>
      <c r="U3" s="595"/>
      <c r="V3" s="595"/>
      <c r="W3" s="595"/>
      <c r="X3" s="595"/>
      <c r="Y3" s="595"/>
      <c r="Z3" s="595"/>
      <c r="AA3" s="596"/>
      <c r="AB3" s="641" t="s">
        <v>424</v>
      </c>
      <c r="AC3" s="642"/>
      <c r="AD3" s="643"/>
    </row>
    <row r="4" spans="1:30" ht="21.75" customHeight="1" thickBot="1">
      <c r="A4" s="690"/>
      <c r="B4" s="638"/>
      <c r="C4" s="639"/>
      <c r="D4" s="639"/>
      <c r="E4" s="639"/>
      <c r="F4" s="639"/>
      <c r="G4" s="639"/>
      <c r="H4" s="639"/>
      <c r="I4" s="639"/>
      <c r="J4" s="639"/>
      <c r="K4" s="639"/>
      <c r="L4" s="639"/>
      <c r="M4" s="639"/>
      <c r="N4" s="639"/>
      <c r="O4" s="639"/>
      <c r="P4" s="639"/>
      <c r="Q4" s="639"/>
      <c r="R4" s="639"/>
      <c r="S4" s="639"/>
      <c r="T4" s="639"/>
      <c r="U4" s="639"/>
      <c r="V4" s="639"/>
      <c r="W4" s="639"/>
      <c r="X4" s="639"/>
      <c r="Y4" s="639"/>
      <c r="Z4" s="639"/>
      <c r="AA4" s="640"/>
      <c r="AB4" s="644" t="s">
        <v>175</v>
      </c>
      <c r="AC4" s="645"/>
      <c r="AD4" s="646"/>
    </row>
    <row r="5" spans="1:30" ht="9" customHeight="1" thickBot="1">
      <c r="A5" s="53"/>
      <c r="B5" s="224"/>
      <c r="C5" s="22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668" t="s">
        <v>293</v>
      </c>
      <c r="B7" s="669"/>
      <c r="C7" s="674"/>
      <c r="D7" s="647" t="s">
        <v>71</v>
      </c>
      <c r="E7" s="653"/>
      <c r="F7" s="653"/>
      <c r="G7" s="653"/>
      <c r="H7" s="648"/>
      <c r="I7" s="656" t="s">
        <v>74</v>
      </c>
      <c r="J7" s="657"/>
      <c r="K7" s="647" t="s">
        <v>67</v>
      </c>
      <c r="L7" s="648"/>
      <c r="M7" s="623" t="s">
        <v>70</v>
      </c>
      <c r="N7" s="624"/>
      <c r="O7" s="662" t="s">
        <v>425</v>
      </c>
      <c r="P7" s="663"/>
      <c r="Q7" s="56"/>
      <c r="R7" s="56"/>
      <c r="S7" s="56"/>
      <c r="T7" s="56"/>
      <c r="U7" s="56"/>
      <c r="V7" s="56"/>
      <c r="W7" s="56"/>
      <c r="X7" s="56"/>
      <c r="Y7" s="56"/>
      <c r="Z7" s="57"/>
      <c r="AA7" s="56"/>
      <c r="AB7" s="56"/>
      <c r="AC7" s="62"/>
      <c r="AD7" s="63"/>
    </row>
    <row r="8" spans="1:30" ht="15">
      <c r="A8" s="670"/>
      <c r="B8" s="671"/>
      <c r="C8" s="675"/>
      <c r="D8" s="649"/>
      <c r="E8" s="654"/>
      <c r="F8" s="654"/>
      <c r="G8" s="654"/>
      <c r="H8" s="650"/>
      <c r="I8" s="658"/>
      <c r="J8" s="659"/>
      <c r="K8" s="649"/>
      <c r="L8" s="650"/>
      <c r="M8" s="664" t="s">
        <v>68</v>
      </c>
      <c r="N8" s="665"/>
      <c r="O8" s="666"/>
      <c r="P8" s="667"/>
      <c r="Q8" s="56"/>
      <c r="R8" s="56"/>
      <c r="S8" s="56"/>
      <c r="T8" s="56"/>
      <c r="U8" s="56"/>
      <c r="V8" s="56"/>
      <c r="W8" s="56"/>
      <c r="X8" s="56"/>
      <c r="Y8" s="56"/>
      <c r="Z8" s="57"/>
      <c r="AA8" s="56"/>
      <c r="AB8" s="56"/>
      <c r="AC8" s="62"/>
      <c r="AD8" s="63"/>
    </row>
    <row r="9" spans="1:30" ht="15.75" thickBot="1">
      <c r="A9" s="672"/>
      <c r="B9" s="673"/>
      <c r="C9" s="676"/>
      <c r="D9" s="651"/>
      <c r="E9" s="655"/>
      <c r="F9" s="655"/>
      <c r="G9" s="655"/>
      <c r="H9" s="652"/>
      <c r="I9" s="660"/>
      <c r="J9" s="661"/>
      <c r="K9" s="651"/>
      <c r="L9" s="652"/>
      <c r="M9" s="619" t="s">
        <v>69</v>
      </c>
      <c r="N9" s="620"/>
      <c r="O9" s="621"/>
      <c r="P9" s="622"/>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647" t="s">
        <v>0</v>
      </c>
      <c r="B11" s="648"/>
      <c r="C11" s="678"/>
      <c r="D11" s="679"/>
      <c r="E11" s="679"/>
      <c r="F11" s="679"/>
      <c r="G11" s="679"/>
      <c r="H11" s="679"/>
      <c r="I11" s="679"/>
      <c r="J11" s="679"/>
      <c r="K11" s="679"/>
      <c r="L11" s="679"/>
      <c r="M11" s="679"/>
      <c r="N11" s="679"/>
      <c r="O11" s="679"/>
      <c r="P11" s="679"/>
      <c r="Q11" s="679"/>
      <c r="R11" s="679"/>
      <c r="S11" s="679"/>
      <c r="T11" s="679"/>
      <c r="U11" s="679"/>
      <c r="V11" s="679"/>
      <c r="W11" s="679"/>
      <c r="X11" s="679"/>
      <c r="Y11" s="679"/>
      <c r="Z11" s="679"/>
      <c r="AA11" s="679"/>
      <c r="AB11" s="679"/>
      <c r="AC11" s="679"/>
      <c r="AD11" s="680"/>
    </row>
    <row r="12" spans="1:30" ht="15" customHeight="1">
      <c r="A12" s="649"/>
      <c r="B12" s="650"/>
      <c r="C12" s="681"/>
      <c r="D12" s="682"/>
      <c r="E12" s="682"/>
      <c r="F12" s="682"/>
      <c r="G12" s="682"/>
      <c r="H12" s="682"/>
      <c r="I12" s="682"/>
      <c r="J12" s="682"/>
      <c r="K12" s="682"/>
      <c r="L12" s="682"/>
      <c r="M12" s="682"/>
      <c r="N12" s="682"/>
      <c r="O12" s="682"/>
      <c r="P12" s="682"/>
      <c r="Q12" s="682"/>
      <c r="R12" s="682"/>
      <c r="S12" s="682"/>
      <c r="T12" s="682"/>
      <c r="U12" s="682"/>
      <c r="V12" s="682"/>
      <c r="W12" s="682"/>
      <c r="X12" s="682"/>
      <c r="Y12" s="682"/>
      <c r="Z12" s="682"/>
      <c r="AA12" s="682"/>
      <c r="AB12" s="682"/>
      <c r="AC12" s="682"/>
      <c r="AD12" s="683"/>
    </row>
    <row r="13" spans="1:30" ht="15" customHeight="1" thickBot="1">
      <c r="A13" s="651"/>
      <c r="B13" s="652"/>
      <c r="C13" s="684"/>
      <c r="D13" s="685"/>
      <c r="E13" s="685"/>
      <c r="F13" s="685"/>
      <c r="G13" s="685"/>
      <c r="H13" s="685"/>
      <c r="I13" s="685"/>
      <c r="J13" s="685"/>
      <c r="K13" s="685"/>
      <c r="L13" s="685"/>
      <c r="M13" s="685"/>
      <c r="N13" s="685"/>
      <c r="O13" s="685"/>
      <c r="P13" s="685"/>
      <c r="Q13" s="685"/>
      <c r="R13" s="685"/>
      <c r="S13" s="685"/>
      <c r="T13" s="685"/>
      <c r="U13" s="685"/>
      <c r="V13" s="685"/>
      <c r="W13" s="685"/>
      <c r="X13" s="685"/>
      <c r="Y13" s="685"/>
      <c r="Z13" s="685"/>
      <c r="AA13" s="685"/>
      <c r="AB13" s="685"/>
      <c r="AC13" s="685"/>
      <c r="AD13" s="686"/>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617" t="s">
        <v>77</v>
      </c>
      <c r="B15" s="618"/>
      <c r="C15" s="697" t="s">
        <v>426</v>
      </c>
      <c r="D15" s="698"/>
      <c r="E15" s="698"/>
      <c r="F15" s="698"/>
      <c r="G15" s="698"/>
      <c r="H15" s="698"/>
      <c r="I15" s="698"/>
      <c r="J15" s="698"/>
      <c r="K15" s="699"/>
      <c r="L15" s="611" t="s">
        <v>73</v>
      </c>
      <c r="M15" s="687"/>
      <c r="N15" s="687"/>
      <c r="O15" s="687"/>
      <c r="P15" s="687"/>
      <c r="Q15" s="612"/>
      <c r="R15" s="608"/>
      <c r="S15" s="609"/>
      <c r="T15" s="609"/>
      <c r="U15" s="609"/>
      <c r="V15" s="609"/>
      <c r="W15" s="609"/>
      <c r="X15" s="610"/>
      <c r="Y15" s="611" t="s">
        <v>72</v>
      </c>
      <c r="Z15" s="612"/>
      <c r="AA15" s="631"/>
      <c r="AB15" s="632"/>
      <c r="AC15" s="632"/>
      <c r="AD15" s="633"/>
    </row>
    <row r="16" spans="1:30" ht="9" customHeight="1" thickBot="1">
      <c r="A16" s="61"/>
      <c r="B16" s="56"/>
      <c r="C16" s="634"/>
      <c r="D16" s="634"/>
      <c r="E16" s="634"/>
      <c r="F16" s="634"/>
      <c r="G16" s="634"/>
      <c r="H16" s="634"/>
      <c r="I16" s="634"/>
      <c r="J16" s="634"/>
      <c r="K16" s="634"/>
      <c r="L16" s="634"/>
      <c r="M16" s="634"/>
      <c r="N16" s="634"/>
      <c r="O16" s="634"/>
      <c r="P16" s="634"/>
      <c r="Q16" s="634"/>
      <c r="R16" s="634"/>
      <c r="S16" s="634"/>
      <c r="T16" s="634"/>
      <c r="U16" s="634"/>
      <c r="V16" s="634"/>
      <c r="W16" s="634"/>
      <c r="X16" s="634"/>
      <c r="Y16" s="634"/>
      <c r="Z16" s="634"/>
      <c r="AA16" s="634"/>
      <c r="AB16" s="634"/>
      <c r="AC16" s="75"/>
      <c r="AD16" s="76"/>
    </row>
    <row r="17" spans="1:30" s="78" customFormat="1" ht="37.5" customHeight="1" thickBot="1">
      <c r="A17" s="617" t="s">
        <v>79</v>
      </c>
      <c r="B17" s="618"/>
      <c r="C17" s="635"/>
      <c r="D17" s="636"/>
      <c r="E17" s="636"/>
      <c r="F17" s="636"/>
      <c r="G17" s="636"/>
      <c r="H17" s="636"/>
      <c r="I17" s="636"/>
      <c r="J17" s="636"/>
      <c r="K17" s="636"/>
      <c r="L17" s="636"/>
      <c r="M17" s="636"/>
      <c r="N17" s="636"/>
      <c r="O17" s="636"/>
      <c r="P17" s="636"/>
      <c r="Q17" s="637"/>
      <c r="R17" s="677" t="s">
        <v>374</v>
      </c>
      <c r="S17" s="615"/>
      <c r="T17" s="615"/>
      <c r="U17" s="615"/>
      <c r="V17" s="616"/>
      <c r="W17" s="613"/>
      <c r="X17" s="614"/>
      <c r="Y17" s="615" t="s">
        <v>15</v>
      </c>
      <c r="Z17" s="615"/>
      <c r="AA17" s="615"/>
      <c r="AB17" s="616"/>
      <c r="AC17" s="706"/>
      <c r="AD17" s="707"/>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677" t="s">
        <v>1</v>
      </c>
      <c r="B19" s="615"/>
      <c r="C19" s="615"/>
      <c r="D19" s="615"/>
      <c r="E19" s="615"/>
      <c r="F19" s="615"/>
      <c r="G19" s="615"/>
      <c r="H19" s="615"/>
      <c r="I19" s="615"/>
      <c r="J19" s="615"/>
      <c r="K19" s="615"/>
      <c r="L19" s="615"/>
      <c r="M19" s="615"/>
      <c r="N19" s="615"/>
      <c r="O19" s="615"/>
      <c r="P19" s="615"/>
      <c r="Q19" s="615"/>
      <c r="R19" s="615"/>
      <c r="S19" s="615"/>
      <c r="T19" s="615"/>
      <c r="U19" s="615"/>
      <c r="V19" s="615"/>
      <c r="W19" s="615"/>
      <c r="X19" s="615"/>
      <c r="Y19" s="615"/>
      <c r="Z19" s="615"/>
      <c r="AA19" s="615"/>
      <c r="AB19" s="615"/>
      <c r="AC19" s="615"/>
      <c r="AD19" s="616"/>
      <c r="AE19" s="86"/>
      <c r="AF19" s="86"/>
    </row>
    <row r="20" spans="1:32" ht="31.5" customHeight="1" thickBot="1">
      <c r="A20" s="85"/>
      <c r="B20" s="62"/>
      <c r="C20" s="703" t="s">
        <v>376</v>
      </c>
      <c r="D20" s="704"/>
      <c r="E20" s="704"/>
      <c r="F20" s="704"/>
      <c r="G20" s="704"/>
      <c r="H20" s="704"/>
      <c r="I20" s="704"/>
      <c r="J20" s="704"/>
      <c r="K20" s="704"/>
      <c r="L20" s="704"/>
      <c r="M20" s="704"/>
      <c r="N20" s="704"/>
      <c r="O20" s="704"/>
      <c r="P20" s="705"/>
      <c r="Q20" s="700" t="s">
        <v>377</v>
      </c>
      <c r="R20" s="701"/>
      <c r="S20" s="701"/>
      <c r="T20" s="701"/>
      <c r="U20" s="701"/>
      <c r="V20" s="701"/>
      <c r="W20" s="701"/>
      <c r="X20" s="701"/>
      <c r="Y20" s="701"/>
      <c r="Z20" s="701"/>
      <c r="AA20" s="701"/>
      <c r="AB20" s="701"/>
      <c r="AC20" s="701"/>
      <c r="AD20" s="702"/>
      <c r="AE20" s="86"/>
      <c r="AF20" s="86"/>
    </row>
    <row r="21" spans="1:32" ht="31.5" customHeight="1" thickBot="1">
      <c r="A21" s="61"/>
      <c r="B21" s="56"/>
      <c r="C21" s="174" t="s">
        <v>39</v>
      </c>
      <c r="D21" s="175" t="s">
        <v>40</v>
      </c>
      <c r="E21" s="175" t="s">
        <v>41</v>
      </c>
      <c r="F21" s="175" t="s">
        <v>42</v>
      </c>
      <c r="G21" s="175" t="s">
        <v>43</v>
      </c>
      <c r="H21" s="175" t="s">
        <v>44</v>
      </c>
      <c r="I21" s="175" t="s">
        <v>45</v>
      </c>
      <c r="J21" s="175" t="s">
        <v>46</v>
      </c>
      <c r="K21" s="175" t="s">
        <v>47</v>
      </c>
      <c r="L21" s="175" t="s">
        <v>48</v>
      </c>
      <c r="M21" s="175" t="s">
        <v>49</v>
      </c>
      <c r="N21" s="175" t="s">
        <v>50</v>
      </c>
      <c r="O21" s="175" t="s">
        <v>8</v>
      </c>
      <c r="P21" s="176" t="s">
        <v>382</v>
      </c>
      <c r="Q21" s="174" t="s">
        <v>39</v>
      </c>
      <c r="R21" s="175" t="s">
        <v>40</v>
      </c>
      <c r="S21" s="175" t="s">
        <v>41</v>
      </c>
      <c r="T21" s="175" t="s">
        <v>42</v>
      </c>
      <c r="U21" s="175" t="s">
        <v>43</v>
      </c>
      <c r="V21" s="175" t="s">
        <v>44</v>
      </c>
      <c r="W21" s="175" t="s">
        <v>45</v>
      </c>
      <c r="X21" s="175" t="s">
        <v>46</v>
      </c>
      <c r="Y21" s="175" t="s">
        <v>47</v>
      </c>
      <c r="Z21" s="175" t="s">
        <v>48</v>
      </c>
      <c r="AA21" s="175" t="s">
        <v>49</v>
      </c>
      <c r="AB21" s="175" t="s">
        <v>50</v>
      </c>
      <c r="AC21" s="175" t="s">
        <v>8</v>
      </c>
      <c r="AD21" s="176" t="s">
        <v>382</v>
      </c>
      <c r="AE21" s="4"/>
      <c r="AF21" s="4"/>
    </row>
    <row r="22" spans="1:32" ht="31.5" customHeight="1">
      <c r="A22" s="558" t="s">
        <v>378</v>
      </c>
      <c r="B22" s="563"/>
      <c r="C22" s="197"/>
      <c r="D22" s="195"/>
      <c r="E22" s="195"/>
      <c r="F22" s="195"/>
      <c r="G22" s="195"/>
      <c r="H22" s="195"/>
      <c r="I22" s="195"/>
      <c r="J22" s="195"/>
      <c r="K22" s="195"/>
      <c r="L22" s="195"/>
      <c r="M22" s="195"/>
      <c r="N22" s="195"/>
      <c r="O22" s="195">
        <f>SUM(C22:N22)</f>
        <v>0</v>
      </c>
      <c r="P22" s="198"/>
      <c r="Q22" s="197"/>
      <c r="R22" s="195"/>
      <c r="S22" s="195"/>
      <c r="T22" s="195"/>
      <c r="U22" s="195"/>
      <c r="V22" s="195"/>
      <c r="W22" s="195"/>
      <c r="X22" s="195"/>
      <c r="Y22" s="195"/>
      <c r="Z22" s="195"/>
      <c r="AA22" s="195"/>
      <c r="AB22" s="195"/>
      <c r="AC22" s="195">
        <f>SUM(Q22:AB22)</f>
        <v>0</v>
      </c>
      <c r="AD22" s="202"/>
      <c r="AE22" s="4"/>
      <c r="AF22" s="4"/>
    </row>
    <row r="23" spans="1:32" ht="31.5" customHeight="1">
      <c r="A23" s="559" t="s">
        <v>379</v>
      </c>
      <c r="B23" s="566"/>
      <c r="C23" s="192"/>
      <c r="D23" s="191"/>
      <c r="E23" s="191"/>
      <c r="F23" s="191"/>
      <c r="G23" s="191"/>
      <c r="H23" s="191"/>
      <c r="I23" s="191"/>
      <c r="J23" s="191"/>
      <c r="K23" s="191"/>
      <c r="L23" s="191"/>
      <c r="M23" s="191"/>
      <c r="N23" s="191"/>
      <c r="O23" s="191">
        <f>SUM(C23:N23)</f>
        <v>0</v>
      </c>
      <c r="P23" s="211" t="str">
        <f>_xlfn.IFERROR(O23/(SUMIF(C23:N23,"&gt;0",C22:N22))," ")</f>
        <v> </v>
      </c>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559" t="s">
        <v>380</v>
      </c>
      <c r="B24" s="566"/>
      <c r="C24" s="192"/>
      <c r="D24" s="191"/>
      <c r="E24" s="191"/>
      <c r="F24" s="191"/>
      <c r="G24" s="191"/>
      <c r="H24" s="191"/>
      <c r="I24" s="191"/>
      <c r="J24" s="191"/>
      <c r="K24" s="191"/>
      <c r="L24" s="191"/>
      <c r="M24" s="191"/>
      <c r="N24" s="191"/>
      <c r="O24" s="191">
        <f>SUM(C24:N24)</f>
        <v>0</v>
      </c>
      <c r="P24" s="196"/>
      <c r="Q24" s="192"/>
      <c r="R24" s="191"/>
      <c r="S24" s="191"/>
      <c r="T24" s="191"/>
      <c r="U24" s="191"/>
      <c r="V24" s="191"/>
      <c r="W24" s="191"/>
      <c r="X24" s="191"/>
      <c r="Y24" s="191"/>
      <c r="Z24" s="191"/>
      <c r="AA24" s="191"/>
      <c r="AB24" s="191"/>
      <c r="AC24" s="191">
        <f>SUM(Q24:AB24)</f>
        <v>0</v>
      </c>
      <c r="AD24" s="200"/>
      <c r="AE24" s="4"/>
      <c r="AF24" s="4"/>
    </row>
    <row r="25" spans="1:32" ht="31.5" customHeight="1" thickBot="1">
      <c r="A25" s="629" t="s">
        <v>381</v>
      </c>
      <c r="B25" s="630"/>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625" t="s">
        <v>76</v>
      </c>
      <c r="B27" s="626"/>
      <c r="C27" s="627"/>
      <c r="D27" s="627"/>
      <c r="E27" s="627"/>
      <c r="F27" s="627"/>
      <c r="G27" s="627"/>
      <c r="H27" s="627"/>
      <c r="I27" s="627"/>
      <c r="J27" s="627"/>
      <c r="K27" s="627"/>
      <c r="L27" s="627"/>
      <c r="M27" s="627"/>
      <c r="N27" s="627"/>
      <c r="O27" s="627"/>
      <c r="P27" s="627"/>
      <c r="Q27" s="627"/>
      <c r="R27" s="627"/>
      <c r="S27" s="627"/>
      <c r="T27" s="627"/>
      <c r="U27" s="627"/>
      <c r="V27" s="627"/>
      <c r="W27" s="627"/>
      <c r="X27" s="627"/>
      <c r="Y27" s="627"/>
      <c r="Z27" s="627"/>
      <c r="AA27" s="627"/>
      <c r="AB27" s="627"/>
      <c r="AC27" s="627"/>
      <c r="AD27" s="628"/>
    </row>
    <row r="28" spans="1:30" ht="15" customHeight="1">
      <c r="A28" s="603" t="s">
        <v>189</v>
      </c>
      <c r="B28" s="605" t="s">
        <v>6</v>
      </c>
      <c r="C28" s="606"/>
      <c r="D28" s="566" t="s">
        <v>398</v>
      </c>
      <c r="E28" s="567"/>
      <c r="F28" s="567"/>
      <c r="G28" s="567"/>
      <c r="H28" s="567"/>
      <c r="I28" s="567"/>
      <c r="J28" s="567"/>
      <c r="K28" s="567"/>
      <c r="L28" s="567"/>
      <c r="M28" s="567"/>
      <c r="N28" s="567"/>
      <c r="O28" s="607"/>
      <c r="P28" s="589" t="s">
        <v>8</v>
      </c>
      <c r="Q28" s="589" t="s">
        <v>84</v>
      </c>
      <c r="R28" s="589"/>
      <c r="S28" s="589"/>
      <c r="T28" s="589"/>
      <c r="U28" s="589"/>
      <c r="V28" s="589"/>
      <c r="W28" s="589"/>
      <c r="X28" s="589"/>
      <c r="Y28" s="589"/>
      <c r="Z28" s="589"/>
      <c r="AA28" s="589"/>
      <c r="AB28" s="589"/>
      <c r="AC28" s="589"/>
      <c r="AD28" s="598"/>
    </row>
    <row r="29" spans="1:30" ht="27" customHeight="1">
      <c r="A29" s="604"/>
      <c r="B29" s="599"/>
      <c r="C29" s="601"/>
      <c r="D29" s="173" t="s">
        <v>39</v>
      </c>
      <c r="E29" s="173" t="s">
        <v>40</v>
      </c>
      <c r="F29" s="173" t="s">
        <v>41</v>
      </c>
      <c r="G29" s="173" t="s">
        <v>42</v>
      </c>
      <c r="H29" s="173" t="s">
        <v>43</v>
      </c>
      <c r="I29" s="173" t="s">
        <v>44</v>
      </c>
      <c r="J29" s="173" t="s">
        <v>45</v>
      </c>
      <c r="K29" s="173" t="s">
        <v>46</v>
      </c>
      <c r="L29" s="173" t="s">
        <v>47</v>
      </c>
      <c r="M29" s="173" t="s">
        <v>48</v>
      </c>
      <c r="N29" s="173" t="s">
        <v>49</v>
      </c>
      <c r="O29" s="173" t="s">
        <v>50</v>
      </c>
      <c r="P29" s="607"/>
      <c r="Q29" s="589"/>
      <c r="R29" s="589"/>
      <c r="S29" s="589"/>
      <c r="T29" s="589"/>
      <c r="U29" s="589"/>
      <c r="V29" s="589"/>
      <c r="W29" s="589"/>
      <c r="X29" s="589"/>
      <c r="Y29" s="589"/>
      <c r="Z29" s="589"/>
      <c r="AA29" s="589"/>
      <c r="AB29" s="589"/>
      <c r="AC29" s="589"/>
      <c r="AD29" s="598"/>
    </row>
    <row r="30" spans="1:30" ht="42" customHeight="1" thickBot="1">
      <c r="A30" s="88"/>
      <c r="B30" s="590"/>
      <c r="C30" s="591"/>
      <c r="D30" s="92"/>
      <c r="E30" s="92"/>
      <c r="F30" s="92"/>
      <c r="G30" s="92"/>
      <c r="H30" s="92"/>
      <c r="I30" s="92"/>
      <c r="J30" s="92"/>
      <c r="K30" s="92"/>
      <c r="L30" s="92"/>
      <c r="M30" s="92"/>
      <c r="N30" s="92"/>
      <c r="O30" s="92"/>
      <c r="P30" s="89">
        <f>SUM(D30:O30)</f>
        <v>0</v>
      </c>
      <c r="Q30" s="592" t="s">
        <v>296</v>
      </c>
      <c r="R30" s="592"/>
      <c r="S30" s="592"/>
      <c r="T30" s="592"/>
      <c r="U30" s="592"/>
      <c r="V30" s="592"/>
      <c r="W30" s="592"/>
      <c r="X30" s="592"/>
      <c r="Y30" s="592"/>
      <c r="Z30" s="592"/>
      <c r="AA30" s="592"/>
      <c r="AB30" s="592"/>
      <c r="AC30" s="592"/>
      <c r="AD30" s="593"/>
    </row>
    <row r="31" spans="1:30" ht="45" customHeight="1">
      <c r="A31" s="594" t="s">
        <v>292</v>
      </c>
      <c r="B31" s="595"/>
      <c r="C31" s="595"/>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6"/>
    </row>
    <row r="32" spans="1:41" ht="22.5" customHeight="1">
      <c r="A32" s="559" t="s">
        <v>190</v>
      </c>
      <c r="B32" s="589" t="s">
        <v>62</v>
      </c>
      <c r="C32" s="589" t="s">
        <v>6</v>
      </c>
      <c r="D32" s="589" t="s">
        <v>60</v>
      </c>
      <c r="E32" s="589"/>
      <c r="F32" s="589"/>
      <c r="G32" s="589"/>
      <c r="H32" s="589"/>
      <c r="I32" s="589"/>
      <c r="J32" s="589"/>
      <c r="K32" s="589"/>
      <c r="L32" s="589"/>
      <c r="M32" s="589"/>
      <c r="N32" s="589"/>
      <c r="O32" s="589"/>
      <c r="P32" s="589"/>
      <c r="Q32" s="589" t="s">
        <v>85</v>
      </c>
      <c r="R32" s="589"/>
      <c r="S32" s="589"/>
      <c r="T32" s="589"/>
      <c r="U32" s="589"/>
      <c r="V32" s="589"/>
      <c r="W32" s="589"/>
      <c r="X32" s="589"/>
      <c r="Y32" s="589"/>
      <c r="Z32" s="589"/>
      <c r="AA32" s="589"/>
      <c r="AB32" s="589"/>
      <c r="AC32" s="589"/>
      <c r="AD32" s="598"/>
      <c r="AG32" s="90"/>
      <c r="AH32" s="90"/>
      <c r="AI32" s="90"/>
      <c r="AJ32" s="90"/>
      <c r="AK32" s="90"/>
      <c r="AL32" s="90"/>
      <c r="AM32" s="90"/>
      <c r="AN32" s="90"/>
      <c r="AO32" s="90"/>
    </row>
    <row r="33" spans="1:41" ht="27" customHeight="1">
      <c r="A33" s="559"/>
      <c r="B33" s="589"/>
      <c r="C33" s="597"/>
      <c r="D33" s="173" t="s">
        <v>39</v>
      </c>
      <c r="E33" s="173" t="s">
        <v>40</v>
      </c>
      <c r="F33" s="173" t="s">
        <v>41</v>
      </c>
      <c r="G33" s="173" t="s">
        <v>42</v>
      </c>
      <c r="H33" s="173" t="s">
        <v>43</v>
      </c>
      <c r="I33" s="173" t="s">
        <v>44</v>
      </c>
      <c r="J33" s="173" t="s">
        <v>45</v>
      </c>
      <c r="K33" s="173" t="s">
        <v>46</v>
      </c>
      <c r="L33" s="173" t="s">
        <v>47</v>
      </c>
      <c r="M33" s="173" t="s">
        <v>48</v>
      </c>
      <c r="N33" s="173" t="s">
        <v>49</v>
      </c>
      <c r="O33" s="173" t="s">
        <v>50</v>
      </c>
      <c r="P33" s="173" t="s">
        <v>8</v>
      </c>
      <c r="Q33" s="589" t="s">
        <v>403</v>
      </c>
      <c r="R33" s="589"/>
      <c r="S33" s="589"/>
      <c r="T33" s="589" t="s">
        <v>406</v>
      </c>
      <c r="U33" s="589"/>
      <c r="V33" s="589"/>
      <c r="W33" s="599" t="s">
        <v>81</v>
      </c>
      <c r="X33" s="600"/>
      <c r="Y33" s="600"/>
      <c r="Z33" s="601"/>
      <c r="AA33" s="599" t="s">
        <v>82</v>
      </c>
      <c r="AB33" s="600"/>
      <c r="AC33" s="600"/>
      <c r="AD33" s="602"/>
      <c r="AG33" s="90"/>
      <c r="AH33" s="90"/>
      <c r="AI33" s="90"/>
      <c r="AJ33" s="90"/>
      <c r="AK33" s="90"/>
      <c r="AL33" s="90"/>
      <c r="AM33" s="90"/>
      <c r="AN33" s="90"/>
      <c r="AO33" s="90"/>
    </row>
    <row r="34" spans="1:41" ht="45" customHeight="1">
      <c r="A34" s="577"/>
      <c r="B34" s="579"/>
      <c r="C34" s="93" t="s">
        <v>9</v>
      </c>
      <c r="D34" s="92"/>
      <c r="E34" s="92"/>
      <c r="F34" s="92"/>
      <c r="G34" s="92"/>
      <c r="H34" s="92"/>
      <c r="I34" s="92"/>
      <c r="J34" s="92"/>
      <c r="K34" s="92"/>
      <c r="L34" s="92"/>
      <c r="M34" s="92"/>
      <c r="N34" s="92"/>
      <c r="O34" s="92"/>
      <c r="P34" s="212">
        <f>SUM(D34:O34)</f>
        <v>0</v>
      </c>
      <c r="Q34" s="581" t="s">
        <v>404</v>
      </c>
      <c r="R34" s="582"/>
      <c r="S34" s="583"/>
      <c r="T34" s="582" t="s">
        <v>405</v>
      </c>
      <c r="U34" s="582"/>
      <c r="V34" s="583"/>
      <c r="W34" s="581" t="s">
        <v>402</v>
      </c>
      <c r="X34" s="582"/>
      <c r="Y34" s="582"/>
      <c r="Z34" s="583"/>
      <c r="AA34" s="581" t="s">
        <v>407</v>
      </c>
      <c r="AB34" s="582"/>
      <c r="AC34" s="582"/>
      <c r="AD34" s="587"/>
      <c r="AG34" s="90"/>
      <c r="AH34" s="90"/>
      <c r="AI34" s="90"/>
      <c r="AJ34" s="90"/>
      <c r="AK34" s="90"/>
      <c r="AL34" s="90"/>
      <c r="AM34" s="90"/>
      <c r="AN34" s="90"/>
      <c r="AO34" s="90"/>
    </row>
    <row r="35" spans="1:41" ht="45" customHeight="1" thickBot="1">
      <c r="A35" s="578"/>
      <c r="B35" s="580"/>
      <c r="C35" s="94" t="s">
        <v>10</v>
      </c>
      <c r="D35" s="95"/>
      <c r="E35" s="95"/>
      <c r="F35" s="95"/>
      <c r="G35" s="96"/>
      <c r="H35" s="96"/>
      <c r="I35" s="96"/>
      <c r="J35" s="96"/>
      <c r="K35" s="96"/>
      <c r="L35" s="96"/>
      <c r="M35" s="96"/>
      <c r="N35" s="96"/>
      <c r="O35" s="96"/>
      <c r="P35" s="178">
        <f>SUM(D35:O35)</f>
        <v>0</v>
      </c>
      <c r="Q35" s="584"/>
      <c r="R35" s="585"/>
      <c r="S35" s="586"/>
      <c r="T35" s="585"/>
      <c r="U35" s="585"/>
      <c r="V35" s="586"/>
      <c r="W35" s="584"/>
      <c r="X35" s="585"/>
      <c r="Y35" s="585"/>
      <c r="Z35" s="586"/>
      <c r="AA35" s="584"/>
      <c r="AB35" s="585"/>
      <c r="AC35" s="585"/>
      <c r="AD35" s="588"/>
      <c r="AE35" s="50"/>
      <c r="AF35" s="97"/>
      <c r="AG35" s="90"/>
      <c r="AH35" s="90"/>
      <c r="AI35" s="90"/>
      <c r="AJ35" s="90"/>
      <c r="AK35" s="90"/>
      <c r="AL35" s="90"/>
      <c r="AM35" s="90"/>
      <c r="AN35" s="90"/>
      <c r="AO35" s="90"/>
    </row>
    <row r="36" spans="1:41" ht="25.5" customHeight="1">
      <c r="A36" s="558" t="s">
        <v>191</v>
      </c>
      <c r="B36" s="560" t="s">
        <v>61</v>
      </c>
      <c r="C36" s="562" t="s">
        <v>11</v>
      </c>
      <c r="D36" s="562"/>
      <c r="E36" s="562"/>
      <c r="F36" s="562"/>
      <c r="G36" s="562"/>
      <c r="H36" s="562"/>
      <c r="I36" s="562"/>
      <c r="J36" s="562"/>
      <c r="K36" s="562"/>
      <c r="L36" s="562"/>
      <c r="M36" s="562"/>
      <c r="N36" s="562"/>
      <c r="O36" s="562"/>
      <c r="P36" s="562"/>
      <c r="Q36" s="563" t="s">
        <v>78</v>
      </c>
      <c r="R36" s="564"/>
      <c r="S36" s="564"/>
      <c r="T36" s="564"/>
      <c r="U36" s="564"/>
      <c r="V36" s="564"/>
      <c r="W36" s="564"/>
      <c r="X36" s="564"/>
      <c r="Y36" s="564"/>
      <c r="Z36" s="564"/>
      <c r="AA36" s="564"/>
      <c r="AB36" s="564"/>
      <c r="AC36" s="564"/>
      <c r="AD36" s="565"/>
      <c r="AG36" s="90"/>
      <c r="AH36" s="90"/>
      <c r="AI36" s="90"/>
      <c r="AJ36" s="90"/>
      <c r="AK36" s="90"/>
      <c r="AL36" s="90"/>
      <c r="AM36" s="90"/>
      <c r="AN36" s="90"/>
      <c r="AO36" s="90"/>
    </row>
    <row r="37" spans="1:41" ht="25.5" customHeight="1">
      <c r="A37" s="559"/>
      <c r="B37" s="561"/>
      <c r="C37" s="173" t="s">
        <v>12</v>
      </c>
      <c r="D37" s="173" t="s">
        <v>36</v>
      </c>
      <c r="E37" s="173" t="s">
        <v>37</v>
      </c>
      <c r="F37" s="173" t="s">
        <v>38</v>
      </c>
      <c r="G37" s="173" t="s">
        <v>51</v>
      </c>
      <c r="H37" s="173" t="s">
        <v>52</v>
      </c>
      <c r="I37" s="173" t="s">
        <v>53</v>
      </c>
      <c r="J37" s="173" t="s">
        <v>54</v>
      </c>
      <c r="K37" s="173" t="s">
        <v>55</v>
      </c>
      <c r="L37" s="173" t="s">
        <v>56</v>
      </c>
      <c r="M37" s="173" t="s">
        <v>57</v>
      </c>
      <c r="N37" s="173" t="s">
        <v>58</v>
      </c>
      <c r="O37" s="173" t="s">
        <v>59</v>
      </c>
      <c r="P37" s="173" t="s">
        <v>63</v>
      </c>
      <c r="Q37" s="566" t="s">
        <v>83</v>
      </c>
      <c r="R37" s="567"/>
      <c r="S37" s="567"/>
      <c r="T37" s="567"/>
      <c r="U37" s="567"/>
      <c r="V37" s="567"/>
      <c r="W37" s="567"/>
      <c r="X37" s="567"/>
      <c r="Y37" s="567"/>
      <c r="Z37" s="567"/>
      <c r="AA37" s="567"/>
      <c r="AB37" s="567"/>
      <c r="AC37" s="567"/>
      <c r="AD37" s="568"/>
      <c r="AG37" s="98"/>
      <c r="AH37" s="98"/>
      <c r="AI37" s="98"/>
      <c r="AJ37" s="98"/>
      <c r="AK37" s="98"/>
      <c r="AL37" s="98"/>
      <c r="AM37" s="98"/>
      <c r="AN37" s="98"/>
      <c r="AO37" s="98"/>
    </row>
    <row r="38" spans="1:41" ht="28.5" customHeight="1">
      <c r="A38" s="569"/>
      <c r="B38" s="570"/>
      <c r="C38" s="93" t="s">
        <v>9</v>
      </c>
      <c r="D38" s="99"/>
      <c r="E38" s="99"/>
      <c r="F38" s="99"/>
      <c r="G38" s="99"/>
      <c r="H38" s="99"/>
      <c r="I38" s="99"/>
      <c r="J38" s="99"/>
      <c r="K38" s="99"/>
      <c r="L38" s="99"/>
      <c r="M38" s="99"/>
      <c r="N38" s="99"/>
      <c r="O38" s="99"/>
      <c r="P38" s="100">
        <f aca="true" t="shared" si="0" ref="P38:P45">SUM(D38:O38)</f>
        <v>0</v>
      </c>
      <c r="Q38" s="571" t="s">
        <v>408</v>
      </c>
      <c r="R38" s="572"/>
      <c r="S38" s="572"/>
      <c r="T38" s="572"/>
      <c r="U38" s="572"/>
      <c r="V38" s="572"/>
      <c r="W38" s="572"/>
      <c r="X38" s="572"/>
      <c r="Y38" s="572"/>
      <c r="Z38" s="572"/>
      <c r="AA38" s="572"/>
      <c r="AB38" s="572"/>
      <c r="AC38" s="572"/>
      <c r="AD38" s="573"/>
      <c r="AE38" s="101"/>
      <c r="AG38" s="102"/>
      <c r="AH38" s="102"/>
      <c r="AI38" s="102"/>
      <c r="AJ38" s="102"/>
      <c r="AK38" s="102"/>
      <c r="AL38" s="102"/>
      <c r="AM38" s="102"/>
      <c r="AN38" s="102"/>
      <c r="AO38" s="102"/>
    </row>
    <row r="39" spans="1:31" ht="28.5" customHeight="1">
      <c r="A39" s="551"/>
      <c r="B39" s="552"/>
      <c r="C39" s="103" t="s">
        <v>10</v>
      </c>
      <c r="D39" s="104"/>
      <c r="E39" s="104"/>
      <c r="F39" s="104"/>
      <c r="G39" s="104"/>
      <c r="H39" s="104"/>
      <c r="I39" s="104"/>
      <c r="J39" s="104"/>
      <c r="K39" s="104"/>
      <c r="L39" s="104"/>
      <c r="M39" s="104"/>
      <c r="N39" s="104"/>
      <c r="O39" s="104"/>
      <c r="P39" s="105">
        <f t="shared" si="0"/>
        <v>0</v>
      </c>
      <c r="Q39" s="574"/>
      <c r="R39" s="575"/>
      <c r="S39" s="575"/>
      <c r="T39" s="575"/>
      <c r="U39" s="575"/>
      <c r="V39" s="575"/>
      <c r="W39" s="575"/>
      <c r="X39" s="575"/>
      <c r="Y39" s="575"/>
      <c r="Z39" s="575"/>
      <c r="AA39" s="575"/>
      <c r="AB39" s="575"/>
      <c r="AC39" s="575"/>
      <c r="AD39" s="576"/>
      <c r="AE39" s="101"/>
    </row>
    <row r="40" spans="1:31" ht="28.5" customHeight="1">
      <c r="A40" s="551"/>
      <c r="B40" s="543"/>
      <c r="C40" s="106" t="s">
        <v>9</v>
      </c>
      <c r="D40" s="107"/>
      <c r="E40" s="107"/>
      <c r="F40" s="107"/>
      <c r="G40" s="107"/>
      <c r="H40" s="107"/>
      <c r="I40" s="107"/>
      <c r="J40" s="107"/>
      <c r="K40" s="107"/>
      <c r="L40" s="107"/>
      <c r="M40" s="107"/>
      <c r="N40" s="107"/>
      <c r="O40" s="107"/>
      <c r="P40" s="105">
        <f t="shared" si="0"/>
        <v>0</v>
      </c>
      <c r="Q40" s="545"/>
      <c r="R40" s="546"/>
      <c r="S40" s="546"/>
      <c r="T40" s="546"/>
      <c r="U40" s="546"/>
      <c r="V40" s="546"/>
      <c r="W40" s="546"/>
      <c r="X40" s="546"/>
      <c r="Y40" s="546"/>
      <c r="Z40" s="546"/>
      <c r="AA40" s="546"/>
      <c r="AB40" s="546"/>
      <c r="AC40" s="546"/>
      <c r="AD40" s="547"/>
      <c r="AE40" s="101"/>
    </row>
    <row r="41" spans="1:31" ht="28.5" customHeight="1">
      <c r="A41" s="551"/>
      <c r="B41" s="552"/>
      <c r="C41" s="103" t="s">
        <v>10</v>
      </c>
      <c r="D41" s="104"/>
      <c r="E41" s="104"/>
      <c r="F41" s="104"/>
      <c r="G41" s="104"/>
      <c r="H41" s="104"/>
      <c r="I41" s="104"/>
      <c r="J41" s="104"/>
      <c r="K41" s="104"/>
      <c r="L41" s="108"/>
      <c r="M41" s="108"/>
      <c r="N41" s="108"/>
      <c r="O41" s="108"/>
      <c r="P41" s="105">
        <f t="shared" si="0"/>
        <v>0</v>
      </c>
      <c r="Q41" s="553"/>
      <c r="R41" s="554"/>
      <c r="S41" s="554"/>
      <c r="T41" s="554"/>
      <c r="U41" s="554"/>
      <c r="V41" s="554"/>
      <c r="W41" s="554"/>
      <c r="X41" s="554"/>
      <c r="Y41" s="554"/>
      <c r="Z41" s="554"/>
      <c r="AA41" s="554"/>
      <c r="AB41" s="554"/>
      <c r="AC41" s="554"/>
      <c r="AD41" s="555"/>
      <c r="AE41" s="101"/>
    </row>
    <row r="42" spans="1:31" ht="28.5" customHeight="1">
      <c r="A42" s="556"/>
      <c r="B42" s="543"/>
      <c r="C42" s="106" t="s">
        <v>9</v>
      </c>
      <c r="D42" s="107"/>
      <c r="E42" s="107"/>
      <c r="F42" s="107"/>
      <c r="G42" s="107"/>
      <c r="H42" s="107"/>
      <c r="I42" s="107"/>
      <c r="J42" s="107"/>
      <c r="K42" s="107"/>
      <c r="L42" s="107"/>
      <c r="M42" s="107"/>
      <c r="N42" s="107"/>
      <c r="O42" s="107"/>
      <c r="P42" s="105">
        <f t="shared" si="0"/>
        <v>0</v>
      </c>
      <c r="Q42" s="545"/>
      <c r="R42" s="546"/>
      <c r="S42" s="546"/>
      <c r="T42" s="546"/>
      <c r="U42" s="546"/>
      <c r="V42" s="546"/>
      <c r="W42" s="546"/>
      <c r="X42" s="546"/>
      <c r="Y42" s="546"/>
      <c r="Z42" s="546"/>
      <c r="AA42" s="546"/>
      <c r="AB42" s="546"/>
      <c r="AC42" s="546"/>
      <c r="AD42" s="547"/>
      <c r="AE42" s="101"/>
    </row>
    <row r="43" spans="1:31" ht="28.5" customHeight="1">
      <c r="A43" s="557"/>
      <c r="B43" s="552"/>
      <c r="C43" s="103" t="s">
        <v>10</v>
      </c>
      <c r="D43" s="104"/>
      <c r="E43" s="104"/>
      <c r="F43" s="104"/>
      <c r="G43" s="109"/>
      <c r="H43" s="104"/>
      <c r="I43" s="104"/>
      <c r="J43" s="104"/>
      <c r="K43" s="104"/>
      <c r="L43" s="108"/>
      <c r="M43" s="108"/>
      <c r="N43" s="108"/>
      <c r="O43" s="108"/>
      <c r="P43" s="105">
        <f t="shared" si="0"/>
        <v>0</v>
      </c>
      <c r="Q43" s="553"/>
      <c r="R43" s="554"/>
      <c r="S43" s="554"/>
      <c r="T43" s="554"/>
      <c r="U43" s="554"/>
      <c r="V43" s="554"/>
      <c r="W43" s="554"/>
      <c r="X43" s="554"/>
      <c r="Y43" s="554"/>
      <c r="Z43" s="554"/>
      <c r="AA43" s="554"/>
      <c r="AB43" s="554"/>
      <c r="AC43" s="554"/>
      <c r="AD43" s="555"/>
      <c r="AE43" s="101"/>
    </row>
    <row r="44" spans="1:31" ht="28.5" customHeight="1">
      <c r="A44" s="541"/>
      <c r="B44" s="543"/>
      <c r="C44" s="106" t="s">
        <v>9</v>
      </c>
      <c r="D44" s="107"/>
      <c r="E44" s="107"/>
      <c r="F44" s="107"/>
      <c r="G44" s="107"/>
      <c r="H44" s="107"/>
      <c r="I44" s="107"/>
      <c r="J44" s="107"/>
      <c r="K44" s="107"/>
      <c r="L44" s="107"/>
      <c r="M44" s="107"/>
      <c r="N44" s="107"/>
      <c r="O44" s="107"/>
      <c r="P44" s="105">
        <f t="shared" si="0"/>
        <v>0</v>
      </c>
      <c r="Q44" s="545"/>
      <c r="R44" s="546"/>
      <c r="S44" s="546"/>
      <c r="T44" s="546"/>
      <c r="U44" s="546"/>
      <c r="V44" s="546"/>
      <c r="W44" s="546"/>
      <c r="X44" s="546"/>
      <c r="Y44" s="546"/>
      <c r="Z44" s="546"/>
      <c r="AA44" s="546"/>
      <c r="AB44" s="546"/>
      <c r="AC44" s="546"/>
      <c r="AD44" s="547"/>
      <c r="AE44" s="101"/>
    </row>
    <row r="45" spans="1:31" ht="28.5" customHeight="1" thickBot="1">
      <c r="A45" s="542"/>
      <c r="B45" s="544"/>
      <c r="C45" s="94" t="s">
        <v>10</v>
      </c>
      <c r="D45" s="110"/>
      <c r="E45" s="110"/>
      <c r="F45" s="110"/>
      <c r="G45" s="110"/>
      <c r="H45" s="110"/>
      <c r="I45" s="110"/>
      <c r="J45" s="110"/>
      <c r="K45" s="110"/>
      <c r="L45" s="111"/>
      <c r="M45" s="111"/>
      <c r="N45" s="111"/>
      <c r="O45" s="111"/>
      <c r="P45" s="112">
        <f t="shared" si="0"/>
        <v>0</v>
      </c>
      <c r="Q45" s="548"/>
      <c r="R45" s="549"/>
      <c r="S45" s="549"/>
      <c r="T45" s="549"/>
      <c r="U45" s="549"/>
      <c r="V45" s="549"/>
      <c r="W45" s="549"/>
      <c r="X45" s="549"/>
      <c r="Y45" s="549"/>
      <c r="Z45" s="549"/>
      <c r="AA45" s="549"/>
      <c r="AB45" s="549"/>
      <c r="AC45" s="549"/>
      <c r="AD45" s="550"/>
      <c r="AE45" s="101"/>
    </row>
    <row r="46" ht="15">
      <c r="A46" s="52" t="s">
        <v>294</v>
      </c>
    </row>
  </sheetData>
  <sheetProtection/>
  <mergeCells count="82">
    <mergeCell ref="C15:K15"/>
    <mergeCell ref="A24:B24"/>
    <mergeCell ref="A19:AD19"/>
    <mergeCell ref="Q20:AD20"/>
    <mergeCell ref="C20:P20"/>
    <mergeCell ref="A22:B22"/>
    <mergeCell ref="AC17:AD17"/>
    <mergeCell ref="A7:B9"/>
    <mergeCell ref="C7:C9"/>
    <mergeCell ref="R17:V17"/>
    <mergeCell ref="C11:AD13"/>
    <mergeCell ref="L15:Q15"/>
    <mergeCell ref="A1:A4"/>
    <mergeCell ref="B1:AA1"/>
    <mergeCell ref="AB1:AD1"/>
    <mergeCell ref="B2:AA2"/>
    <mergeCell ref="AB2:AD2"/>
    <mergeCell ref="B3:AA4"/>
    <mergeCell ref="AB3:AD3"/>
    <mergeCell ref="AB4:AD4"/>
    <mergeCell ref="A11:B13"/>
    <mergeCell ref="D7:H9"/>
    <mergeCell ref="I7:J9"/>
    <mergeCell ref="K7:L9"/>
    <mergeCell ref="O7:P7"/>
    <mergeCell ref="M8:N8"/>
    <mergeCell ref="O8:P8"/>
    <mergeCell ref="M9:N9"/>
    <mergeCell ref="O9:P9"/>
    <mergeCell ref="M7:N7"/>
    <mergeCell ref="A27:AD27"/>
    <mergeCell ref="A23:B23"/>
    <mergeCell ref="A25:B25"/>
    <mergeCell ref="AA15:AD15"/>
    <mergeCell ref="C16:AB16"/>
    <mergeCell ref="A17:B17"/>
    <mergeCell ref="C17:Q17"/>
    <mergeCell ref="A28:A29"/>
    <mergeCell ref="B28:C29"/>
    <mergeCell ref="D28:O28"/>
    <mergeCell ref="P28:P29"/>
    <mergeCell ref="Q28:AD29"/>
    <mergeCell ref="R15:X15"/>
    <mergeCell ref="Y15:Z15"/>
    <mergeCell ref="W17:X17"/>
    <mergeCell ref="Y17:AB17"/>
    <mergeCell ref="A15:B15"/>
    <mergeCell ref="B30:C30"/>
    <mergeCell ref="Q30:AD30"/>
    <mergeCell ref="A31:AD31"/>
    <mergeCell ref="A32:A33"/>
    <mergeCell ref="B32:B33"/>
    <mergeCell ref="C32:C33"/>
    <mergeCell ref="D32:P32"/>
    <mergeCell ref="Q32:AD32"/>
    <mergeCell ref="W33:Z33"/>
    <mergeCell ref="AA33:AD33"/>
    <mergeCell ref="A34:A35"/>
    <mergeCell ref="B34:B35"/>
    <mergeCell ref="W34:Z35"/>
    <mergeCell ref="AA34:AD35"/>
    <mergeCell ref="Q33:S33"/>
    <mergeCell ref="T33:V33"/>
    <mergeCell ref="Q34:S35"/>
    <mergeCell ref="T34:V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10.xml><?xml version="1.0" encoding="utf-8"?>
<worksheet xmlns="http://schemas.openxmlformats.org/spreadsheetml/2006/main" xmlns:r="http://schemas.openxmlformats.org/officeDocument/2006/relationships">
  <sheetPr>
    <tabColor theme="8"/>
    <pageSetUpPr fitToPage="1"/>
  </sheetPr>
  <dimension ref="A1:AO49"/>
  <sheetViews>
    <sheetView showGridLines="0" view="pageBreakPreview" zoomScale="57" zoomScaleNormal="70" zoomScaleSheetLayoutView="57" workbookViewId="0" topLeftCell="M43">
      <selection activeCell="P35" sqref="P35"/>
    </sheetView>
  </sheetViews>
  <sheetFormatPr defaultColWidth="10.8515625" defaultRowHeight="15"/>
  <cols>
    <col min="1" max="1" width="39.8515625" style="246" customWidth="1"/>
    <col min="2" max="2" width="15.421875" style="246" customWidth="1"/>
    <col min="3" max="14" width="20.7109375" style="246" customWidth="1"/>
    <col min="15" max="15" width="16.7109375" style="246" customWidth="1"/>
    <col min="16"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246" customWidth="1"/>
    <col min="33" max="33" width="18.421875" style="246"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10.8515625" style="246" customWidth="1"/>
  </cols>
  <sheetData>
    <row r="1" spans="1:30" ht="32.25" customHeight="1" thickBot="1">
      <c r="A1" s="872"/>
      <c r="B1" s="875" t="s">
        <v>16</v>
      </c>
      <c r="C1" s="876"/>
      <c r="D1" s="876"/>
      <c r="E1" s="876"/>
      <c r="F1" s="876"/>
      <c r="G1" s="876"/>
      <c r="H1" s="876"/>
      <c r="I1" s="876"/>
      <c r="J1" s="876"/>
      <c r="K1" s="876"/>
      <c r="L1" s="876"/>
      <c r="M1" s="876"/>
      <c r="N1" s="876"/>
      <c r="O1" s="876"/>
      <c r="P1" s="876"/>
      <c r="Q1" s="876"/>
      <c r="R1" s="876"/>
      <c r="S1" s="876"/>
      <c r="T1" s="876"/>
      <c r="U1" s="876"/>
      <c r="V1" s="876"/>
      <c r="W1" s="876"/>
      <c r="X1" s="876"/>
      <c r="Y1" s="876"/>
      <c r="Z1" s="876"/>
      <c r="AA1" s="877"/>
      <c r="AB1" s="878" t="s">
        <v>423</v>
      </c>
      <c r="AC1" s="879"/>
      <c r="AD1" s="880"/>
    </row>
    <row r="2" spans="1:30" ht="30.75" customHeight="1" thickBot="1">
      <c r="A2" s="873"/>
      <c r="B2" s="875" t="s">
        <v>17</v>
      </c>
      <c r="C2" s="876"/>
      <c r="D2" s="876"/>
      <c r="E2" s="876"/>
      <c r="F2" s="876"/>
      <c r="G2" s="876"/>
      <c r="H2" s="876"/>
      <c r="I2" s="876"/>
      <c r="J2" s="876"/>
      <c r="K2" s="876"/>
      <c r="L2" s="876"/>
      <c r="M2" s="876"/>
      <c r="N2" s="876"/>
      <c r="O2" s="876"/>
      <c r="P2" s="876"/>
      <c r="Q2" s="876"/>
      <c r="R2" s="876"/>
      <c r="S2" s="876"/>
      <c r="T2" s="876"/>
      <c r="U2" s="876"/>
      <c r="V2" s="876"/>
      <c r="W2" s="876"/>
      <c r="X2" s="876"/>
      <c r="Y2" s="876"/>
      <c r="Z2" s="876"/>
      <c r="AA2" s="877"/>
      <c r="AB2" s="881" t="s">
        <v>418</v>
      </c>
      <c r="AC2" s="882"/>
      <c r="AD2" s="883"/>
    </row>
    <row r="3" spans="1:30" ht="24" customHeight="1">
      <c r="A3" s="873"/>
      <c r="B3" s="884" t="s">
        <v>295</v>
      </c>
      <c r="C3" s="885"/>
      <c r="D3" s="885"/>
      <c r="E3" s="885"/>
      <c r="F3" s="885"/>
      <c r="G3" s="885"/>
      <c r="H3" s="885"/>
      <c r="I3" s="885"/>
      <c r="J3" s="885"/>
      <c r="K3" s="885"/>
      <c r="L3" s="885"/>
      <c r="M3" s="885"/>
      <c r="N3" s="885"/>
      <c r="O3" s="885"/>
      <c r="P3" s="885"/>
      <c r="Q3" s="885"/>
      <c r="R3" s="885"/>
      <c r="S3" s="885"/>
      <c r="T3" s="885"/>
      <c r="U3" s="885"/>
      <c r="V3" s="885"/>
      <c r="W3" s="885"/>
      <c r="X3" s="885"/>
      <c r="Y3" s="885"/>
      <c r="Z3" s="885"/>
      <c r="AA3" s="886"/>
      <c r="AB3" s="881" t="s">
        <v>424</v>
      </c>
      <c r="AC3" s="882"/>
      <c r="AD3" s="883"/>
    </row>
    <row r="4" spans="1:30" ht="21.75" customHeight="1" thickBot="1">
      <c r="A4" s="874"/>
      <c r="B4" s="887"/>
      <c r="C4" s="888"/>
      <c r="D4" s="888"/>
      <c r="E4" s="888"/>
      <c r="F4" s="888"/>
      <c r="G4" s="888"/>
      <c r="H4" s="888"/>
      <c r="I4" s="888"/>
      <c r="J4" s="888"/>
      <c r="K4" s="888"/>
      <c r="L4" s="888"/>
      <c r="M4" s="888"/>
      <c r="N4" s="888"/>
      <c r="O4" s="888"/>
      <c r="P4" s="888"/>
      <c r="Q4" s="888"/>
      <c r="R4" s="888"/>
      <c r="S4" s="888"/>
      <c r="T4" s="888"/>
      <c r="U4" s="888"/>
      <c r="V4" s="888"/>
      <c r="W4" s="888"/>
      <c r="X4" s="888"/>
      <c r="Y4" s="888"/>
      <c r="Z4" s="888"/>
      <c r="AA4" s="889"/>
      <c r="AB4" s="644" t="s">
        <v>775</v>
      </c>
      <c r="AC4" s="645"/>
      <c r="AD4" s="646"/>
    </row>
    <row r="5" spans="1:30" ht="9" customHeight="1" thickBot="1">
      <c r="A5" s="249"/>
      <c r="B5" s="311"/>
      <c r="C5" s="312"/>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647" t="s">
        <v>293</v>
      </c>
      <c r="B7" s="648"/>
      <c r="C7" s="909" t="s">
        <v>48</v>
      </c>
      <c r="D7" s="647" t="s">
        <v>71</v>
      </c>
      <c r="E7" s="653"/>
      <c r="F7" s="653"/>
      <c r="G7" s="653"/>
      <c r="H7" s="648"/>
      <c r="I7" s="864" t="s">
        <v>861</v>
      </c>
      <c r="J7" s="865"/>
      <c r="K7" s="647" t="s">
        <v>67</v>
      </c>
      <c r="L7" s="648"/>
      <c r="M7" s="870" t="s">
        <v>70</v>
      </c>
      <c r="N7" s="871"/>
      <c r="O7" s="890"/>
      <c r="P7" s="891"/>
      <c r="Q7" s="252"/>
      <c r="R7" s="252"/>
      <c r="S7" s="252"/>
      <c r="T7" s="252"/>
      <c r="U7" s="252"/>
      <c r="V7" s="252"/>
      <c r="W7" s="252"/>
      <c r="X7" s="252"/>
      <c r="Y7" s="252"/>
      <c r="Z7" s="253"/>
      <c r="AA7" s="252"/>
      <c r="AB7" s="252"/>
      <c r="AC7" s="258"/>
      <c r="AD7" s="259"/>
    </row>
    <row r="8" spans="1:30" ht="15" customHeight="1">
      <c r="A8" s="649"/>
      <c r="B8" s="650"/>
      <c r="C8" s="910"/>
      <c r="D8" s="649"/>
      <c r="E8" s="912"/>
      <c r="F8" s="912"/>
      <c r="G8" s="912"/>
      <c r="H8" s="650"/>
      <c r="I8" s="866"/>
      <c r="J8" s="867"/>
      <c r="K8" s="649"/>
      <c r="L8" s="650"/>
      <c r="M8" s="892" t="s">
        <v>68</v>
      </c>
      <c r="N8" s="893"/>
      <c r="O8" s="894"/>
      <c r="P8" s="895"/>
      <c r="Q8" s="252"/>
      <c r="R8" s="252"/>
      <c r="S8" s="252"/>
      <c r="T8" s="252"/>
      <c r="U8" s="252"/>
      <c r="V8" s="252"/>
      <c r="W8" s="252"/>
      <c r="X8" s="252"/>
      <c r="Y8" s="252"/>
      <c r="Z8" s="253"/>
      <c r="AA8" s="252"/>
      <c r="AB8" s="252"/>
      <c r="AC8" s="258"/>
      <c r="AD8" s="259"/>
    </row>
    <row r="9" spans="1:30" ht="15.75" customHeight="1" thickBot="1">
      <c r="A9" s="651"/>
      <c r="B9" s="652"/>
      <c r="C9" s="911"/>
      <c r="D9" s="651"/>
      <c r="E9" s="655"/>
      <c r="F9" s="655"/>
      <c r="G9" s="655"/>
      <c r="H9" s="652"/>
      <c r="I9" s="868"/>
      <c r="J9" s="869"/>
      <c r="K9" s="651"/>
      <c r="L9" s="652"/>
      <c r="M9" s="896" t="s">
        <v>69</v>
      </c>
      <c r="N9" s="897"/>
      <c r="O9" s="898" t="s">
        <v>425</v>
      </c>
      <c r="P9" s="899"/>
      <c r="Q9" s="252"/>
      <c r="R9" s="252"/>
      <c r="S9" s="252"/>
      <c r="T9" s="252"/>
      <c r="U9" s="252"/>
      <c r="V9" s="252"/>
      <c r="W9" s="252"/>
      <c r="X9" s="252"/>
      <c r="Y9" s="252"/>
      <c r="Z9" s="253"/>
      <c r="AA9" s="252"/>
      <c r="AB9" s="252"/>
      <c r="AC9" s="258"/>
      <c r="AD9" s="259"/>
    </row>
    <row r="10" spans="1:30"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row>
    <row r="11" spans="1:30" ht="15" customHeight="1">
      <c r="A11" s="647" t="s">
        <v>0</v>
      </c>
      <c r="B11" s="648"/>
      <c r="C11" s="678" t="s">
        <v>497</v>
      </c>
      <c r="D11" s="679"/>
      <c r="E11" s="679"/>
      <c r="F11" s="679"/>
      <c r="G11" s="679"/>
      <c r="H11" s="679"/>
      <c r="I11" s="679"/>
      <c r="J11" s="679"/>
      <c r="K11" s="679"/>
      <c r="L11" s="679"/>
      <c r="M11" s="679"/>
      <c r="N11" s="679"/>
      <c r="O11" s="679"/>
      <c r="P11" s="679"/>
      <c r="Q11" s="679"/>
      <c r="R11" s="679"/>
      <c r="S11" s="679"/>
      <c r="T11" s="679"/>
      <c r="U11" s="679"/>
      <c r="V11" s="679"/>
      <c r="W11" s="679"/>
      <c r="X11" s="679"/>
      <c r="Y11" s="679"/>
      <c r="Z11" s="679"/>
      <c r="AA11" s="679"/>
      <c r="AB11" s="679"/>
      <c r="AC11" s="679"/>
      <c r="AD11" s="680"/>
    </row>
    <row r="12" spans="1:30" ht="15" customHeight="1">
      <c r="A12" s="649"/>
      <c r="B12" s="650"/>
      <c r="C12" s="681"/>
      <c r="D12" s="1020"/>
      <c r="E12" s="1020"/>
      <c r="F12" s="1020"/>
      <c r="G12" s="1020"/>
      <c r="H12" s="1020"/>
      <c r="I12" s="1020"/>
      <c r="J12" s="1020"/>
      <c r="K12" s="1020"/>
      <c r="L12" s="1020"/>
      <c r="M12" s="1020"/>
      <c r="N12" s="1020"/>
      <c r="O12" s="1020"/>
      <c r="P12" s="1020"/>
      <c r="Q12" s="1020"/>
      <c r="R12" s="1020"/>
      <c r="S12" s="1020"/>
      <c r="T12" s="1020"/>
      <c r="U12" s="1020"/>
      <c r="V12" s="1020"/>
      <c r="W12" s="1020"/>
      <c r="X12" s="1020"/>
      <c r="Y12" s="1020"/>
      <c r="Z12" s="1020"/>
      <c r="AA12" s="1020"/>
      <c r="AB12" s="1020"/>
      <c r="AC12" s="1020"/>
      <c r="AD12" s="683"/>
    </row>
    <row r="13" spans="1:30" ht="15" customHeight="1" thickBot="1">
      <c r="A13" s="651"/>
      <c r="B13" s="652"/>
      <c r="C13" s="684"/>
      <c r="D13" s="685"/>
      <c r="E13" s="685"/>
      <c r="F13" s="685"/>
      <c r="G13" s="685"/>
      <c r="H13" s="685"/>
      <c r="I13" s="685"/>
      <c r="J13" s="685"/>
      <c r="K13" s="685"/>
      <c r="L13" s="685"/>
      <c r="M13" s="685"/>
      <c r="N13" s="685"/>
      <c r="O13" s="685"/>
      <c r="P13" s="685"/>
      <c r="Q13" s="685"/>
      <c r="R13" s="685"/>
      <c r="S13" s="685"/>
      <c r="T13" s="685"/>
      <c r="U13" s="685"/>
      <c r="V13" s="685"/>
      <c r="W13" s="685"/>
      <c r="X13" s="685"/>
      <c r="Y13" s="685"/>
      <c r="Z13" s="685"/>
      <c r="AA13" s="685"/>
      <c r="AB13" s="685"/>
      <c r="AC13" s="685"/>
      <c r="AD13" s="686"/>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617" t="s">
        <v>77</v>
      </c>
      <c r="B15" s="618"/>
      <c r="C15" s="913" t="s">
        <v>426</v>
      </c>
      <c r="D15" s="914"/>
      <c r="E15" s="914"/>
      <c r="F15" s="914"/>
      <c r="G15" s="914"/>
      <c r="H15" s="914"/>
      <c r="I15" s="914"/>
      <c r="J15" s="914"/>
      <c r="K15" s="915"/>
      <c r="L15" s="611" t="s">
        <v>73</v>
      </c>
      <c r="M15" s="687"/>
      <c r="N15" s="687"/>
      <c r="O15" s="687"/>
      <c r="P15" s="687"/>
      <c r="Q15" s="612"/>
      <c r="R15" s="916" t="s">
        <v>622</v>
      </c>
      <c r="S15" s="917"/>
      <c r="T15" s="917"/>
      <c r="U15" s="917"/>
      <c r="V15" s="917"/>
      <c r="W15" s="917"/>
      <c r="X15" s="918"/>
      <c r="Y15" s="611" t="s">
        <v>72</v>
      </c>
      <c r="Z15" s="612"/>
      <c r="AA15" s="913" t="s">
        <v>623</v>
      </c>
      <c r="AB15" s="914"/>
      <c r="AC15" s="914"/>
      <c r="AD15" s="915"/>
    </row>
    <row r="16" spans="1:30" ht="9" customHeight="1" thickBot="1">
      <c r="A16" s="257"/>
      <c r="B16" s="252"/>
      <c r="C16" s="919"/>
      <c r="D16" s="919"/>
      <c r="E16" s="919"/>
      <c r="F16" s="919"/>
      <c r="G16" s="919"/>
      <c r="H16" s="919"/>
      <c r="I16" s="919"/>
      <c r="J16" s="919"/>
      <c r="K16" s="919"/>
      <c r="L16" s="919"/>
      <c r="M16" s="919"/>
      <c r="N16" s="919"/>
      <c r="O16" s="919"/>
      <c r="P16" s="919"/>
      <c r="Q16" s="919"/>
      <c r="R16" s="919"/>
      <c r="S16" s="919"/>
      <c r="T16" s="919"/>
      <c r="U16" s="919"/>
      <c r="V16" s="919"/>
      <c r="W16" s="919"/>
      <c r="X16" s="919"/>
      <c r="Y16" s="919"/>
      <c r="Z16" s="919"/>
      <c r="AA16" s="919"/>
      <c r="AB16" s="919"/>
      <c r="AC16" s="271"/>
      <c r="AD16" s="272"/>
    </row>
    <row r="17" spans="1:30" s="273" customFormat="1" ht="37.5" customHeight="1" thickBot="1">
      <c r="A17" s="617" t="s">
        <v>79</v>
      </c>
      <c r="B17" s="618"/>
      <c r="C17" s="697" t="s">
        <v>579</v>
      </c>
      <c r="D17" s="698"/>
      <c r="E17" s="698"/>
      <c r="F17" s="698"/>
      <c r="G17" s="698"/>
      <c r="H17" s="698"/>
      <c r="I17" s="698"/>
      <c r="J17" s="698"/>
      <c r="K17" s="698"/>
      <c r="L17" s="698"/>
      <c r="M17" s="698"/>
      <c r="N17" s="698"/>
      <c r="O17" s="698"/>
      <c r="P17" s="698"/>
      <c r="Q17" s="699"/>
      <c r="R17" s="611" t="s">
        <v>374</v>
      </c>
      <c r="S17" s="687"/>
      <c r="T17" s="687"/>
      <c r="U17" s="687"/>
      <c r="V17" s="612"/>
      <c r="W17" s="613"/>
      <c r="X17" s="614"/>
      <c r="Y17" s="687" t="s">
        <v>15</v>
      </c>
      <c r="Z17" s="687"/>
      <c r="AA17" s="687"/>
      <c r="AB17" s="612"/>
      <c r="AC17" s="923">
        <f>+VIGENCIA!D7</f>
        <v>0.58</v>
      </c>
      <c r="AD17" s="924"/>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611" t="s">
        <v>1</v>
      </c>
      <c r="B19" s="687"/>
      <c r="C19" s="687"/>
      <c r="D19" s="687"/>
      <c r="E19" s="687"/>
      <c r="F19" s="687"/>
      <c r="G19" s="687"/>
      <c r="H19" s="687"/>
      <c r="I19" s="687"/>
      <c r="J19" s="687"/>
      <c r="K19" s="687"/>
      <c r="L19" s="687"/>
      <c r="M19" s="687"/>
      <c r="N19" s="687"/>
      <c r="O19" s="687"/>
      <c r="P19" s="687"/>
      <c r="Q19" s="687"/>
      <c r="R19" s="687"/>
      <c r="S19" s="687"/>
      <c r="T19" s="687"/>
      <c r="U19" s="687"/>
      <c r="V19" s="687"/>
      <c r="W19" s="687"/>
      <c r="X19" s="687"/>
      <c r="Y19" s="687"/>
      <c r="Z19" s="687"/>
      <c r="AA19" s="687"/>
      <c r="AB19" s="687"/>
      <c r="AC19" s="687"/>
      <c r="AD19" s="612"/>
      <c r="AE19" s="275"/>
      <c r="AF19" s="275"/>
    </row>
    <row r="20" spans="1:32" ht="31.5" customHeight="1" thickBot="1">
      <c r="A20" s="276"/>
      <c r="B20" s="258"/>
      <c r="C20" s="715" t="s">
        <v>376</v>
      </c>
      <c r="D20" s="763"/>
      <c r="E20" s="763"/>
      <c r="F20" s="763"/>
      <c r="G20" s="763"/>
      <c r="H20" s="763"/>
      <c r="I20" s="763"/>
      <c r="J20" s="763"/>
      <c r="K20" s="763"/>
      <c r="L20" s="763"/>
      <c r="M20" s="763"/>
      <c r="N20" s="763"/>
      <c r="O20" s="763"/>
      <c r="P20" s="716"/>
      <c r="Q20" s="713" t="s">
        <v>377</v>
      </c>
      <c r="R20" s="925"/>
      <c r="S20" s="925"/>
      <c r="T20" s="925"/>
      <c r="U20" s="925"/>
      <c r="V20" s="925"/>
      <c r="W20" s="925"/>
      <c r="X20" s="925"/>
      <c r="Y20" s="925"/>
      <c r="Z20" s="925"/>
      <c r="AA20" s="925"/>
      <c r="AB20" s="925"/>
      <c r="AC20" s="925"/>
      <c r="AD20" s="714"/>
      <c r="AE20" s="275"/>
      <c r="AF20" s="275"/>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4"/>
    </row>
    <row r="22" spans="1:32" ht="31.5" customHeight="1">
      <c r="A22" s="926" t="s">
        <v>378</v>
      </c>
      <c r="B22" s="927"/>
      <c r="C22" s="197">
        <f>+RESERVA!C14</f>
        <v>148248728</v>
      </c>
      <c r="D22" s="195"/>
      <c r="E22" s="195"/>
      <c r="F22" s="195"/>
      <c r="G22" s="195"/>
      <c r="H22" s="195"/>
      <c r="I22" s="195"/>
      <c r="J22" s="195"/>
      <c r="K22" s="195"/>
      <c r="L22" s="195"/>
      <c r="M22" s="195"/>
      <c r="N22" s="195"/>
      <c r="O22" s="195"/>
      <c r="P22" s="198"/>
      <c r="Q22" s="197">
        <v>6661541216</v>
      </c>
      <c r="R22" s="195">
        <v>0</v>
      </c>
      <c r="S22" s="195">
        <v>30000000</v>
      </c>
      <c r="T22" s="195">
        <v>7000000</v>
      </c>
      <c r="U22" s="195">
        <v>0</v>
      </c>
      <c r="V22" s="195">
        <v>0</v>
      </c>
      <c r="W22" s="195">
        <v>0</v>
      </c>
      <c r="X22" s="195">
        <v>0</v>
      </c>
      <c r="Y22" s="195">
        <v>0</v>
      </c>
      <c r="Z22" s="195">
        <v>0</v>
      </c>
      <c r="AA22" s="195">
        <v>0</v>
      </c>
      <c r="AB22" s="195">
        <v>0</v>
      </c>
      <c r="AC22" s="195">
        <f>SUM(Q22:AB22)</f>
        <v>6698541216</v>
      </c>
      <c r="AD22" s="202"/>
      <c r="AE22" s="4"/>
      <c r="AF22" s="4"/>
    </row>
    <row r="23" spans="1:32" ht="31.5" customHeight="1">
      <c r="A23" s="928" t="s">
        <v>379</v>
      </c>
      <c r="B23" s="929"/>
      <c r="C23" s="192"/>
      <c r="D23" s="191"/>
      <c r="E23" s="191"/>
      <c r="F23" s="191"/>
      <c r="G23" s="191"/>
      <c r="H23" s="191"/>
      <c r="I23" s="191"/>
      <c r="J23" s="191"/>
      <c r="K23" s="191"/>
      <c r="L23" s="191"/>
      <c r="M23" s="191"/>
      <c r="N23" s="191"/>
      <c r="O23" s="191"/>
      <c r="P23" s="211"/>
      <c r="Q23" s="192">
        <f>+VIGENCIA!D16</f>
        <v>6153982761</v>
      </c>
      <c r="R23" s="191">
        <f>+VIGENCIA!F16</f>
        <v>187249867</v>
      </c>
      <c r="S23" s="191">
        <f>+VIGENCIA!H16</f>
        <v>12391320</v>
      </c>
      <c r="T23" s="191">
        <f>+VIGENCIA!J16</f>
        <v>76446900</v>
      </c>
      <c r="U23" s="191">
        <f>+VIGENCIA!L16</f>
        <v>-19105647</v>
      </c>
      <c r="V23" s="191">
        <f>+VIGENCIA!N16</f>
        <v>68314000</v>
      </c>
      <c r="W23" s="191">
        <f>+VIGENCIA!P16</f>
        <v>-5394667</v>
      </c>
      <c r="X23" s="191">
        <f>+VIGENCIA!R16</f>
        <v>51453333</v>
      </c>
      <c r="Y23" s="191">
        <f>+VIGENCIA!T16</f>
        <v>55813292</v>
      </c>
      <c r="Z23" s="191">
        <f>+VIGENCIA!V16</f>
        <v>72547667</v>
      </c>
      <c r="AA23" s="191"/>
      <c r="AB23" s="191"/>
      <c r="AC23" s="191">
        <f>SUM(Q23:AB23)</f>
        <v>6653698826</v>
      </c>
      <c r="AD23" s="448">
        <f>+AC23/AC22</f>
        <v>0.9933056484159729</v>
      </c>
      <c r="AE23" s="4"/>
      <c r="AF23" s="4"/>
    </row>
    <row r="24" spans="1:32" ht="31.5" customHeight="1">
      <c r="A24" s="928" t="s">
        <v>380</v>
      </c>
      <c r="B24" s="929"/>
      <c r="C24" s="192">
        <f>13360000-12360000</f>
        <v>1000000</v>
      </c>
      <c r="D24" s="191">
        <v>1136000</v>
      </c>
      <c r="E24" s="191">
        <v>3553334</v>
      </c>
      <c r="F24" s="191">
        <v>57122894</v>
      </c>
      <c r="G24" s="191">
        <f>1000000-RESERVA!L14</f>
        <v>346666</v>
      </c>
      <c r="H24" s="191">
        <f>1000000-RESERVA!N14</f>
        <v>-22400000</v>
      </c>
      <c r="I24" s="191">
        <f>516500+70560000-RESERVA!P14</f>
        <v>71040500</v>
      </c>
      <c r="J24" s="191">
        <f>+RESERVA!R14</f>
        <v>0</v>
      </c>
      <c r="K24" s="191">
        <f>+(-RESERVA!T14)</f>
        <v>-1540000</v>
      </c>
      <c r="L24" s="191">
        <f>+(-RESERVA!V14)</f>
        <v>-75060000</v>
      </c>
      <c r="M24" s="191"/>
      <c r="N24" s="191"/>
      <c r="O24" s="191">
        <f>SUM(C24:N24)</f>
        <v>35199394</v>
      </c>
      <c r="P24" s="196"/>
      <c r="Q24" s="192"/>
      <c r="R24" s="191">
        <v>446693886</v>
      </c>
      <c r="S24" s="191">
        <v>565233651</v>
      </c>
      <c r="T24" s="191">
        <v>569983651</v>
      </c>
      <c r="U24" s="191">
        <v>568233651</v>
      </c>
      <c r="V24" s="191">
        <v>569983651</v>
      </c>
      <c r="W24" s="191">
        <v>568233651</v>
      </c>
      <c r="X24" s="191">
        <v>569983651</v>
      </c>
      <c r="Y24" s="191">
        <v>568233651</v>
      </c>
      <c r="Z24" s="191">
        <v>569983651</v>
      </c>
      <c r="AA24" s="191">
        <v>568233651</v>
      </c>
      <c r="AB24" s="191">
        <v>1133744471</v>
      </c>
      <c r="AC24" s="191">
        <f>SUM(Q24:AB24)</f>
        <v>6698541216</v>
      </c>
      <c r="AD24" s="448"/>
      <c r="AE24" s="4"/>
      <c r="AF24" s="4"/>
    </row>
    <row r="25" spans="1:32" ht="31.5" customHeight="1" thickBot="1">
      <c r="A25" s="931" t="s">
        <v>381</v>
      </c>
      <c r="B25" s="932"/>
      <c r="C25" s="193">
        <f>+RESERVA!E14</f>
        <v>613145</v>
      </c>
      <c r="D25" s="194">
        <f>+RESERVA!G14</f>
        <v>450994</v>
      </c>
      <c r="E25" s="194">
        <f>+RESERVA!I14</f>
        <v>634080</v>
      </c>
      <c r="F25" s="194">
        <f>+RESERVA!K14</f>
        <v>515228</v>
      </c>
      <c r="G25" s="194">
        <f>+RESERVA!M14</f>
        <v>1618238</v>
      </c>
      <c r="H25" s="194">
        <f>+RESERVA!O14</f>
        <v>2875004</v>
      </c>
      <c r="I25" s="194">
        <f>+RESERVA!Q14</f>
        <v>805846</v>
      </c>
      <c r="J25" s="194">
        <f>+RESERVA!S14</f>
        <v>631532</v>
      </c>
      <c r="K25" s="194">
        <f>+RESERVA!U14</f>
        <v>3961910</v>
      </c>
      <c r="L25" s="194">
        <f>+RESERVA!W14</f>
        <v>442417</v>
      </c>
      <c r="M25" s="194"/>
      <c r="N25" s="194"/>
      <c r="O25" s="194">
        <f>SUM(C25:N25)</f>
        <v>12548394</v>
      </c>
      <c r="P25" s="447">
        <f>+O25/O24</f>
        <v>0.3564946032877725</v>
      </c>
      <c r="Q25" s="193">
        <f>+VIGENCIA!E16</f>
        <v>7763070</v>
      </c>
      <c r="R25" s="194">
        <f>+VIGENCIA!G16</f>
        <v>354001805</v>
      </c>
      <c r="S25" s="194">
        <f>+VIGENCIA!I16</f>
        <v>525548557</v>
      </c>
      <c r="T25" s="194">
        <f>+VIGENCIA!K16</f>
        <v>547224383</v>
      </c>
      <c r="U25" s="194">
        <f>+VIGENCIA!M16</f>
        <v>557928399</v>
      </c>
      <c r="V25" s="194">
        <f>+VIGENCIA!O16</f>
        <v>536595066</v>
      </c>
      <c r="W25" s="194">
        <f>+VIGENCIA!Q16</f>
        <v>559772399</v>
      </c>
      <c r="X25" s="194">
        <f>+VIGENCIA!S16</f>
        <v>568905066</v>
      </c>
      <c r="Y25" s="194">
        <f>+VIGENCIA!U16</f>
        <v>550003066</v>
      </c>
      <c r="Z25" s="194">
        <f>+VIGENCIA!W16</f>
        <v>552268631</v>
      </c>
      <c r="AA25" s="194"/>
      <c r="AB25" s="194"/>
      <c r="AC25" s="194">
        <f>SUM(Q25:AB25)</f>
        <v>4760010442</v>
      </c>
      <c r="AD25" s="449">
        <f>+AC25/AC24</f>
        <v>0.7106040387764332</v>
      </c>
      <c r="AE25" s="4"/>
      <c r="AF25" s="4"/>
    </row>
    <row r="26" spans="1:30" ht="31.5" customHeight="1" thickBot="1">
      <c r="A26" s="257"/>
      <c r="B26" s="252"/>
      <c r="C26" s="280"/>
      <c r="D26" s="280"/>
      <c r="E26" s="405"/>
      <c r="F26" s="280"/>
      <c r="G26" s="280"/>
      <c r="H26" s="280"/>
      <c r="I26" s="280"/>
      <c r="J26" s="280"/>
      <c r="K26" s="280"/>
      <c r="L26" s="280"/>
      <c r="M26" s="280"/>
      <c r="N26" s="406"/>
      <c r="O26" s="405"/>
      <c r="P26" s="280"/>
      <c r="Q26" s="280"/>
      <c r="R26" s="280"/>
      <c r="S26" s="280"/>
      <c r="T26" s="280"/>
      <c r="U26" s="280"/>
      <c r="V26" s="280"/>
      <c r="W26" s="280"/>
      <c r="X26" s="280"/>
      <c r="Y26" s="280"/>
      <c r="Z26" s="280"/>
      <c r="AA26" s="280"/>
      <c r="AB26" s="280"/>
      <c r="AC26" s="258"/>
      <c r="AD26" s="267"/>
    </row>
    <row r="27" spans="1:30" ht="33.75" customHeight="1">
      <c r="A27" s="933" t="s">
        <v>76</v>
      </c>
      <c r="B27" s="934"/>
      <c r="C27" s="935"/>
      <c r="D27" s="935"/>
      <c r="E27" s="935"/>
      <c r="F27" s="935"/>
      <c r="G27" s="935"/>
      <c r="H27" s="935"/>
      <c r="I27" s="935"/>
      <c r="J27" s="935"/>
      <c r="K27" s="935"/>
      <c r="L27" s="935"/>
      <c r="M27" s="935"/>
      <c r="N27" s="935"/>
      <c r="O27" s="935"/>
      <c r="P27" s="935"/>
      <c r="Q27" s="935"/>
      <c r="R27" s="935"/>
      <c r="S27" s="935"/>
      <c r="T27" s="935"/>
      <c r="U27" s="935"/>
      <c r="V27" s="935"/>
      <c r="W27" s="935"/>
      <c r="X27" s="935"/>
      <c r="Y27" s="935"/>
      <c r="Z27" s="935"/>
      <c r="AA27" s="935"/>
      <c r="AB27" s="935"/>
      <c r="AC27" s="935"/>
      <c r="AD27" s="936"/>
    </row>
    <row r="28" spans="1:30" ht="15" customHeight="1">
      <c r="A28" s="937" t="s">
        <v>189</v>
      </c>
      <c r="B28" s="939" t="s">
        <v>6</v>
      </c>
      <c r="C28" s="940"/>
      <c r="D28" s="929" t="s">
        <v>398</v>
      </c>
      <c r="E28" s="943"/>
      <c r="F28" s="943"/>
      <c r="G28" s="943"/>
      <c r="H28" s="943"/>
      <c r="I28" s="943"/>
      <c r="J28" s="943"/>
      <c r="K28" s="943"/>
      <c r="L28" s="943"/>
      <c r="M28" s="943"/>
      <c r="N28" s="943"/>
      <c r="O28" s="944"/>
      <c r="P28" s="930" t="s">
        <v>8</v>
      </c>
      <c r="Q28" s="930" t="s">
        <v>84</v>
      </c>
      <c r="R28" s="930"/>
      <c r="S28" s="930"/>
      <c r="T28" s="930"/>
      <c r="U28" s="930"/>
      <c r="V28" s="930"/>
      <c r="W28" s="930"/>
      <c r="X28" s="930"/>
      <c r="Y28" s="930"/>
      <c r="Z28" s="930"/>
      <c r="AA28" s="930"/>
      <c r="AB28" s="930"/>
      <c r="AC28" s="930"/>
      <c r="AD28" s="945"/>
    </row>
    <row r="29" spans="1:30" ht="27" customHeight="1">
      <c r="A29" s="938"/>
      <c r="B29" s="941"/>
      <c r="C29" s="942"/>
      <c r="D29" s="281" t="s">
        <v>39</v>
      </c>
      <c r="E29" s="281" t="s">
        <v>40</v>
      </c>
      <c r="F29" s="281" t="s">
        <v>41</v>
      </c>
      <c r="G29" s="281" t="s">
        <v>42</v>
      </c>
      <c r="H29" s="281" t="s">
        <v>43</v>
      </c>
      <c r="I29" s="281" t="s">
        <v>44</v>
      </c>
      <c r="J29" s="281" t="s">
        <v>45</v>
      </c>
      <c r="K29" s="281" t="s">
        <v>46</v>
      </c>
      <c r="L29" s="281" t="s">
        <v>47</v>
      </c>
      <c r="M29" s="281" t="s">
        <v>48</v>
      </c>
      <c r="N29" s="281" t="s">
        <v>49</v>
      </c>
      <c r="O29" s="281" t="s">
        <v>50</v>
      </c>
      <c r="P29" s="944"/>
      <c r="Q29" s="930"/>
      <c r="R29" s="930"/>
      <c r="S29" s="930"/>
      <c r="T29" s="930"/>
      <c r="U29" s="930"/>
      <c r="V29" s="930"/>
      <c r="W29" s="930"/>
      <c r="X29" s="930"/>
      <c r="Y29" s="930"/>
      <c r="Z29" s="930"/>
      <c r="AA29" s="930"/>
      <c r="AB29" s="930"/>
      <c r="AC29" s="930"/>
      <c r="AD29" s="945"/>
    </row>
    <row r="30" spans="1:30" ht="70.5" customHeight="1" thickBot="1">
      <c r="A30" s="394" t="str">
        <f>C17</f>
        <v>Ejecutar el 100%  las actividades programadas para una correcta gestión administrativa y organizacional</v>
      </c>
      <c r="B30" s="1018" t="s">
        <v>450</v>
      </c>
      <c r="C30" s="1019"/>
      <c r="D30" s="390" t="s">
        <v>450</v>
      </c>
      <c r="E30" s="390" t="s">
        <v>450</v>
      </c>
      <c r="F30" s="390" t="s">
        <v>450</v>
      </c>
      <c r="G30" s="390" t="s">
        <v>450</v>
      </c>
      <c r="H30" s="390" t="s">
        <v>450</v>
      </c>
      <c r="I30" s="390" t="s">
        <v>450</v>
      </c>
      <c r="J30" s="390" t="s">
        <v>450</v>
      </c>
      <c r="K30" s="390" t="s">
        <v>450</v>
      </c>
      <c r="L30" s="390" t="s">
        <v>450</v>
      </c>
      <c r="M30" s="390" t="s">
        <v>450</v>
      </c>
      <c r="N30" s="390" t="s">
        <v>450</v>
      </c>
      <c r="O30" s="390" t="s">
        <v>450</v>
      </c>
      <c r="P30" s="391">
        <f>SUM(D30:O30)</f>
        <v>0</v>
      </c>
      <c r="Q30" s="954"/>
      <c r="R30" s="954"/>
      <c r="S30" s="954"/>
      <c r="T30" s="954"/>
      <c r="U30" s="954"/>
      <c r="V30" s="954"/>
      <c r="W30" s="954"/>
      <c r="X30" s="954"/>
      <c r="Y30" s="954"/>
      <c r="Z30" s="954"/>
      <c r="AA30" s="954"/>
      <c r="AB30" s="954"/>
      <c r="AC30" s="954"/>
      <c r="AD30" s="955"/>
    </row>
    <row r="31" spans="1:30" ht="45" customHeight="1">
      <c r="A31" s="884" t="s">
        <v>292</v>
      </c>
      <c r="B31" s="885"/>
      <c r="C31" s="885"/>
      <c r="D31" s="885"/>
      <c r="E31" s="885"/>
      <c r="F31" s="885"/>
      <c r="G31" s="885"/>
      <c r="H31" s="885"/>
      <c r="I31" s="885"/>
      <c r="J31" s="885"/>
      <c r="K31" s="885"/>
      <c r="L31" s="885"/>
      <c r="M31" s="885"/>
      <c r="N31" s="885"/>
      <c r="O31" s="885"/>
      <c r="P31" s="885"/>
      <c r="Q31" s="885"/>
      <c r="R31" s="885"/>
      <c r="S31" s="885"/>
      <c r="T31" s="885"/>
      <c r="U31" s="885"/>
      <c r="V31" s="885"/>
      <c r="W31" s="885"/>
      <c r="X31" s="885"/>
      <c r="Y31" s="885"/>
      <c r="Z31" s="885"/>
      <c r="AA31" s="885"/>
      <c r="AB31" s="885"/>
      <c r="AC31" s="885"/>
      <c r="AD31" s="886"/>
    </row>
    <row r="32" spans="1:41" ht="22.5" customHeight="1">
      <c r="A32" s="928" t="s">
        <v>190</v>
      </c>
      <c r="B32" s="930" t="s">
        <v>62</v>
      </c>
      <c r="C32" s="930" t="s">
        <v>6</v>
      </c>
      <c r="D32" s="930" t="s">
        <v>60</v>
      </c>
      <c r="E32" s="930"/>
      <c r="F32" s="930"/>
      <c r="G32" s="930"/>
      <c r="H32" s="930"/>
      <c r="I32" s="930"/>
      <c r="J32" s="930"/>
      <c r="K32" s="930"/>
      <c r="L32" s="930"/>
      <c r="M32" s="930"/>
      <c r="N32" s="930"/>
      <c r="O32" s="930"/>
      <c r="P32" s="930"/>
      <c r="Q32" s="930" t="s">
        <v>85</v>
      </c>
      <c r="R32" s="930"/>
      <c r="S32" s="930"/>
      <c r="T32" s="930"/>
      <c r="U32" s="930"/>
      <c r="V32" s="930"/>
      <c r="W32" s="930"/>
      <c r="X32" s="930"/>
      <c r="Y32" s="930"/>
      <c r="Z32" s="930"/>
      <c r="AA32" s="930"/>
      <c r="AB32" s="930"/>
      <c r="AC32" s="930"/>
      <c r="AD32" s="945"/>
      <c r="AG32" s="90"/>
      <c r="AH32" s="90"/>
      <c r="AI32" s="90"/>
      <c r="AJ32" s="90"/>
      <c r="AK32" s="90"/>
      <c r="AL32" s="90"/>
      <c r="AM32" s="90"/>
      <c r="AN32" s="90"/>
      <c r="AO32" s="90"/>
    </row>
    <row r="33" spans="1:41" ht="27" customHeight="1">
      <c r="A33" s="928"/>
      <c r="B33" s="930"/>
      <c r="C33" s="956"/>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930" t="s">
        <v>403</v>
      </c>
      <c r="R33" s="930"/>
      <c r="S33" s="930"/>
      <c r="T33" s="930" t="s">
        <v>406</v>
      </c>
      <c r="U33" s="930"/>
      <c r="V33" s="930"/>
      <c r="W33" s="941" t="s">
        <v>81</v>
      </c>
      <c r="X33" s="962"/>
      <c r="Y33" s="962"/>
      <c r="Z33" s="942"/>
      <c r="AA33" s="941" t="s">
        <v>82</v>
      </c>
      <c r="AB33" s="962"/>
      <c r="AC33" s="962"/>
      <c r="AD33" s="963"/>
      <c r="AG33" s="90"/>
      <c r="AH33" s="90"/>
      <c r="AI33" s="90"/>
      <c r="AJ33" s="90"/>
      <c r="AK33" s="90"/>
      <c r="AL33" s="90"/>
      <c r="AM33" s="90"/>
      <c r="AN33" s="90"/>
      <c r="AO33" s="90"/>
    </row>
    <row r="34" spans="1:41" ht="182.25" customHeight="1">
      <c r="A34" s="1008" t="str">
        <f>A30</f>
        <v>Ejecutar el 100%  las actividades programadas para una correcta gestión administrativa y organizacional</v>
      </c>
      <c r="B34" s="1010">
        <f>+AC17</f>
        <v>0.58</v>
      </c>
      <c r="C34" s="284" t="s">
        <v>9</v>
      </c>
      <c r="D34" s="395">
        <f>((D38*($B$38/$B$34))+(D40*($B$40/$B$34))+(D42*($B$42/$B$34))+(D44*($B$44/$B$34))+(D46*($B$46/$B$34))+(D48*($B$48/$B$34))*$P$34)</f>
        <v>0.0788888888888889</v>
      </c>
      <c r="E34" s="395">
        <f aca="true" t="shared" si="0" ref="E34:O34">((E38*($B$38/$B$34))+(E40*($B$40/$B$34))+(E42*($B$42/$B$34))+(E44*($B$44/$B$34))+(E46*($B$46/$B$34))+(E48*($B$48/$B$34))*$P$34)</f>
        <v>0.11388888888888891</v>
      </c>
      <c r="F34" s="395">
        <f t="shared" si="0"/>
        <v>0.09222222222222223</v>
      </c>
      <c r="G34" s="395">
        <f t="shared" si="0"/>
        <v>0.07722222222222223</v>
      </c>
      <c r="H34" s="395">
        <f t="shared" si="0"/>
        <v>0.0788888888888889</v>
      </c>
      <c r="I34" s="395">
        <f t="shared" si="0"/>
        <v>0.08222222222222222</v>
      </c>
      <c r="J34" s="395">
        <f t="shared" si="0"/>
        <v>0.0838888888888889</v>
      </c>
      <c r="K34" s="395">
        <f t="shared" si="0"/>
        <v>0.0788888888888889</v>
      </c>
      <c r="L34" s="395">
        <f t="shared" si="0"/>
        <v>0.0788888888888889</v>
      </c>
      <c r="M34" s="395">
        <f t="shared" si="0"/>
        <v>0.07388888888888889</v>
      </c>
      <c r="N34" s="395">
        <f t="shared" si="0"/>
        <v>0.0738888888888889</v>
      </c>
      <c r="O34" s="395">
        <f t="shared" si="0"/>
        <v>0.08722222222222223</v>
      </c>
      <c r="P34" s="177">
        <v>1</v>
      </c>
      <c r="Q34" s="971" t="s">
        <v>884</v>
      </c>
      <c r="R34" s="972"/>
      <c r="S34" s="973"/>
      <c r="T34" s="971" t="s">
        <v>885</v>
      </c>
      <c r="U34" s="972"/>
      <c r="V34" s="973"/>
      <c r="W34" s="1012" t="s">
        <v>886</v>
      </c>
      <c r="X34" s="1013"/>
      <c r="Y34" s="1013"/>
      <c r="Z34" s="1014"/>
      <c r="AA34" s="1012" t="s">
        <v>887</v>
      </c>
      <c r="AB34" s="1013"/>
      <c r="AC34" s="1013"/>
      <c r="AD34" s="1014"/>
      <c r="AG34" s="90"/>
      <c r="AH34" s="90"/>
      <c r="AI34" s="90"/>
      <c r="AJ34" s="90"/>
      <c r="AK34" s="90"/>
      <c r="AL34" s="90"/>
      <c r="AM34" s="90"/>
      <c r="AN34" s="90"/>
      <c r="AO34" s="90"/>
    </row>
    <row r="35" spans="1:41" ht="182.25" customHeight="1" thickBot="1">
      <c r="A35" s="1009"/>
      <c r="B35" s="1011"/>
      <c r="C35" s="285" t="s">
        <v>10</v>
      </c>
      <c r="D35" s="413">
        <f>((D39*($B$38/$B$34))+(D41*($B$40/$B$34))+(D43*($B$42/$B$34))+(D45*($B$44/$B$34))+(D47*($B$46/$B$34))+(D49*($B$48/$B$34))*$P$34)</f>
        <v>0.07888333333333336</v>
      </c>
      <c r="E35" s="413">
        <f aca="true" t="shared" si="1" ref="E35:M35">((E39*($B$38/$B$34))+(E41*($B$40/$B$34))+(E43*($B$42/$B$34))+(E45*($B$44/$B$34))+(E47*($B$46/$B$34))+(E49*($B$48/$B$34))*$P$34)</f>
        <v>0.11388333333333335</v>
      </c>
      <c r="F35" s="413">
        <f t="shared" si="1"/>
        <v>0.09221666666666667</v>
      </c>
      <c r="G35" s="413">
        <f t="shared" si="1"/>
        <v>0.07721666666666667</v>
      </c>
      <c r="H35" s="413">
        <f t="shared" si="1"/>
        <v>0.0788888888888889</v>
      </c>
      <c r="I35" s="475">
        <f t="shared" si="1"/>
        <v>0.08221666666666667</v>
      </c>
      <c r="J35" s="475">
        <f t="shared" si="1"/>
        <v>0.08388333333333334</v>
      </c>
      <c r="K35" s="475">
        <f t="shared" si="1"/>
        <v>0.08055000000000001</v>
      </c>
      <c r="L35" s="475">
        <f t="shared" si="1"/>
        <v>0.07888333333333333</v>
      </c>
      <c r="M35" s="475">
        <f t="shared" si="1"/>
        <v>0.07388888888888889</v>
      </c>
      <c r="N35" s="96"/>
      <c r="O35" s="96"/>
      <c r="P35" s="178">
        <f>SUM(D35:O35)</f>
        <v>0.8405111111111111</v>
      </c>
      <c r="Q35" s="974"/>
      <c r="R35" s="975"/>
      <c r="S35" s="976"/>
      <c r="T35" s="974"/>
      <c r="U35" s="975"/>
      <c r="V35" s="976"/>
      <c r="W35" s="1015"/>
      <c r="X35" s="1016"/>
      <c r="Y35" s="1016"/>
      <c r="Z35" s="1017"/>
      <c r="AA35" s="1015"/>
      <c r="AB35" s="1016"/>
      <c r="AC35" s="1016"/>
      <c r="AD35" s="1017"/>
      <c r="AE35" s="50"/>
      <c r="AG35" s="90"/>
      <c r="AH35" s="90"/>
      <c r="AI35" s="90"/>
      <c r="AJ35" s="90"/>
      <c r="AK35" s="90"/>
      <c r="AL35" s="90"/>
      <c r="AM35" s="90"/>
      <c r="AN35" s="90"/>
      <c r="AO35" s="90"/>
    </row>
    <row r="36" spans="1:41" ht="25.5" customHeight="1">
      <c r="A36" s="926" t="s">
        <v>191</v>
      </c>
      <c r="B36" s="986" t="s">
        <v>61</v>
      </c>
      <c r="C36" s="1006" t="s">
        <v>11</v>
      </c>
      <c r="D36" s="1006"/>
      <c r="E36" s="1006"/>
      <c r="F36" s="1006"/>
      <c r="G36" s="1006"/>
      <c r="H36" s="1006"/>
      <c r="I36" s="1006"/>
      <c r="J36" s="1006"/>
      <c r="K36" s="1006"/>
      <c r="L36" s="1006"/>
      <c r="M36" s="1006"/>
      <c r="N36" s="1006"/>
      <c r="O36" s="1006"/>
      <c r="P36" s="1006"/>
      <c r="Q36" s="927" t="s">
        <v>78</v>
      </c>
      <c r="R36" s="988"/>
      <c r="S36" s="988"/>
      <c r="T36" s="988"/>
      <c r="U36" s="988"/>
      <c r="V36" s="988"/>
      <c r="W36" s="988"/>
      <c r="X36" s="988"/>
      <c r="Y36" s="988"/>
      <c r="Z36" s="988"/>
      <c r="AA36" s="988"/>
      <c r="AB36" s="988"/>
      <c r="AC36" s="988"/>
      <c r="AD36" s="990"/>
      <c r="AG36" s="90"/>
      <c r="AH36" s="90"/>
      <c r="AI36" s="90"/>
      <c r="AJ36" s="90"/>
      <c r="AK36" s="90"/>
      <c r="AL36" s="90"/>
      <c r="AM36" s="90"/>
      <c r="AN36" s="90"/>
      <c r="AO36" s="90"/>
    </row>
    <row r="37" spans="1:41" ht="25.5" customHeight="1">
      <c r="A37" s="928"/>
      <c r="B37" s="987"/>
      <c r="C37" s="425" t="s">
        <v>12</v>
      </c>
      <c r="D37" s="425" t="s">
        <v>36</v>
      </c>
      <c r="E37" s="425" t="s">
        <v>37</v>
      </c>
      <c r="F37" s="425" t="s">
        <v>38</v>
      </c>
      <c r="G37" s="425" t="s">
        <v>51</v>
      </c>
      <c r="H37" s="425" t="s">
        <v>52</v>
      </c>
      <c r="I37" s="425" t="s">
        <v>53</v>
      </c>
      <c r="J37" s="425" t="s">
        <v>54</v>
      </c>
      <c r="K37" s="425" t="s">
        <v>55</v>
      </c>
      <c r="L37" s="425" t="s">
        <v>56</v>
      </c>
      <c r="M37" s="425" t="s">
        <v>57</v>
      </c>
      <c r="N37" s="425" t="s">
        <v>58</v>
      </c>
      <c r="O37" s="425" t="s">
        <v>59</v>
      </c>
      <c r="P37" s="425" t="s">
        <v>63</v>
      </c>
      <c r="Q37" s="929" t="s">
        <v>83</v>
      </c>
      <c r="R37" s="943"/>
      <c r="S37" s="943"/>
      <c r="T37" s="943"/>
      <c r="U37" s="943"/>
      <c r="V37" s="943"/>
      <c r="W37" s="943"/>
      <c r="X37" s="943"/>
      <c r="Y37" s="943"/>
      <c r="Z37" s="943"/>
      <c r="AA37" s="943"/>
      <c r="AB37" s="943"/>
      <c r="AC37" s="943"/>
      <c r="AD37" s="991"/>
      <c r="AG37" s="98"/>
      <c r="AH37" s="98"/>
      <c r="AI37" s="98"/>
      <c r="AJ37" s="98"/>
      <c r="AK37" s="98"/>
      <c r="AL37" s="98"/>
      <c r="AM37" s="98"/>
      <c r="AN37" s="98"/>
      <c r="AO37" s="98"/>
    </row>
    <row r="38" spans="1:41" ht="114" customHeight="1">
      <c r="A38" s="1005" t="s">
        <v>580</v>
      </c>
      <c r="B38" s="1007">
        <f>+$B$34/6</f>
        <v>0.09666666666666666</v>
      </c>
      <c r="C38" s="284" t="s">
        <v>9</v>
      </c>
      <c r="D38" s="99">
        <v>0.1</v>
      </c>
      <c r="E38" s="99">
        <v>0.1</v>
      </c>
      <c r="F38" s="99">
        <v>0.08</v>
      </c>
      <c r="G38" s="99">
        <v>0.08</v>
      </c>
      <c r="H38" s="99">
        <v>0.08</v>
      </c>
      <c r="I38" s="99">
        <v>0.08</v>
      </c>
      <c r="J38" s="99">
        <v>0.08</v>
      </c>
      <c r="K38" s="99">
        <v>0.08</v>
      </c>
      <c r="L38" s="99">
        <v>0.08</v>
      </c>
      <c r="M38" s="99">
        <v>0.08</v>
      </c>
      <c r="N38" s="99">
        <v>0.08</v>
      </c>
      <c r="O38" s="99">
        <v>0.08</v>
      </c>
      <c r="P38" s="286">
        <f>SUM(D38:O38)</f>
        <v>0.9999999999999998</v>
      </c>
      <c r="Q38" s="858" t="s">
        <v>879</v>
      </c>
      <c r="R38" s="859"/>
      <c r="S38" s="859"/>
      <c r="T38" s="859"/>
      <c r="U38" s="859"/>
      <c r="V38" s="859"/>
      <c r="W38" s="859"/>
      <c r="X38" s="859"/>
      <c r="Y38" s="859"/>
      <c r="Z38" s="859"/>
      <c r="AA38" s="859"/>
      <c r="AB38" s="859"/>
      <c r="AC38" s="859"/>
      <c r="AD38" s="980"/>
      <c r="AE38" s="287"/>
      <c r="AG38" s="102"/>
      <c r="AH38" s="102"/>
      <c r="AI38" s="102"/>
      <c r="AJ38" s="102"/>
      <c r="AK38" s="102"/>
      <c r="AL38" s="102"/>
      <c r="AM38" s="102"/>
      <c r="AN38" s="102"/>
      <c r="AO38" s="102"/>
    </row>
    <row r="39" spans="1:31" ht="114" customHeight="1">
      <c r="A39" s="1003"/>
      <c r="B39" s="1004"/>
      <c r="C39" s="288" t="s">
        <v>10</v>
      </c>
      <c r="D39" s="104">
        <v>0.1</v>
      </c>
      <c r="E39" s="104">
        <v>0.1</v>
      </c>
      <c r="F39" s="104">
        <v>0.08</v>
      </c>
      <c r="G39" s="104">
        <v>0.08</v>
      </c>
      <c r="H39" s="104">
        <v>0.08</v>
      </c>
      <c r="I39" s="104">
        <v>0.08</v>
      </c>
      <c r="J39" s="104">
        <v>0.08</v>
      </c>
      <c r="K39" s="104">
        <v>0.08</v>
      </c>
      <c r="L39" s="104">
        <v>0.08</v>
      </c>
      <c r="M39" s="104">
        <v>0.08</v>
      </c>
      <c r="N39" s="104"/>
      <c r="O39" s="104"/>
      <c r="P39" s="289">
        <f aca="true" t="shared" si="2" ref="P39:P45">SUM(D39:O39)</f>
        <v>0.8399999999999999</v>
      </c>
      <c r="Q39" s="981"/>
      <c r="R39" s="982"/>
      <c r="S39" s="982"/>
      <c r="T39" s="982"/>
      <c r="U39" s="982"/>
      <c r="V39" s="982"/>
      <c r="W39" s="982"/>
      <c r="X39" s="982"/>
      <c r="Y39" s="982"/>
      <c r="Z39" s="982"/>
      <c r="AA39" s="982"/>
      <c r="AB39" s="982"/>
      <c r="AC39" s="982"/>
      <c r="AD39" s="983"/>
      <c r="AE39" s="287"/>
    </row>
    <row r="40" spans="1:31" ht="93.75" customHeight="1">
      <c r="A40" s="1002" t="s">
        <v>581</v>
      </c>
      <c r="B40" s="994">
        <f>+$B$34/6</f>
        <v>0.09666666666666666</v>
      </c>
      <c r="C40" s="290" t="s">
        <v>9</v>
      </c>
      <c r="D40" s="99">
        <v>0.2</v>
      </c>
      <c r="E40" s="99">
        <v>0.3</v>
      </c>
      <c r="F40" s="99">
        <v>0.15</v>
      </c>
      <c r="G40" s="99">
        <v>0.03</v>
      </c>
      <c r="H40" s="99">
        <v>0.03</v>
      </c>
      <c r="I40" s="99">
        <v>0.03</v>
      </c>
      <c r="J40" s="99">
        <v>0.04</v>
      </c>
      <c r="K40" s="99">
        <v>0.03</v>
      </c>
      <c r="L40" s="99">
        <v>0.04</v>
      </c>
      <c r="M40" s="99">
        <v>0.02</v>
      </c>
      <c r="N40" s="99">
        <v>0.05</v>
      </c>
      <c r="O40" s="99">
        <v>0.08</v>
      </c>
      <c r="P40" s="289">
        <f>SUM(D40:O40)</f>
        <v>1.0000000000000002</v>
      </c>
      <c r="Q40" s="858" t="s">
        <v>880</v>
      </c>
      <c r="R40" s="859"/>
      <c r="S40" s="859"/>
      <c r="T40" s="859"/>
      <c r="U40" s="859"/>
      <c r="V40" s="859"/>
      <c r="W40" s="859"/>
      <c r="X40" s="859"/>
      <c r="Y40" s="859"/>
      <c r="Z40" s="859"/>
      <c r="AA40" s="859"/>
      <c r="AB40" s="859"/>
      <c r="AC40" s="859"/>
      <c r="AD40" s="980"/>
      <c r="AE40" s="287"/>
    </row>
    <row r="41" spans="1:31" ht="93.75" customHeight="1">
      <c r="A41" s="1003"/>
      <c r="B41" s="1004"/>
      <c r="C41" s="288" t="s">
        <v>10</v>
      </c>
      <c r="D41" s="104">
        <v>0.2</v>
      </c>
      <c r="E41" s="104">
        <v>0.3</v>
      </c>
      <c r="F41" s="104">
        <v>0.15</v>
      </c>
      <c r="G41" s="104">
        <v>0.03</v>
      </c>
      <c r="H41" s="104">
        <v>0.03</v>
      </c>
      <c r="I41" s="104">
        <v>0.03</v>
      </c>
      <c r="J41" s="104">
        <v>0.04</v>
      </c>
      <c r="K41" s="104">
        <v>0.04</v>
      </c>
      <c r="L41" s="104">
        <v>0.04</v>
      </c>
      <c r="M41" s="104">
        <v>0.02</v>
      </c>
      <c r="N41" s="104"/>
      <c r="O41" s="104"/>
      <c r="P41" s="289">
        <f t="shared" si="2"/>
        <v>0.8800000000000002</v>
      </c>
      <c r="Q41" s="981"/>
      <c r="R41" s="982"/>
      <c r="S41" s="982"/>
      <c r="T41" s="982"/>
      <c r="U41" s="982"/>
      <c r="V41" s="982"/>
      <c r="W41" s="982"/>
      <c r="X41" s="982"/>
      <c r="Y41" s="982"/>
      <c r="Z41" s="982"/>
      <c r="AA41" s="982"/>
      <c r="AB41" s="982"/>
      <c r="AC41" s="982"/>
      <c r="AD41" s="983"/>
      <c r="AE41" s="287"/>
    </row>
    <row r="42" spans="1:31" ht="124.5" customHeight="1">
      <c r="A42" s="1005" t="s">
        <v>582</v>
      </c>
      <c r="B42" s="994">
        <f>+$B$34/6</f>
        <v>0.09666666666666666</v>
      </c>
      <c r="C42" s="290" t="s">
        <v>9</v>
      </c>
      <c r="D42" s="99">
        <v>0.05</v>
      </c>
      <c r="E42" s="99">
        <v>0.05</v>
      </c>
      <c r="F42" s="99">
        <v>0.07</v>
      </c>
      <c r="G42" s="99">
        <v>0.09</v>
      </c>
      <c r="H42" s="99">
        <v>0.1</v>
      </c>
      <c r="I42" s="99">
        <v>0.12</v>
      </c>
      <c r="J42" s="99">
        <v>0.12</v>
      </c>
      <c r="K42" s="99">
        <v>0.1</v>
      </c>
      <c r="L42" s="99">
        <v>0.09</v>
      </c>
      <c r="M42" s="99">
        <v>0.09</v>
      </c>
      <c r="N42" s="99">
        <v>0.07</v>
      </c>
      <c r="O42" s="99">
        <v>0.05</v>
      </c>
      <c r="P42" s="289">
        <f>SUM(D42:O42)</f>
        <v>1</v>
      </c>
      <c r="Q42" s="858" t="s">
        <v>881</v>
      </c>
      <c r="R42" s="859"/>
      <c r="S42" s="859"/>
      <c r="T42" s="859"/>
      <c r="U42" s="859"/>
      <c r="V42" s="859"/>
      <c r="W42" s="859"/>
      <c r="X42" s="859"/>
      <c r="Y42" s="859"/>
      <c r="Z42" s="859"/>
      <c r="AA42" s="859"/>
      <c r="AB42" s="859"/>
      <c r="AC42" s="859"/>
      <c r="AD42" s="980"/>
      <c r="AE42" s="287"/>
    </row>
    <row r="43" spans="1:31" ht="124.5" customHeight="1">
      <c r="A43" s="1003"/>
      <c r="B43" s="1004"/>
      <c r="C43" s="288" t="s">
        <v>10</v>
      </c>
      <c r="D43" s="104">
        <v>0.05</v>
      </c>
      <c r="E43" s="104">
        <v>0.05</v>
      </c>
      <c r="F43" s="104">
        <v>0.07</v>
      </c>
      <c r="G43" s="104">
        <v>0.09</v>
      </c>
      <c r="H43" s="104">
        <v>0.1</v>
      </c>
      <c r="I43" s="104">
        <v>0.12</v>
      </c>
      <c r="J43" s="104">
        <v>0.12</v>
      </c>
      <c r="K43" s="104">
        <v>0.1</v>
      </c>
      <c r="L43" s="104">
        <v>0.09</v>
      </c>
      <c r="M43" s="104">
        <v>0.09</v>
      </c>
      <c r="N43" s="104"/>
      <c r="O43" s="104"/>
      <c r="P43" s="289">
        <f t="shared" si="2"/>
        <v>0.8799999999999999</v>
      </c>
      <c r="Q43" s="981"/>
      <c r="R43" s="982"/>
      <c r="S43" s="982"/>
      <c r="T43" s="982"/>
      <c r="U43" s="982"/>
      <c r="V43" s="982"/>
      <c r="W43" s="982"/>
      <c r="X43" s="982"/>
      <c r="Y43" s="982"/>
      <c r="Z43" s="982"/>
      <c r="AA43" s="982"/>
      <c r="AB43" s="982"/>
      <c r="AC43" s="982"/>
      <c r="AD43" s="983"/>
      <c r="AE43" s="287"/>
    </row>
    <row r="44" spans="1:31" ht="93.75" customHeight="1">
      <c r="A44" s="1002" t="s">
        <v>790</v>
      </c>
      <c r="B44" s="994">
        <f>+$B$34/6</f>
        <v>0.09666666666666666</v>
      </c>
      <c r="C44" s="290" t="s">
        <v>9</v>
      </c>
      <c r="D44" s="329">
        <v>0.02</v>
      </c>
      <c r="E44" s="329">
        <v>0.07</v>
      </c>
      <c r="F44" s="329">
        <v>0.08</v>
      </c>
      <c r="G44" s="329">
        <v>0.09</v>
      </c>
      <c r="H44" s="329">
        <v>0.09</v>
      </c>
      <c r="I44" s="329">
        <v>0.09</v>
      </c>
      <c r="J44" s="329">
        <v>0.09</v>
      </c>
      <c r="K44" s="329">
        <v>0.09</v>
      </c>
      <c r="L44" s="329">
        <v>0.09</v>
      </c>
      <c r="M44" s="329">
        <v>0.08</v>
      </c>
      <c r="N44" s="329">
        <v>0.07</v>
      </c>
      <c r="O44" s="329">
        <v>0.14</v>
      </c>
      <c r="P44" s="333">
        <f>SUM(D44:O44)</f>
        <v>0.9999999999999999</v>
      </c>
      <c r="Q44" s="858" t="s">
        <v>882</v>
      </c>
      <c r="R44" s="859"/>
      <c r="S44" s="859"/>
      <c r="T44" s="859"/>
      <c r="U44" s="859"/>
      <c r="V44" s="859"/>
      <c r="W44" s="859"/>
      <c r="X44" s="859"/>
      <c r="Y44" s="859"/>
      <c r="Z44" s="859"/>
      <c r="AA44" s="859"/>
      <c r="AB44" s="859"/>
      <c r="AC44" s="859"/>
      <c r="AD44" s="980"/>
      <c r="AE44" s="287"/>
    </row>
    <row r="45" spans="1:31" ht="93.75" customHeight="1">
      <c r="A45" s="1003"/>
      <c r="B45" s="1004"/>
      <c r="C45" s="288" t="s">
        <v>10</v>
      </c>
      <c r="D45" s="104">
        <v>0.02</v>
      </c>
      <c r="E45" s="104">
        <v>0.07</v>
      </c>
      <c r="F45" s="104">
        <v>0.08</v>
      </c>
      <c r="G45" s="104">
        <v>0.09</v>
      </c>
      <c r="H45" s="104">
        <v>0.09</v>
      </c>
      <c r="I45" s="104">
        <v>0.09</v>
      </c>
      <c r="J45" s="104">
        <v>0.09</v>
      </c>
      <c r="K45" s="104">
        <v>0.09</v>
      </c>
      <c r="L45" s="104">
        <v>0.09</v>
      </c>
      <c r="M45" s="104">
        <v>0.08</v>
      </c>
      <c r="N45" s="104"/>
      <c r="O45" s="104"/>
      <c r="P45" s="333">
        <f t="shared" si="2"/>
        <v>0.7899999999999998</v>
      </c>
      <c r="Q45" s="981"/>
      <c r="R45" s="982"/>
      <c r="S45" s="982"/>
      <c r="T45" s="982"/>
      <c r="U45" s="982"/>
      <c r="V45" s="982"/>
      <c r="W45" s="982"/>
      <c r="X45" s="982"/>
      <c r="Y45" s="982"/>
      <c r="Z45" s="982"/>
      <c r="AA45" s="982"/>
      <c r="AB45" s="982"/>
      <c r="AC45" s="982"/>
      <c r="AD45" s="983"/>
      <c r="AE45" s="287"/>
    </row>
    <row r="46" spans="1:31" ht="93.75" customHeight="1">
      <c r="A46" s="1002" t="s">
        <v>791</v>
      </c>
      <c r="B46" s="994">
        <f>+$B$34/6</f>
        <v>0.09666666666666666</v>
      </c>
      <c r="C46" s="290" t="s">
        <v>9</v>
      </c>
      <c r="D46" s="407">
        <v>0.08333333333333334</v>
      </c>
      <c r="E46" s="407">
        <v>0.08333333333333334</v>
      </c>
      <c r="F46" s="407">
        <v>0.08333333333333334</v>
      </c>
      <c r="G46" s="407">
        <v>0.08333333333333334</v>
      </c>
      <c r="H46" s="407">
        <v>0.08333333333333334</v>
      </c>
      <c r="I46" s="407">
        <v>0.08333333333333334</v>
      </c>
      <c r="J46" s="407">
        <v>0.08333333333333334</v>
      </c>
      <c r="K46" s="407">
        <v>0.08333333333333334</v>
      </c>
      <c r="L46" s="407">
        <v>0.08333333333333334</v>
      </c>
      <c r="M46" s="407">
        <v>0.08333333333333334</v>
      </c>
      <c r="N46" s="407">
        <v>0.08333333333333334</v>
      </c>
      <c r="O46" s="407">
        <v>0.08333333333333334</v>
      </c>
      <c r="P46" s="333">
        <f>SUM(D46:O46)</f>
        <v>1.0000000000000002</v>
      </c>
      <c r="Q46" s="858" t="s">
        <v>883</v>
      </c>
      <c r="R46" s="859"/>
      <c r="S46" s="859"/>
      <c r="T46" s="859"/>
      <c r="U46" s="859"/>
      <c r="V46" s="859"/>
      <c r="W46" s="859"/>
      <c r="X46" s="859"/>
      <c r="Y46" s="859"/>
      <c r="Z46" s="859"/>
      <c r="AA46" s="859"/>
      <c r="AB46" s="859"/>
      <c r="AC46" s="859"/>
      <c r="AD46" s="980"/>
      <c r="AE46" s="287"/>
    </row>
    <row r="47" spans="1:31" ht="93.75" customHeight="1">
      <c r="A47" s="1003"/>
      <c r="B47" s="1004"/>
      <c r="C47" s="288" t="s">
        <v>10</v>
      </c>
      <c r="D47" s="410">
        <v>0.0833</v>
      </c>
      <c r="E47" s="410">
        <v>0.0833</v>
      </c>
      <c r="F47" s="410">
        <v>0.0833</v>
      </c>
      <c r="G47" s="410">
        <v>0.0833</v>
      </c>
      <c r="H47" s="410">
        <v>0.08333333333333334</v>
      </c>
      <c r="I47" s="472">
        <v>0.0833</v>
      </c>
      <c r="J47" s="472">
        <v>0.0833</v>
      </c>
      <c r="K47" s="472">
        <v>0.0833</v>
      </c>
      <c r="L47" s="472">
        <v>0.0833</v>
      </c>
      <c r="M47" s="472">
        <v>0.08333333333333334</v>
      </c>
      <c r="N47" s="104"/>
      <c r="O47" s="104"/>
      <c r="P47" s="333">
        <f>SUM(D47:O47)</f>
        <v>0.8330666666666667</v>
      </c>
      <c r="Q47" s="981"/>
      <c r="R47" s="982"/>
      <c r="S47" s="982"/>
      <c r="T47" s="982"/>
      <c r="U47" s="982"/>
      <c r="V47" s="982"/>
      <c r="W47" s="982"/>
      <c r="X47" s="982"/>
      <c r="Y47" s="982"/>
      <c r="Z47" s="982"/>
      <c r="AA47" s="982"/>
      <c r="AB47" s="982"/>
      <c r="AC47" s="982"/>
      <c r="AD47" s="983"/>
      <c r="AE47" s="287"/>
    </row>
    <row r="48" spans="1:41" ht="93.75" customHeight="1">
      <c r="A48" s="992" t="s">
        <v>628</v>
      </c>
      <c r="B48" s="994">
        <f>+$B$34/6</f>
        <v>0.09666666666666666</v>
      </c>
      <c r="C48" s="290" t="s">
        <v>9</v>
      </c>
      <c r="D48" s="329">
        <v>0.02</v>
      </c>
      <c r="E48" s="329">
        <v>0.08</v>
      </c>
      <c r="F48" s="329">
        <v>0.09</v>
      </c>
      <c r="G48" s="329">
        <v>0.09</v>
      </c>
      <c r="H48" s="329">
        <v>0.09</v>
      </c>
      <c r="I48" s="329">
        <v>0.09</v>
      </c>
      <c r="J48" s="329">
        <v>0.09</v>
      </c>
      <c r="K48" s="329">
        <v>0.09</v>
      </c>
      <c r="L48" s="329">
        <v>0.09</v>
      </c>
      <c r="M48" s="329">
        <v>0.09</v>
      </c>
      <c r="N48" s="329">
        <v>0.09</v>
      </c>
      <c r="O48" s="329">
        <v>0.09</v>
      </c>
      <c r="P48" s="333">
        <f>SUM(D48:O48)</f>
        <v>0.9999999999999998</v>
      </c>
      <c r="Q48" s="996" t="s">
        <v>868</v>
      </c>
      <c r="R48" s="997"/>
      <c r="S48" s="997"/>
      <c r="T48" s="997"/>
      <c r="U48" s="997"/>
      <c r="V48" s="997"/>
      <c r="W48" s="997"/>
      <c r="X48" s="997"/>
      <c r="Y48" s="997"/>
      <c r="Z48" s="997"/>
      <c r="AA48" s="997"/>
      <c r="AB48" s="997"/>
      <c r="AC48" s="997"/>
      <c r="AD48" s="998"/>
      <c r="AE48" s="287"/>
      <c r="AG48" s="102"/>
      <c r="AH48" s="102"/>
      <c r="AI48" s="102"/>
      <c r="AJ48" s="102"/>
      <c r="AK48" s="102"/>
      <c r="AL48" s="102"/>
      <c r="AM48" s="102"/>
      <c r="AN48" s="102"/>
      <c r="AO48" s="102"/>
    </row>
    <row r="49" spans="1:31" ht="93.75" customHeight="1" thickBot="1">
      <c r="A49" s="993"/>
      <c r="B49" s="995"/>
      <c r="C49" s="285" t="s">
        <v>10</v>
      </c>
      <c r="D49" s="110">
        <v>0.02</v>
      </c>
      <c r="E49" s="110">
        <v>0.08</v>
      </c>
      <c r="F49" s="110">
        <v>0.09</v>
      </c>
      <c r="G49" s="110">
        <v>0.09</v>
      </c>
      <c r="H49" s="110">
        <v>0.09</v>
      </c>
      <c r="I49" s="110">
        <v>0.09</v>
      </c>
      <c r="J49" s="110">
        <v>0.09</v>
      </c>
      <c r="K49" s="110">
        <v>0.09</v>
      </c>
      <c r="L49" s="110">
        <v>0.09</v>
      </c>
      <c r="M49" s="110">
        <v>0.09</v>
      </c>
      <c r="N49" s="110"/>
      <c r="O49" s="110"/>
      <c r="P49" s="426">
        <f>SUM(D49:O49)</f>
        <v>0.8199999999999998</v>
      </c>
      <c r="Q49" s="999"/>
      <c r="R49" s="1000"/>
      <c r="S49" s="1000"/>
      <c r="T49" s="1000"/>
      <c r="U49" s="1000"/>
      <c r="V49" s="1000"/>
      <c r="W49" s="1000"/>
      <c r="X49" s="1000"/>
      <c r="Y49" s="1000"/>
      <c r="Z49" s="1000"/>
      <c r="AA49" s="1000"/>
      <c r="AB49" s="1000"/>
      <c r="AC49" s="1000"/>
      <c r="AD49" s="1001"/>
      <c r="AE49" s="287"/>
    </row>
  </sheetData>
  <sheetProtection/>
  <mergeCells count="88">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 ref="A48:A49"/>
    <mergeCell ref="B48:B49"/>
    <mergeCell ref="Q48:AD49"/>
    <mergeCell ref="A44:A45"/>
    <mergeCell ref="B44:B45"/>
    <mergeCell ref="Q44:AD45"/>
    <mergeCell ref="A46:A47"/>
    <mergeCell ref="B46:B47"/>
    <mergeCell ref="Q46:AD47"/>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8:AD47 Q48 T34 Q34 AA34 W34">
      <formula1>2000</formula1>
    </dataValidation>
  </dataValidations>
  <printOptions/>
  <pageMargins left="0.25" right="0.25" top="0.75" bottom="0.75" header="0.3" footer="0.3"/>
  <pageSetup fitToHeight="1" fitToWidth="1" horizontalDpi="600" verticalDpi="600" orientation="landscape" scale="20" r:id="rId4"/>
  <drawing r:id="rId3"/>
  <legacyDrawing r:id="rId2"/>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AO43"/>
  <sheetViews>
    <sheetView showGridLines="0" view="pageBreakPreview" zoomScale="60" zoomScaleNormal="70" workbookViewId="0" topLeftCell="F38">
      <selection activeCell="Q42" sqref="Q42:AD43"/>
    </sheetView>
  </sheetViews>
  <sheetFormatPr defaultColWidth="10.8515625" defaultRowHeight="15"/>
  <cols>
    <col min="1" max="1" width="38.421875" style="246" customWidth="1"/>
    <col min="2" max="2" width="15.421875" style="246" customWidth="1"/>
    <col min="3" max="14" width="20.7109375" style="246" customWidth="1"/>
    <col min="15" max="15" width="16.140625" style="246" customWidth="1"/>
    <col min="16"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246" customWidth="1"/>
    <col min="33" max="33" width="18.421875" style="246"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10.8515625" style="246" customWidth="1"/>
  </cols>
  <sheetData>
    <row r="1" spans="1:30" ht="32.25" customHeight="1">
      <c r="A1" s="1039"/>
      <c r="B1" s="1042" t="s">
        <v>16</v>
      </c>
      <c r="C1" s="1043"/>
      <c r="D1" s="1043"/>
      <c r="E1" s="1043"/>
      <c r="F1" s="1043"/>
      <c r="G1" s="1043"/>
      <c r="H1" s="1043"/>
      <c r="I1" s="1043"/>
      <c r="J1" s="1043"/>
      <c r="K1" s="1043"/>
      <c r="L1" s="1043"/>
      <c r="M1" s="1043"/>
      <c r="N1" s="1043"/>
      <c r="O1" s="1043"/>
      <c r="P1" s="1043"/>
      <c r="Q1" s="1043"/>
      <c r="R1" s="1043"/>
      <c r="S1" s="1043"/>
      <c r="T1" s="1043"/>
      <c r="U1" s="1043"/>
      <c r="V1" s="1043"/>
      <c r="W1" s="1043"/>
      <c r="X1" s="1043"/>
      <c r="Y1" s="1043"/>
      <c r="Z1" s="1043"/>
      <c r="AA1" s="1044"/>
      <c r="AB1" s="878" t="s">
        <v>18</v>
      </c>
      <c r="AC1" s="879"/>
      <c r="AD1" s="880"/>
    </row>
    <row r="2" spans="1:30" ht="30.75" customHeight="1">
      <c r="A2" s="1040"/>
      <c r="B2" s="1053" t="s">
        <v>17</v>
      </c>
      <c r="C2" s="1054"/>
      <c r="D2" s="1054"/>
      <c r="E2" s="1054"/>
      <c r="F2" s="1054"/>
      <c r="G2" s="1054"/>
      <c r="H2" s="1054"/>
      <c r="I2" s="1054"/>
      <c r="J2" s="1054"/>
      <c r="K2" s="1054"/>
      <c r="L2" s="1054"/>
      <c r="M2" s="1054"/>
      <c r="N2" s="1054"/>
      <c r="O2" s="1054"/>
      <c r="P2" s="1054"/>
      <c r="Q2" s="1054"/>
      <c r="R2" s="1054"/>
      <c r="S2" s="1054"/>
      <c r="T2" s="1054"/>
      <c r="U2" s="1054"/>
      <c r="V2" s="1054"/>
      <c r="W2" s="1054"/>
      <c r="X2" s="1054"/>
      <c r="Y2" s="1054"/>
      <c r="Z2" s="1054"/>
      <c r="AA2" s="1055"/>
      <c r="AB2" s="881" t="s">
        <v>418</v>
      </c>
      <c r="AC2" s="882"/>
      <c r="AD2" s="883"/>
    </row>
    <row r="3" spans="1:30" ht="24" customHeight="1">
      <c r="A3" s="1040"/>
      <c r="B3" s="903" t="s">
        <v>295</v>
      </c>
      <c r="C3" s="904"/>
      <c r="D3" s="904"/>
      <c r="E3" s="904"/>
      <c r="F3" s="904"/>
      <c r="G3" s="904"/>
      <c r="H3" s="904"/>
      <c r="I3" s="904"/>
      <c r="J3" s="904"/>
      <c r="K3" s="904"/>
      <c r="L3" s="904"/>
      <c r="M3" s="904"/>
      <c r="N3" s="904"/>
      <c r="O3" s="904"/>
      <c r="P3" s="904"/>
      <c r="Q3" s="904"/>
      <c r="R3" s="904"/>
      <c r="S3" s="904"/>
      <c r="T3" s="904"/>
      <c r="U3" s="904"/>
      <c r="V3" s="904"/>
      <c r="W3" s="904"/>
      <c r="X3" s="904"/>
      <c r="Y3" s="904"/>
      <c r="Z3" s="904"/>
      <c r="AA3" s="905"/>
      <c r="AB3" s="881" t="s">
        <v>478</v>
      </c>
      <c r="AC3" s="882"/>
      <c r="AD3" s="883"/>
    </row>
    <row r="4" spans="1:30" ht="21.75" customHeight="1" thickBot="1">
      <c r="A4" s="1041"/>
      <c r="B4" s="906"/>
      <c r="C4" s="907"/>
      <c r="D4" s="907"/>
      <c r="E4" s="907"/>
      <c r="F4" s="907"/>
      <c r="G4" s="907"/>
      <c r="H4" s="907"/>
      <c r="I4" s="907"/>
      <c r="J4" s="907"/>
      <c r="K4" s="907"/>
      <c r="L4" s="907"/>
      <c r="M4" s="907"/>
      <c r="N4" s="907"/>
      <c r="O4" s="907"/>
      <c r="P4" s="907"/>
      <c r="Q4" s="907"/>
      <c r="R4" s="907"/>
      <c r="S4" s="907"/>
      <c r="T4" s="907"/>
      <c r="U4" s="907"/>
      <c r="V4" s="907"/>
      <c r="W4" s="907"/>
      <c r="X4" s="907"/>
      <c r="Y4" s="907"/>
      <c r="Z4" s="907"/>
      <c r="AA4" s="908"/>
      <c r="AB4" s="644" t="s">
        <v>776</v>
      </c>
      <c r="AC4" s="645"/>
      <c r="AD4" s="646"/>
    </row>
    <row r="5" spans="1:30" ht="9" customHeight="1" thickBot="1">
      <c r="A5" s="249"/>
      <c r="B5" s="250"/>
      <c r="C5" s="251"/>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647" t="s">
        <v>293</v>
      </c>
      <c r="B7" s="648"/>
      <c r="C7" s="909" t="s">
        <v>48</v>
      </c>
      <c r="D7" s="647" t="s">
        <v>71</v>
      </c>
      <c r="E7" s="653"/>
      <c r="F7" s="653"/>
      <c r="G7" s="653"/>
      <c r="H7" s="648"/>
      <c r="I7" s="864" t="s">
        <v>861</v>
      </c>
      <c r="J7" s="865"/>
      <c r="K7" s="647" t="s">
        <v>67</v>
      </c>
      <c r="L7" s="648"/>
      <c r="M7" s="870" t="s">
        <v>70</v>
      </c>
      <c r="N7" s="871"/>
      <c r="O7" s="890"/>
      <c r="P7" s="891"/>
      <c r="Q7" s="252"/>
      <c r="R7" s="252"/>
      <c r="S7" s="252"/>
      <c r="T7" s="252"/>
      <c r="U7" s="252"/>
      <c r="V7" s="252"/>
      <c r="W7" s="252"/>
      <c r="X7" s="252"/>
      <c r="Y7" s="252"/>
      <c r="Z7" s="253"/>
      <c r="AA7" s="252"/>
      <c r="AB7" s="252"/>
      <c r="AC7" s="258"/>
      <c r="AD7" s="259"/>
    </row>
    <row r="8" spans="1:30" ht="15" customHeight="1">
      <c r="A8" s="649"/>
      <c r="B8" s="650"/>
      <c r="C8" s="910"/>
      <c r="D8" s="649"/>
      <c r="E8" s="912"/>
      <c r="F8" s="912"/>
      <c r="G8" s="912"/>
      <c r="H8" s="650"/>
      <c r="I8" s="866"/>
      <c r="J8" s="867"/>
      <c r="K8" s="649"/>
      <c r="L8" s="650"/>
      <c r="M8" s="892" t="s">
        <v>68</v>
      </c>
      <c r="N8" s="893"/>
      <c r="O8" s="894"/>
      <c r="P8" s="895"/>
      <c r="Q8" s="252"/>
      <c r="R8" s="252"/>
      <c r="S8" s="252"/>
      <c r="T8" s="252"/>
      <c r="U8" s="252"/>
      <c r="V8" s="252"/>
      <c r="W8" s="252"/>
      <c r="X8" s="252"/>
      <c r="Y8" s="252"/>
      <c r="Z8" s="253"/>
      <c r="AA8" s="252"/>
      <c r="AB8" s="252"/>
      <c r="AC8" s="258"/>
      <c r="AD8" s="259"/>
    </row>
    <row r="9" spans="1:30" ht="15.75" customHeight="1" thickBot="1">
      <c r="A9" s="651"/>
      <c r="B9" s="652"/>
      <c r="C9" s="911"/>
      <c r="D9" s="651"/>
      <c r="E9" s="655"/>
      <c r="F9" s="655"/>
      <c r="G9" s="655"/>
      <c r="H9" s="652"/>
      <c r="I9" s="868"/>
      <c r="J9" s="869"/>
      <c r="K9" s="651"/>
      <c r="L9" s="652"/>
      <c r="M9" s="896" t="s">
        <v>69</v>
      </c>
      <c r="N9" s="897"/>
      <c r="O9" s="898" t="s">
        <v>425</v>
      </c>
      <c r="P9" s="899"/>
      <c r="Q9" s="252"/>
      <c r="R9" s="252"/>
      <c r="S9" s="252"/>
      <c r="T9" s="252"/>
      <c r="U9" s="252"/>
      <c r="V9" s="252"/>
      <c r="W9" s="252"/>
      <c r="X9" s="252"/>
      <c r="Y9" s="252"/>
      <c r="Z9" s="253"/>
      <c r="AA9" s="252"/>
      <c r="AB9" s="252"/>
      <c r="AC9" s="258"/>
      <c r="AD9" s="259"/>
    </row>
    <row r="10" spans="1:30"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row>
    <row r="11" spans="1:30" ht="15" customHeight="1">
      <c r="A11" s="647" t="s">
        <v>0</v>
      </c>
      <c r="B11" s="648"/>
      <c r="C11" s="900" t="s">
        <v>497</v>
      </c>
      <c r="D11" s="901"/>
      <c r="E11" s="901"/>
      <c r="F11" s="901"/>
      <c r="G11" s="901"/>
      <c r="H11" s="901"/>
      <c r="I11" s="901"/>
      <c r="J11" s="901"/>
      <c r="K11" s="901"/>
      <c r="L11" s="901"/>
      <c r="M11" s="901"/>
      <c r="N11" s="901"/>
      <c r="O11" s="901"/>
      <c r="P11" s="901"/>
      <c r="Q11" s="901"/>
      <c r="R11" s="901"/>
      <c r="S11" s="901"/>
      <c r="T11" s="901"/>
      <c r="U11" s="901"/>
      <c r="V11" s="901"/>
      <c r="W11" s="901"/>
      <c r="X11" s="901"/>
      <c r="Y11" s="901"/>
      <c r="Z11" s="901"/>
      <c r="AA11" s="901"/>
      <c r="AB11" s="901"/>
      <c r="AC11" s="901"/>
      <c r="AD11" s="902"/>
    </row>
    <row r="12" spans="1:30" ht="15" customHeight="1">
      <c r="A12" s="649"/>
      <c r="B12" s="650"/>
      <c r="C12" s="903"/>
      <c r="D12" s="904"/>
      <c r="E12" s="904"/>
      <c r="F12" s="904"/>
      <c r="G12" s="904"/>
      <c r="H12" s="904"/>
      <c r="I12" s="904"/>
      <c r="J12" s="904"/>
      <c r="K12" s="904"/>
      <c r="L12" s="904"/>
      <c r="M12" s="904"/>
      <c r="N12" s="904"/>
      <c r="O12" s="904"/>
      <c r="P12" s="904"/>
      <c r="Q12" s="904"/>
      <c r="R12" s="904"/>
      <c r="S12" s="904"/>
      <c r="T12" s="904"/>
      <c r="U12" s="904"/>
      <c r="V12" s="904"/>
      <c r="W12" s="904"/>
      <c r="X12" s="904"/>
      <c r="Y12" s="904"/>
      <c r="Z12" s="904"/>
      <c r="AA12" s="904"/>
      <c r="AB12" s="904"/>
      <c r="AC12" s="904"/>
      <c r="AD12" s="905"/>
    </row>
    <row r="13" spans="1:30" ht="15" customHeight="1" thickBot="1">
      <c r="A13" s="651"/>
      <c r="B13" s="652"/>
      <c r="C13" s="906"/>
      <c r="D13" s="907"/>
      <c r="E13" s="907"/>
      <c r="F13" s="907"/>
      <c r="G13" s="907"/>
      <c r="H13" s="907"/>
      <c r="I13" s="907"/>
      <c r="J13" s="907"/>
      <c r="K13" s="907"/>
      <c r="L13" s="907"/>
      <c r="M13" s="907"/>
      <c r="N13" s="907"/>
      <c r="O13" s="907"/>
      <c r="P13" s="907"/>
      <c r="Q13" s="907"/>
      <c r="R13" s="907"/>
      <c r="S13" s="907"/>
      <c r="T13" s="907"/>
      <c r="U13" s="907"/>
      <c r="V13" s="907"/>
      <c r="W13" s="907"/>
      <c r="X13" s="907"/>
      <c r="Y13" s="907"/>
      <c r="Z13" s="907"/>
      <c r="AA13" s="907"/>
      <c r="AB13" s="907"/>
      <c r="AC13" s="907"/>
      <c r="AD13" s="908"/>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617" t="s">
        <v>77</v>
      </c>
      <c r="B15" s="618"/>
      <c r="C15" s="913" t="s">
        <v>426</v>
      </c>
      <c r="D15" s="914"/>
      <c r="E15" s="914"/>
      <c r="F15" s="914"/>
      <c r="G15" s="914"/>
      <c r="H15" s="914"/>
      <c r="I15" s="914"/>
      <c r="J15" s="914"/>
      <c r="K15" s="915"/>
      <c r="L15" s="611" t="s">
        <v>73</v>
      </c>
      <c r="M15" s="687"/>
      <c r="N15" s="687"/>
      <c r="O15" s="687"/>
      <c r="P15" s="687"/>
      <c r="Q15" s="612"/>
      <c r="R15" s="916" t="s">
        <v>622</v>
      </c>
      <c r="S15" s="917"/>
      <c r="T15" s="917"/>
      <c r="U15" s="917"/>
      <c r="V15" s="917"/>
      <c r="W15" s="917"/>
      <c r="X15" s="918"/>
      <c r="Y15" s="611" t="s">
        <v>72</v>
      </c>
      <c r="Z15" s="612"/>
      <c r="AA15" s="913" t="s">
        <v>623</v>
      </c>
      <c r="AB15" s="914"/>
      <c r="AC15" s="914"/>
      <c r="AD15" s="915"/>
    </row>
    <row r="16" spans="1:30" ht="9" customHeight="1" thickBot="1">
      <c r="A16" s="257"/>
      <c r="B16" s="252"/>
      <c r="C16" s="919"/>
      <c r="D16" s="919"/>
      <c r="E16" s="919"/>
      <c r="F16" s="919"/>
      <c r="G16" s="919"/>
      <c r="H16" s="919"/>
      <c r="I16" s="919"/>
      <c r="J16" s="919"/>
      <c r="K16" s="919"/>
      <c r="L16" s="919"/>
      <c r="M16" s="919"/>
      <c r="N16" s="919"/>
      <c r="O16" s="919"/>
      <c r="P16" s="919"/>
      <c r="Q16" s="919"/>
      <c r="R16" s="919"/>
      <c r="S16" s="919"/>
      <c r="T16" s="919"/>
      <c r="U16" s="919"/>
      <c r="V16" s="919"/>
      <c r="W16" s="919"/>
      <c r="X16" s="919"/>
      <c r="Y16" s="919"/>
      <c r="Z16" s="919"/>
      <c r="AA16" s="919"/>
      <c r="AB16" s="919"/>
      <c r="AC16" s="271"/>
      <c r="AD16" s="272"/>
    </row>
    <row r="17" spans="1:30" s="273" customFormat="1" ht="37.5" customHeight="1" thickBot="1">
      <c r="A17" s="617" t="s">
        <v>79</v>
      </c>
      <c r="B17" s="618"/>
      <c r="C17" s="913" t="s">
        <v>498</v>
      </c>
      <c r="D17" s="914"/>
      <c r="E17" s="914"/>
      <c r="F17" s="914"/>
      <c r="G17" s="914"/>
      <c r="H17" s="914"/>
      <c r="I17" s="914"/>
      <c r="J17" s="914"/>
      <c r="K17" s="914"/>
      <c r="L17" s="914"/>
      <c r="M17" s="914"/>
      <c r="N17" s="914"/>
      <c r="O17" s="914"/>
      <c r="P17" s="914"/>
      <c r="Q17" s="915"/>
      <c r="R17" s="611" t="s">
        <v>374</v>
      </c>
      <c r="S17" s="687"/>
      <c r="T17" s="687"/>
      <c r="U17" s="687"/>
      <c r="V17" s="612"/>
      <c r="W17" s="613"/>
      <c r="X17" s="614"/>
      <c r="Y17" s="687" t="s">
        <v>15</v>
      </c>
      <c r="Z17" s="687"/>
      <c r="AA17" s="687"/>
      <c r="AB17" s="612"/>
      <c r="AC17" s="923">
        <f>+VIGENCIA!D8</f>
        <v>0.13</v>
      </c>
      <c r="AD17" s="924"/>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611" t="s">
        <v>1</v>
      </c>
      <c r="B19" s="687"/>
      <c r="C19" s="687"/>
      <c r="D19" s="687"/>
      <c r="E19" s="687"/>
      <c r="F19" s="687"/>
      <c r="G19" s="687"/>
      <c r="H19" s="687"/>
      <c r="I19" s="687"/>
      <c r="J19" s="687"/>
      <c r="K19" s="687"/>
      <c r="L19" s="687"/>
      <c r="M19" s="687"/>
      <c r="N19" s="687"/>
      <c r="O19" s="687"/>
      <c r="P19" s="687"/>
      <c r="Q19" s="687"/>
      <c r="R19" s="687"/>
      <c r="S19" s="687"/>
      <c r="T19" s="687"/>
      <c r="U19" s="687"/>
      <c r="V19" s="687"/>
      <c r="W19" s="687"/>
      <c r="X19" s="687"/>
      <c r="Y19" s="687"/>
      <c r="Z19" s="687"/>
      <c r="AA19" s="687"/>
      <c r="AB19" s="687"/>
      <c r="AC19" s="687"/>
      <c r="AD19" s="612"/>
      <c r="AE19" s="275"/>
      <c r="AF19" s="275"/>
    </row>
    <row r="20" spans="1:32" ht="31.5" customHeight="1" thickBot="1">
      <c r="A20" s="276"/>
      <c r="B20" s="258"/>
      <c r="C20" s="715" t="s">
        <v>376</v>
      </c>
      <c r="D20" s="763"/>
      <c r="E20" s="763"/>
      <c r="F20" s="763"/>
      <c r="G20" s="763"/>
      <c r="H20" s="763"/>
      <c r="I20" s="763"/>
      <c r="J20" s="763"/>
      <c r="K20" s="763"/>
      <c r="L20" s="763"/>
      <c r="M20" s="763"/>
      <c r="N20" s="763"/>
      <c r="O20" s="763"/>
      <c r="P20" s="716"/>
      <c r="Q20" s="713" t="s">
        <v>377</v>
      </c>
      <c r="R20" s="925"/>
      <c r="S20" s="925"/>
      <c r="T20" s="925"/>
      <c r="U20" s="925"/>
      <c r="V20" s="925"/>
      <c r="W20" s="925"/>
      <c r="X20" s="925"/>
      <c r="Y20" s="925"/>
      <c r="Z20" s="925"/>
      <c r="AA20" s="925"/>
      <c r="AB20" s="925"/>
      <c r="AC20" s="925"/>
      <c r="AD20" s="714"/>
      <c r="AE20" s="275"/>
      <c r="AF20" s="275"/>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4"/>
    </row>
    <row r="22" spans="1:32" ht="31.5" customHeight="1">
      <c r="A22" s="926" t="s">
        <v>378</v>
      </c>
      <c r="B22" s="927"/>
      <c r="C22" s="197">
        <f>+RESERVA!C15</f>
        <v>49583934</v>
      </c>
      <c r="D22" s="195"/>
      <c r="E22" s="191"/>
      <c r="F22" s="191"/>
      <c r="G22" s="195"/>
      <c r="H22" s="195"/>
      <c r="I22" s="195"/>
      <c r="J22" s="195"/>
      <c r="K22" s="195"/>
      <c r="L22" s="195"/>
      <c r="M22" s="195"/>
      <c r="N22" s="195"/>
      <c r="O22" s="195"/>
      <c r="P22" s="198"/>
      <c r="Q22" s="197">
        <v>1523808689</v>
      </c>
      <c r="R22" s="195">
        <v>0</v>
      </c>
      <c r="S22" s="195">
        <v>0</v>
      </c>
      <c r="T22" s="195">
        <v>0</v>
      </c>
      <c r="U22" s="195">
        <v>0</v>
      </c>
      <c r="V22" s="195">
        <v>0</v>
      </c>
      <c r="W22" s="195">
        <v>0</v>
      </c>
      <c r="X22" s="195">
        <v>0</v>
      </c>
      <c r="Y22" s="195">
        <v>0</v>
      </c>
      <c r="Z22" s="195">
        <v>0</v>
      </c>
      <c r="AA22" s="195">
        <v>0</v>
      </c>
      <c r="AB22" s="195">
        <v>0</v>
      </c>
      <c r="AC22" s="195">
        <f>SUM(Q22:AB22)</f>
        <v>1523808689</v>
      </c>
      <c r="AD22" s="202"/>
      <c r="AE22" s="4"/>
      <c r="AF22" s="4"/>
    </row>
    <row r="23" spans="1:32" ht="31.5" customHeight="1">
      <c r="A23" s="928" t="s">
        <v>379</v>
      </c>
      <c r="B23" s="929"/>
      <c r="C23" s="192"/>
      <c r="D23" s="191"/>
      <c r="E23" s="191"/>
      <c r="F23" s="191"/>
      <c r="G23" s="191"/>
      <c r="H23" s="191"/>
      <c r="I23" s="191"/>
      <c r="J23" s="191"/>
      <c r="K23" s="191"/>
      <c r="L23" s="191"/>
      <c r="M23" s="191"/>
      <c r="N23" s="191"/>
      <c r="O23" s="191"/>
      <c r="P23" s="211"/>
      <c r="Q23" s="192">
        <f>+VIGENCIA!D17</f>
        <v>1112475156</v>
      </c>
      <c r="R23" s="191">
        <f>+VIGENCIA!F17</f>
        <v>308525999</v>
      </c>
      <c r="S23" s="191">
        <f>+VIGENCIA!H17</f>
        <v>79079044</v>
      </c>
      <c r="T23" s="191">
        <f>+VIGENCIA!J17</f>
        <v>-34477766</v>
      </c>
      <c r="U23" s="191">
        <f>+VIGENCIA!L17</f>
        <v>-20290999</v>
      </c>
      <c r="V23" s="191">
        <f>+VIGENCIA!N17</f>
        <v>26780000</v>
      </c>
      <c r="W23" s="191">
        <f>+VIGENCIA!P17</f>
        <v>0</v>
      </c>
      <c r="X23" s="191">
        <f>+VIGENCIA!R17</f>
        <v>0</v>
      </c>
      <c r="Y23" s="191">
        <f>+VIGENCIA!T17</f>
        <v>0</v>
      </c>
      <c r="Z23" s="191">
        <f>+VIGENCIA!V17</f>
        <v>0</v>
      </c>
      <c r="AA23" s="191"/>
      <c r="AB23" s="191"/>
      <c r="AC23" s="191">
        <f>SUM(Q23:AB23)</f>
        <v>1472091434</v>
      </c>
      <c r="AD23" s="448">
        <f>_xlfn.IFERROR(AC23/(SUMIF(Q23:AB23,"&gt;0",Q22:AB22))," ")</f>
        <v>0.966060532812725</v>
      </c>
      <c r="AE23" s="4"/>
      <c r="AF23" s="4"/>
    </row>
    <row r="24" spans="1:32" ht="31.5" customHeight="1">
      <c r="A24" s="928" t="s">
        <v>380</v>
      </c>
      <c r="B24" s="929"/>
      <c r="C24" s="192">
        <f>33674667-25434667</f>
        <v>8240000</v>
      </c>
      <c r="D24" s="191">
        <v>-12943667</v>
      </c>
      <c r="E24" s="191">
        <v>2965600</v>
      </c>
      <c r="F24" s="191">
        <v>12943667</v>
      </c>
      <c r="G24" s="191">
        <f>+RESERVA!L15</f>
        <v>0</v>
      </c>
      <c r="H24" s="191">
        <f>+RESERVA!N15</f>
        <v>0</v>
      </c>
      <c r="I24" s="191">
        <f>+RESERVA!P15</f>
        <v>0</v>
      </c>
      <c r="J24" s="191">
        <f>+RESERVA!R15</f>
        <v>0</v>
      </c>
      <c r="K24" s="191">
        <f>+(-RESERVA!T15)</f>
        <v>-2965600</v>
      </c>
      <c r="L24" s="191">
        <f>+RESERVA!V15</f>
        <v>0</v>
      </c>
      <c r="M24" s="191"/>
      <c r="N24" s="191"/>
      <c r="O24" s="191">
        <f>SUM(C24:N24)</f>
        <v>8240000</v>
      </c>
      <c r="P24" s="196"/>
      <c r="Q24" s="192"/>
      <c r="R24" s="191">
        <v>99026385</v>
      </c>
      <c r="S24" s="191">
        <v>129525664</v>
      </c>
      <c r="T24" s="191">
        <v>129525664</v>
      </c>
      <c r="U24" s="191">
        <v>129525664</v>
      </c>
      <c r="V24" s="191">
        <v>129525664</v>
      </c>
      <c r="W24" s="191">
        <v>129525664</v>
      </c>
      <c r="X24" s="191">
        <v>129525664</v>
      </c>
      <c r="Y24" s="191">
        <v>129525664</v>
      </c>
      <c r="Z24" s="191">
        <v>129525664</v>
      </c>
      <c r="AA24" s="191">
        <v>129525664</v>
      </c>
      <c r="AB24" s="191">
        <v>259051328</v>
      </c>
      <c r="AC24" s="191">
        <f>SUM(Q24:AB24)</f>
        <v>1523808689</v>
      </c>
      <c r="AD24" s="448"/>
      <c r="AE24" s="4"/>
      <c r="AF24" s="4"/>
    </row>
    <row r="25" spans="1:32" ht="31.5" customHeight="1" thickBot="1">
      <c r="A25" s="931" t="s">
        <v>381</v>
      </c>
      <c r="B25" s="932"/>
      <c r="C25" s="193">
        <f>+RESERVA!E15</f>
        <v>8240000</v>
      </c>
      <c r="D25" s="194">
        <f>+RESERVA!G15</f>
        <v>0</v>
      </c>
      <c r="E25" s="194">
        <f>+RESERVA!I15</f>
        <v>0</v>
      </c>
      <c r="F25" s="194"/>
      <c r="G25" s="194">
        <f>+RESERVA!M15</f>
        <v>0</v>
      </c>
      <c r="H25" s="194">
        <f>+RESERVA!O15</f>
        <v>0</v>
      </c>
      <c r="I25" s="194">
        <f>+RESERVA!Q15</f>
        <v>0</v>
      </c>
      <c r="J25" s="194">
        <f>+RESERVA!S15</f>
        <v>0</v>
      </c>
      <c r="K25" s="194">
        <f>+RESERVA!U15</f>
        <v>0</v>
      </c>
      <c r="L25" s="194">
        <f>+RESERVA!W15</f>
        <v>0</v>
      </c>
      <c r="M25" s="194"/>
      <c r="N25" s="194"/>
      <c r="O25" s="194">
        <f>SUM(C25:N25)</f>
        <v>8240000</v>
      </c>
      <c r="P25" s="447">
        <f>+O25/O24</f>
        <v>1</v>
      </c>
      <c r="Q25" s="193">
        <f>+VIGENCIA!E17</f>
        <v>0</v>
      </c>
      <c r="R25" s="194">
        <f>+VIGENCIA!G17</f>
        <v>45917998</v>
      </c>
      <c r="S25" s="194">
        <f>+VIGENCIA!I17</f>
        <v>110000397</v>
      </c>
      <c r="T25" s="194">
        <f>+VIGENCIA!K17</f>
        <v>124259997</v>
      </c>
      <c r="U25" s="194">
        <f>+VIGENCIA!M17</f>
        <v>130302664</v>
      </c>
      <c r="V25" s="194">
        <f>+VIGENCIA!O17</f>
        <v>130302664</v>
      </c>
      <c r="W25" s="194">
        <f>+VIGENCIA!Q17</f>
        <v>136997664</v>
      </c>
      <c r="X25" s="194">
        <f>+VIGENCIA!S17</f>
        <v>136997664</v>
      </c>
      <c r="Y25" s="194">
        <f>+VIGENCIA!U17</f>
        <v>136997664</v>
      </c>
      <c r="Z25" s="194">
        <f>+VIGENCIA!W17</f>
        <v>136997664</v>
      </c>
      <c r="AA25" s="194"/>
      <c r="AB25" s="194"/>
      <c r="AC25" s="194">
        <f>SUM(Q25:AB25)</f>
        <v>1088774376</v>
      </c>
      <c r="AD25" s="449">
        <f>_xlfn.IFERROR(AC25/(SUMIF(Q25:AB25,"&gt;0",Q24:AB24))," ")</f>
        <v>0.9590767936424172</v>
      </c>
      <c r="AE25" s="4"/>
      <c r="AF25" s="4"/>
    </row>
    <row r="26" spans="1:30" ht="31.5" customHeight="1" thickBot="1">
      <c r="A26" s="257"/>
      <c r="B26" s="252"/>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58"/>
      <c r="AD26" s="267"/>
    </row>
    <row r="27" spans="1:30" ht="33.75" customHeight="1">
      <c r="A27" s="933" t="s">
        <v>76</v>
      </c>
      <c r="B27" s="934"/>
      <c r="C27" s="935"/>
      <c r="D27" s="935"/>
      <c r="E27" s="935"/>
      <c r="F27" s="935"/>
      <c r="G27" s="935"/>
      <c r="H27" s="935"/>
      <c r="I27" s="935"/>
      <c r="J27" s="935"/>
      <c r="K27" s="935"/>
      <c r="L27" s="935"/>
      <c r="M27" s="935"/>
      <c r="N27" s="935"/>
      <c r="O27" s="935"/>
      <c r="P27" s="935"/>
      <c r="Q27" s="935"/>
      <c r="R27" s="935"/>
      <c r="S27" s="935"/>
      <c r="T27" s="935"/>
      <c r="U27" s="935"/>
      <c r="V27" s="935"/>
      <c r="W27" s="935"/>
      <c r="X27" s="935"/>
      <c r="Y27" s="935"/>
      <c r="Z27" s="935"/>
      <c r="AA27" s="935"/>
      <c r="AB27" s="935"/>
      <c r="AC27" s="935"/>
      <c r="AD27" s="936"/>
    </row>
    <row r="28" spans="1:30" ht="15" customHeight="1">
      <c r="A28" s="937" t="s">
        <v>189</v>
      </c>
      <c r="B28" s="939" t="s">
        <v>6</v>
      </c>
      <c r="C28" s="940"/>
      <c r="D28" s="929" t="s">
        <v>398</v>
      </c>
      <c r="E28" s="943"/>
      <c r="F28" s="943"/>
      <c r="G28" s="943"/>
      <c r="H28" s="943"/>
      <c r="I28" s="943"/>
      <c r="J28" s="943"/>
      <c r="K28" s="943"/>
      <c r="L28" s="943"/>
      <c r="M28" s="943"/>
      <c r="N28" s="943"/>
      <c r="O28" s="944"/>
      <c r="P28" s="930" t="s">
        <v>8</v>
      </c>
      <c r="Q28" s="930" t="s">
        <v>84</v>
      </c>
      <c r="R28" s="930"/>
      <c r="S28" s="930"/>
      <c r="T28" s="930"/>
      <c r="U28" s="930"/>
      <c r="V28" s="930"/>
      <c r="W28" s="930"/>
      <c r="X28" s="930"/>
      <c r="Y28" s="930"/>
      <c r="Z28" s="930"/>
      <c r="AA28" s="930"/>
      <c r="AB28" s="930"/>
      <c r="AC28" s="930"/>
      <c r="AD28" s="945"/>
    </row>
    <row r="29" spans="1:30" ht="27" customHeight="1">
      <c r="A29" s="938"/>
      <c r="B29" s="941"/>
      <c r="C29" s="942"/>
      <c r="D29" s="281" t="s">
        <v>39</v>
      </c>
      <c r="E29" s="281" t="s">
        <v>40</v>
      </c>
      <c r="F29" s="281" t="s">
        <v>41</v>
      </c>
      <c r="G29" s="281" t="s">
        <v>42</v>
      </c>
      <c r="H29" s="281" t="s">
        <v>43</v>
      </c>
      <c r="I29" s="281" t="s">
        <v>44</v>
      </c>
      <c r="J29" s="281" t="s">
        <v>45</v>
      </c>
      <c r="K29" s="281" t="s">
        <v>46</v>
      </c>
      <c r="L29" s="281" t="s">
        <v>47</v>
      </c>
      <c r="M29" s="281" t="s">
        <v>48</v>
      </c>
      <c r="N29" s="281" t="s">
        <v>49</v>
      </c>
      <c r="O29" s="281" t="s">
        <v>50</v>
      </c>
      <c r="P29" s="944"/>
      <c r="Q29" s="930"/>
      <c r="R29" s="930"/>
      <c r="S29" s="930"/>
      <c r="T29" s="930"/>
      <c r="U29" s="930"/>
      <c r="V29" s="930"/>
      <c r="W29" s="930"/>
      <c r="X29" s="930"/>
      <c r="Y29" s="930"/>
      <c r="Z29" s="930"/>
      <c r="AA29" s="930"/>
      <c r="AB29" s="930"/>
      <c r="AC29" s="930"/>
      <c r="AD29" s="945"/>
    </row>
    <row r="30" spans="1:30" ht="57" customHeight="1" thickBot="1">
      <c r="A30" s="282" t="str">
        <f>C17</f>
        <v>Soportar al 100% la implementación de las políticas del Modelo Integrado de Planeación y Gestión</v>
      </c>
      <c r="B30" s="1018" t="s">
        <v>450</v>
      </c>
      <c r="C30" s="1019"/>
      <c r="D30" s="390" t="s">
        <v>450</v>
      </c>
      <c r="E30" s="390" t="s">
        <v>450</v>
      </c>
      <c r="F30" s="390" t="s">
        <v>450</v>
      </c>
      <c r="G30" s="390" t="s">
        <v>450</v>
      </c>
      <c r="H30" s="390" t="s">
        <v>450</v>
      </c>
      <c r="I30" s="390" t="s">
        <v>450</v>
      </c>
      <c r="J30" s="390" t="s">
        <v>450</v>
      </c>
      <c r="K30" s="390" t="s">
        <v>450</v>
      </c>
      <c r="L30" s="390" t="s">
        <v>450</v>
      </c>
      <c r="M30" s="390" t="s">
        <v>450</v>
      </c>
      <c r="N30" s="390" t="s">
        <v>450</v>
      </c>
      <c r="O30" s="390" t="s">
        <v>450</v>
      </c>
      <c r="P30" s="391">
        <f>SUM(D30:O30)</f>
        <v>0</v>
      </c>
      <c r="Q30" s="954"/>
      <c r="R30" s="954"/>
      <c r="S30" s="954"/>
      <c r="T30" s="954"/>
      <c r="U30" s="954"/>
      <c r="V30" s="954"/>
      <c r="W30" s="954"/>
      <c r="X30" s="954"/>
      <c r="Y30" s="954"/>
      <c r="Z30" s="954"/>
      <c r="AA30" s="954"/>
      <c r="AB30" s="954"/>
      <c r="AC30" s="954"/>
      <c r="AD30" s="955"/>
    </row>
    <row r="31" spans="1:30" ht="45" customHeight="1">
      <c r="A31" s="884" t="s">
        <v>292</v>
      </c>
      <c r="B31" s="885"/>
      <c r="C31" s="885"/>
      <c r="D31" s="885"/>
      <c r="E31" s="885"/>
      <c r="F31" s="885"/>
      <c r="G31" s="885"/>
      <c r="H31" s="885"/>
      <c r="I31" s="885"/>
      <c r="J31" s="885"/>
      <c r="K31" s="885"/>
      <c r="L31" s="885"/>
      <c r="M31" s="885"/>
      <c r="N31" s="885"/>
      <c r="O31" s="885"/>
      <c r="P31" s="885"/>
      <c r="Q31" s="885"/>
      <c r="R31" s="885"/>
      <c r="S31" s="885"/>
      <c r="T31" s="885"/>
      <c r="U31" s="885"/>
      <c r="V31" s="885"/>
      <c r="W31" s="885"/>
      <c r="X31" s="885"/>
      <c r="Y31" s="885"/>
      <c r="Z31" s="885"/>
      <c r="AA31" s="885"/>
      <c r="AB31" s="885"/>
      <c r="AC31" s="885"/>
      <c r="AD31" s="886"/>
    </row>
    <row r="32" spans="1:41" ht="22.5" customHeight="1">
      <c r="A32" s="928" t="s">
        <v>190</v>
      </c>
      <c r="B32" s="930" t="s">
        <v>62</v>
      </c>
      <c r="C32" s="930" t="s">
        <v>6</v>
      </c>
      <c r="D32" s="930" t="s">
        <v>60</v>
      </c>
      <c r="E32" s="930"/>
      <c r="F32" s="930"/>
      <c r="G32" s="930"/>
      <c r="H32" s="930"/>
      <c r="I32" s="930"/>
      <c r="J32" s="930"/>
      <c r="K32" s="930"/>
      <c r="L32" s="930"/>
      <c r="M32" s="930"/>
      <c r="N32" s="930"/>
      <c r="O32" s="930"/>
      <c r="P32" s="930"/>
      <c r="Q32" s="930" t="s">
        <v>85</v>
      </c>
      <c r="R32" s="930"/>
      <c r="S32" s="930"/>
      <c r="T32" s="930"/>
      <c r="U32" s="930"/>
      <c r="V32" s="930"/>
      <c r="W32" s="930"/>
      <c r="X32" s="930"/>
      <c r="Y32" s="930"/>
      <c r="Z32" s="930"/>
      <c r="AA32" s="930"/>
      <c r="AB32" s="930"/>
      <c r="AC32" s="930"/>
      <c r="AD32" s="945"/>
      <c r="AG32" s="90"/>
      <c r="AH32" s="90"/>
      <c r="AI32" s="90"/>
      <c r="AJ32" s="90"/>
      <c r="AK32" s="90"/>
      <c r="AL32" s="90"/>
      <c r="AM32" s="90"/>
      <c r="AN32" s="90"/>
      <c r="AO32" s="90"/>
    </row>
    <row r="33" spans="1:41" ht="27" customHeight="1">
      <c r="A33" s="928"/>
      <c r="B33" s="930"/>
      <c r="C33" s="956"/>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930" t="s">
        <v>403</v>
      </c>
      <c r="R33" s="930"/>
      <c r="S33" s="930"/>
      <c r="T33" s="930" t="s">
        <v>406</v>
      </c>
      <c r="U33" s="930"/>
      <c r="V33" s="930"/>
      <c r="W33" s="941" t="s">
        <v>81</v>
      </c>
      <c r="X33" s="962"/>
      <c r="Y33" s="962"/>
      <c r="Z33" s="942"/>
      <c r="AA33" s="941" t="s">
        <v>82</v>
      </c>
      <c r="AB33" s="962"/>
      <c r="AC33" s="962"/>
      <c r="AD33" s="963"/>
      <c r="AG33" s="90"/>
      <c r="AH33" s="90"/>
      <c r="AI33" s="90"/>
      <c r="AJ33" s="90"/>
      <c r="AK33" s="90"/>
      <c r="AL33" s="90"/>
      <c r="AM33" s="90"/>
      <c r="AN33" s="90"/>
      <c r="AO33" s="90"/>
    </row>
    <row r="34" spans="1:41" ht="107.25" customHeight="1">
      <c r="A34" s="964" t="s">
        <v>499</v>
      </c>
      <c r="B34" s="1035">
        <f>+AC17</f>
        <v>0.13</v>
      </c>
      <c r="C34" s="284" t="s">
        <v>9</v>
      </c>
      <c r="D34" s="177">
        <f>((D38*($B$38/$B$34))+(D40*($B$40/$B$34))+(D42*($B$42/$B$34)))*$P$34</f>
        <v>0.055384615384615386</v>
      </c>
      <c r="E34" s="177">
        <f aca="true" t="shared" si="0" ref="E34:O34">((E38*($B$38/$B$34))+(E40*($B$40/$B$34))+(E42*($B$42/$B$34)))*$P$34</f>
        <v>0.10538461538461538</v>
      </c>
      <c r="F34" s="177">
        <f t="shared" si="0"/>
        <v>0.08538461538461539</v>
      </c>
      <c r="G34" s="177">
        <f t="shared" si="0"/>
        <v>0.0823076923076923</v>
      </c>
      <c r="H34" s="177">
        <f t="shared" si="0"/>
        <v>0.08692307692307692</v>
      </c>
      <c r="I34" s="177">
        <f t="shared" si="0"/>
        <v>0.06384615384615386</v>
      </c>
      <c r="J34" s="177">
        <f t="shared" si="0"/>
        <v>0.09615384615384616</v>
      </c>
      <c r="K34" s="177">
        <f>((K38*($B$38/$B$34))+(K40*($B$40/$B$34))+(K42*($B$42/$B$34)))*$P$34</f>
        <v>0.0876923076923077</v>
      </c>
      <c r="L34" s="177">
        <f t="shared" si="0"/>
        <v>0.07538461538461538</v>
      </c>
      <c r="M34" s="177">
        <f t="shared" si="0"/>
        <v>0.09307692307692308</v>
      </c>
      <c r="N34" s="177">
        <f t="shared" si="0"/>
        <v>0.08</v>
      </c>
      <c r="O34" s="177">
        <f t="shared" si="0"/>
        <v>0.08846153846153847</v>
      </c>
      <c r="P34" s="177">
        <v>1</v>
      </c>
      <c r="Q34" s="1012" t="s">
        <v>864</v>
      </c>
      <c r="R34" s="1013"/>
      <c r="S34" s="1014"/>
      <c r="T34" s="1012" t="s">
        <v>865</v>
      </c>
      <c r="U34" s="1013"/>
      <c r="V34" s="1014"/>
      <c r="W34" s="1012" t="s">
        <v>866</v>
      </c>
      <c r="X34" s="1013"/>
      <c r="Y34" s="1013"/>
      <c r="Z34" s="1014"/>
      <c r="AA34" s="1012" t="s">
        <v>867</v>
      </c>
      <c r="AB34" s="1013"/>
      <c r="AC34" s="1013"/>
      <c r="AD34" s="1037"/>
      <c r="AG34" s="90"/>
      <c r="AH34" s="90"/>
      <c r="AI34" s="90"/>
      <c r="AJ34" s="90"/>
      <c r="AK34" s="90"/>
      <c r="AL34" s="90"/>
      <c r="AM34" s="90"/>
      <c r="AN34" s="90"/>
      <c r="AO34" s="90"/>
    </row>
    <row r="35" spans="1:41" ht="107.25" customHeight="1" thickBot="1">
      <c r="A35" s="965"/>
      <c r="B35" s="1036"/>
      <c r="C35" s="285" t="s">
        <v>10</v>
      </c>
      <c r="D35" s="413">
        <f>((D39*($B$38/$B$34))+(D41*($B$40/$B$34))+(D43*($B$42/$B$34)))*$P$34</f>
        <v>0.062307692307692314</v>
      </c>
      <c r="E35" s="413">
        <f aca="true" t="shared" si="1" ref="E35:M35">((E39*($B$38/$B$34))+(E41*($B$40/$B$34))+(E43*($B$42/$B$34)))*$P$34</f>
        <v>0.09846153846153846</v>
      </c>
      <c r="F35" s="413">
        <f t="shared" si="1"/>
        <v>0.08076923076923077</v>
      </c>
      <c r="G35" s="413">
        <f t="shared" si="1"/>
        <v>0.07846153846153847</v>
      </c>
      <c r="H35" s="413">
        <f t="shared" si="1"/>
        <v>0.08692307692307692</v>
      </c>
      <c r="I35" s="475">
        <f t="shared" si="1"/>
        <v>0.07307692307692308</v>
      </c>
      <c r="J35" s="475">
        <f t="shared" si="1"/>
        <v>0.08923076923076924</v>
      </c>
      <c r="K35" s="475">
        <f t="shared" si="1"/>
        <v>0.0876923076923077</v>
      </c>
      <c r="L35" s="475">
        <f t="shared" si="1"/>
        <v>0.07538461538461538</v>
      </c>
      <c r="M35" s="475">
        <f t="shared" si="1"/>
        <v>0.09538461538461539</v>
      </c>
      <c r="N35" s="96"/>
      <c r="O35" s="96"/>
      <c r="P35" s="178">
        <f>SUM(D35:O35)</f>
        <v>0.8276923076923078</v>
      </c>
      <c r="Q35" s="1015"/>
      <c r="R35" s="1016"/>
      <c r="S35" s="1017"/>
      <c r="T35" s="1015"/>
      <c r="U35" s="1016"/>
      <c r="V35" s="1017"/>
      <c r="W35" s="1015"/>
      <c r="X35" s="1016"/>
      <c r="Y35" s="1016"/>
      <c r="Z35" s="1017"/>
      <c r="AA35" s="1015"/>
      <c r="AB35" s="1016"/>
      <c r="AC35" s="1016"/>
      <c r="AD35" s="1038"/>
      <c r="AE35" s="50"/>
      <c r="AG35" s="90"/>
      <c r="AH35" s="90"/>
      <c r="AI35" s="90"/>
      <c r="AJ35" s="90"/>
      <c r="AK35" s="90"/>
      <c r="AL35" s="90"/>
      <c r="AM35" s="90"/>
      <c r="AN35" s="90"/>
      <c r="AO35" s="90"/>
    </row>
    <row r="36" spans="1:41" ht="25.5" customHeight="1">
      <c r="A36" s="926" t="s">
        <v>191</v>
      </c>
      <c r="B36" s="986" t="s">
        <v>61</v>
      </c>
      <c r="C36" s="1006" t="s">
        <v>11</v>
      </c>
      <c r="D36" s="1006"/>
      <c r="E36" s="1006"/>
      <c r="F36" s="1006"/>
      <c r="G36" s="1006"/>
      <c r="H36" s="1006"/>
      <c r="I36" s="1006"/>
      <c r="J36" s="1006"/>
      <c r="K36" s="1006"/>
      <c r="L36" s="1006"/>
      <c r="M36" s="1006"/>
      <c r="N36" s="1006"/>
      <c r="O36" s="1006"/>
      <c r="P36" s="1006"/>
      <c r="Q36" s="927" t="s">
        <v>78</v>
      </c>
      <c r="R36" s="988"/>
      <c r="S36" s="988"/>
      <c r="T36" s="988"/>
      <c r="U36" s="988"/>
      <c r="V36" s="988"/>
      <c r="W36" s="988"/>
      <c r="X36" s="988"/>
      <c r="Y36" s="988"/>
      <c r="Z36" s="988"/>
      <c r="AA36" s="988"/>
      <c r="AB36" s="988"/>
      <c r="AC36" s="988"/>
      <c r="AD36" s="990"/>
      <c r="AG36" s="90"/>
      <c r="AH36" s="90"/>
      <c r="AI36" s="90"/>
      <c r="AJ36" s="90"/>
      <c r="AK36" s="90"/>
      <c r="AL36" s="90"/>
      <c r="AM36" s="90"/>
      <c r="AN36" s="90"/>
      <c r="AO36" s="90"/>
    </row>
    <row r="37" spans="1:41" ht="51" customHeight="1">
      <c r="A37" s="928"/>
      <c r="B37" s="987"/>
      <c r="C37" s="281" t="s">
        <v>12</v>
      </c>
      <c r="D37" s="281" t="s">
        <v>36</v>
      </c>
      <c r="E37" s="281" t="s">
        <v>37</v>
      </c>
      <c r="F37" s="281" t="s">
        <v>38</v>
      </c>
      <c r="G37" s="281" t="s">
        <v>51</v>
      </c>
      <c r="H37" s="281" t="s">
        <v>52</v>
      </c>
      <c r="I37" s="281" t="s">
        <v>53</v>
      </c>
      <c r="J37" s="281" t="s">
        <v>54</v>
      </c>
      <c r="K37" s="281" t="s">
        <v>55</v>
      </c>
      <c r="L37" s="281" t="s">
        <v>56</v>
      </c>
      <c r="M37" s="281" t="s">
        <v>57</v>
      </c>
      <c r="N37" s="281" t="s">
        <v>58</v>
      </c>
      <c r="O37" s="281" t="s">
        <v>59</v>
      </c>
      <c r="P37" s="281" t="s">
        <v>63</v>
      </c>
      <c r="Q37" s="929" t="s">
        <v>83</v>
      </c>
      <c r="R37" s="943"/>
      <c r="S37" s="943"/>
      <c r="T37" s="943"/>
      <c r="U37" s="943"/>
      <c r="V37" s="943"/>
      <c r="W37" s="943"/>
      <c r="X37" s="943"/>
      <c r="Y37" s="943"/>
      <c r="Z37" s="943"/>
      <c r="AA37" s="943"/>
      <c r="AB37" s="943"/>
      <c r="AC37" s="943"/>
      <c r="AD37" s="991"/>
      <c r="AG37" s="98"/>
      <c r="AH37" s="98"/>
      <c r="AI37" s="98"/>
      <c r="AJ37" s="98"/>
      <c r="AK37" s="98"/>
      <c r="AL37" s="98"/>
      <c r="AM37" s="98"/>
      <c r="AN37" s="98"/>
      <c r="AO37" s="98"/>
    </row>
    <row r="38" spans="1:41" ht="115.5" customHeight="1">
      <c r="A38" s="1030" t="s">
        <v>499</v>
      </c>
      <c r="B38" s="1032">
        <v>0.05</v>
      </c>
      <c r="C38" s="284" t="s">
        <v>9</v>
      </c>
      <c r="D38" s="331">
        <v>0.03</v>
      </c>
      <c r="E38" s="331">
        <v>0.08</v>
      </c>
      <c r="F38" s="331">
        <v>0.1</v>
      </c>
      <c r="G38" s="331">
        <v>0.1</v>
      </c>
      <c r="H38" s="331">
        <v>0.08</v>
      </c>
      <c r="I38" s="331">
        <v>0.08</v>
      </c>
      <c r="J38" s="331">
        <v>0.1</v>
      </c>
      <c r="K38" s="331">
        <v>0.1</v>
      </c>
      <c r="L38" s="331">
        <v>0.08</v>
      </c>
      <c r="M38" s="331">
        <v>0.08</v>
      </c>
      <c r="N38" s="331">
        <v>0.08</v>
      </c>
      <c r="O38" s="331">
        <v>0.09</v>
      </c>
      <c r="P38" s="286">
        <f aca="true" t="shared" si="2" ref="P38:P43">SUM(D38:O38)</f>
        <v>0.9999999999999999</v>
      </c>
      <c r="Q38" s="858" t="s">
        <v>863</v>
      </c>
      <c r="R38" s="859"/>
      <c r="S38" s="859"/>
      <c r="T38" s="859"/>
      <c r="U38" s="859"/>
      <c r="V38" s="859"/>
      <c r="W38" s="859"/>
      <c r="X38" s="859"/>
      <c r="Y38" s="859"/>
      <c r="Z38" s="859"/>
      <c r="AA38" s="859"/>
      <c r="AB38" s="859"/>
      <c r="AC38" s="859"/>
      <c r="AD38" s="980"/>
      <c r="AE38" s="287"/>
      <c r="AG38" s="102"/>
      <c r="AH38" s="102"/>
      <c r="AI38" s="102"/>
      <c r="AJ38" s="102"/>
      <c r="AK38" s="102"/>
      <c r="AL38" s="102"/>
      <c r="AM38" s="102"/>
      <c r="AN38" s="102"/>
      <c r="AO38" s="102"/>
    </row>
    <row r="39" spans="1:31" ht="115.5" customHeight="1">
      <c r="A39" s="1031"/>
      <c r="B39" s="1033"/>
      <c r="C39" s="288" t="s">
        <v>10</v>
      </c>
      <c r="D39" s="104">
        <v>0.03</v>
      </c>
      <c r="E39" s="104">
        <v>0.08</v>
      </c>
      <c r="F39" s="104">
        <v>0.1</v>
      </c>
      <c r="G39" s="104">
        <v>0.09</v>
      </c>
      <c r="H39" s="104">
        <v>0.08</v>
      </c>
      <c r="I39" s="104">
        <v>0.08</v>
      </c>
      <c r="J39" s="104">
        <v>0.1</v>
      </c>
      <c r="K39" s="104">
        <v>0.1</v>
      </c>
      <c r="L39" s="104">
        <v>0.08</v>
      </c>
      <c r="M39" s="104">
        <v>0.08</v>
      </c>
      <c r="N39" s="104"/>
      <c r="O39" s="104"/>
      <c r="P39" s="289">
        <f t="shared" si="2"/>
        <v>0.82</v>
      </c>
      <c r="Q39" s="861"/>
      <c r="R39" s="862"/>
      <c r="S39" s="862"/>
      <c r="T39" s="862"/>
      <c r="U39" s="862"/>
      <c r="V39" s="862"/>
      <c r="W39" s="862"/>
      <c r="X39" s="862"/>
      <c r="Y39" s="862"/>
      <c r="Z39" s="862"/>
      <c r="AA39" s="862"/>
      <c r="AB39" s="862"/>
      <c r="AC39" s="862"/>
      <c r="AD39" s="1034"/>
      <c r="AE39" s="287"/>
    </row>
    <row r="40" spans="1:31" ht="69" customHeight="1">
      <c r="A40" s="1045" t="s">
        <v>629</v>
      </c>
      <c r="B40" s="1046">
        <v>0.03</v>
      </c>
      <c r="C40" s="290" t="s">
        <v>9</v>
      </c>
      <c r="D40" s="332">
        <v>0.04</v>
      </c>
      <c r="E40" s="332">
        <v>0.19</v>
      </c>
      <c r="F40" s="332">
        <v>0.07</v>
      </c>
      <c r="G40" s="332">
        <v>0.04</v>
      </c>
      <c r="H40" s="332">
        <v>0.11</v>
      </c>
      <c r="I40" s="489">
        <v>0.01</v>
      </c>
      <c r="J40" s="489">
        <v>0.1</v>
      </c>
      <c r="K40" s="489">
        <v>0.08</v>
      </c>
      <c r="L40" s="489">
        <v>0.06</v>
      </c>
      <c r="M40" s="489">
        <v>0.12</v>
      </c>
      <c r="N40" s="489">
        <v>0.08</v>
      </c>
      <c r="O40" s="489">
        <v>0.1</v>
      </c>
      <c r="P40" s="289">
        <f t="shared" si="2"/>
        <v>0.9999999999999999</v>
      </c>
      <c r="Q40" s="1047" t="s">
        <v>862</v>
      </c>
      <c r="R40" s="1048"/>
      <c r="S40" s="1048"/>
      <c r="T40" s="1048"/>
      <c r="U40" s="1048"/>
      <c r="V40" s="1048"/>
      <c r="W40" s="1048"/>
      <c r="X40" s="1048"/>
      <c r="Y40" s="1048"/>
      <c r="Z40" s="1048"/>
      <c r="AA40" s="1048"/>
      <c r="AB40" s="1048"/>
      <c r="AC40" s="1048"/>
      <c r="AD40" s="1049"/>
      <c r="AE40" s="287"/>
    </row>
    <row r="41" spans="1:31" ht="69" customHeight="1">
      <c r="A41" s="1030"/>
      <c r="B41" s="1033"/>
      <c r="C41" s="288" t="s">
        <v>10</v>
      </c>
      <c r="D41" s="104">
        <v>0.07</v>
      </c>
      <c r="E41" s="104">
        <v>0.16</v>
      </c>
      <c r="F41" s="104">
        <v>0.05</v>
      </c>
      <c r="G41" s="104">
        <v>0.04</v>
      </c>
      <c r="H41" s="104">
        <v>0.11</v>
      </c>
      <c r="I41" s="104">
        <v>0.05</v>
      </c>
      <c r="J41" s="104">
        <v>0.07</v>
      </c>
      <c r="K41" s="104">
        <v>0.08</v>
      </c>
      <c r="L41" s="108">
        <v>0.06</v>
      </c>
      <c r="M41" s="108">
        <v>0.13</v>
      </c>
      <c r="N41" s="108"/>
      <c r="O41" s="108"/>
      <c r="P41" s="289">
        <f t="shared" si="2"/>
        <v>0.82</v>
      </c>
      <c r="Q41" s="1050"/>
      <c r="R41" s="1051"/>
      <c r="S41" s="1051"/>
      <c r="T41" s="1051"/>
      <c r="U41" s="1051"/>
      <c r="V41" s="1051"/>
      <c r="W41" s="1051"/>
      <c r="X41" s="1051"/>
      <c r="Y41" s="1051"/>
      <c r="Z41" s="1051"/>
      <c r="AA41" s="1051"/>
      <c r="AB41" s="1051"/>
      <c r="AC41" s="1051"/>
      <c r="AD41" s="1052"/>
      <c r="AE41" s="287"/>
    </row>
    <row r="42" spans="1:31" ht="107.25" customHeight="1" thickBot="1">
      <c r="A42" s="1021" t="s">
        <v>630</v>
      </c>
      <c r="B42" s="1023">
        <v>0.05</v>
      </c>
      <c r="C42" s="290" t="s">
        <v>9</v>
      </c>
      <c r="D42" s="107">
        <v>0.09</v>
      </c>
      <c r="E42" s="107">
        <v>0.08</v>
      </c>
      <c r="F42" s="107">
        <v>0.08</v>
      </c>
      <c r="G42" s="107">
        <v>0.09</v>
      </c>
      <c r="H42" s="107">
        <v>0.08</v>
      </c>
      <c r="I42" s="107">
        <v>0.08</v>
      </c>
      <c r="J42" s="107">
        <v>0.09</v>
      </c>
      <c r="K42" s="107">
        <v>0.08</v>
      </c>
      <c r="L42" s="107">
        <v>0.08</v>
      </c>
      <c r="M42" s="107">
        <v>0.09</v>
      </c>
      <c r="N42" s="107">
        <v>0.08</v>
      </c>
      <c r="O42" s="107">
        <v>0.08</v>
      </c>
      <c r="P42" s="333">
        <f t="shared" si="2"/>
        <v>0.9999999999999998</v>
      </c>
      <c r="Q42" s="1024"/>
      <c r="R42" s="1025"/>
      <c r="S42" s="1025"/>
      <c r="T42" s="1025"/>
      <c r="U42" s="1025"/>
      <c r="V42" s="1025"/>
      <c r="W42" s="1025"/>
      <c r="X42" s="1025"/>
      <c r="Y42" s="1025"/>
      <c r="Z42" s="1025"/>
      <c r="AA42" s="1025"/>
      <c r="AB42" s="1025"/>
      <c r="AC42" s="1025"/>
      <c r="AD42" s="1026"/>
      <c r="AE42" s="287"/>
    </row>
    <row r="43" spans="1:31" ht="107.25" customHeight="1" thickBot="1">
      <c r="A43" s="1022"/>
      <c r="B43" s="978"/>
      <c r="C43" s="334" t="s">
        <v>10</v>
      </c>
      <c r="D43" s="335">
        <v>0.09</v>
      </c>
      <c r="E43" s="335">
        <v>0.08</v>
      </c>
      <c r="F43" s="335">
        <v>0.08</v>
      </c>
      <c r="G43" s="335">
        <v>0.09</v>
      </c>
      <c r="H43" s="335">
        <v>0.08</v>
      </c>
      <c r="I43" s="335">
        <v>0.08</v>
      </c>
      <c r="J43" s="335">
        <v>0.09</v>
      </c>
      <c r="K43" s="335">
        <v>0.08</v>
      </c>
      <c r="L43" s="336">
        <v>0.08</v>
      </c>
      <c r="M43" s="336">
        <v>0.09</v>
      </c>
      <c r="N43" s="336"/>
      <c r="O43" s="336"/>
      <c r="P43" s="337">
        <f t="shared" si="2"/>
        <v>0.8399999999999999</v>
      </c>
      <c r="Q43" s="1027"/>
      <c r="R43" s="1028"/>
      <c r="S43" s="1028"/>
      <c r="T43" s="1028"/>
      <c r="U43" s="1028"/>
      <c r="V43" s="1028"/>
      <c r="W43" s="1028"/>
      <c r="X43" s="1028"/>
      <c r="Y43" s="1028"/>
      <c r="Z43" s="1028"/>
      <c r="AA43" s="1028"/>
      <c r="AB43" s="1028"/>
      <c r="AC43" s="1028"/>
      <c r="AD43" s="1029"/>
      <c r="AE43" s="287"/>
    </row>
  </sheetData>
  <sheetProtection/>
  <mergeCells count="79">
    <mergeCell ref="A1:A4"/>
    <mergeCell ref="B1:AA1"/>
    <mergeCell ref="AB1:AD1"/>
    <mergeCell ref="A40:A41"/>
    <mergeCell ref="B40:B41"/>
    <mergeCell ref="Q40:AD41"/>
    <mergeCell ref="I7:J9"/>
    <mergeCell ref="K7:L9"/>
    <mergeCell ref="M7:N7"/>
    <mergeCell ref="B2:AA2"/>
    <mergeCell ref="AB2:AD2"/>
    <mergeCell ref="B3:AA4"/>
    <mergeCell ref="AB3:AD3"/>
    <mergeCell ref="O7:P7"/>
    <mergeCell ref="M8:N8"/>
    <mergeCell ref="O8:P8"/>
    <mergeCell ref="AB4:AD4"/>
    <mergeCell ref="M9:N9"/>
    <mergeCell ref="O9:P9"/>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Q38:AD39"/>
    <mergeCell ref="W33:Z33"/>
    <mergeCell ref="AA33:AD33"/>
    <mergeCell ref="A34:A35"/>
    <mergeCell ref="B34:B35"/>
    <mergeCell ref="Q34:S35"/>
    <mergeCell ref="T34:V35"/>
    <mergeCell ref="W34:Z35"/>
    <mergeCell ref="AA34:AD35"/>
    <mergeCell ref="A42:A43"/>
    <mergeCell ref="B42:B43"/>
    <mergeCell ref="Q42:AD43"/>
    <mergeCell ref="A36:A37"/>
    <mergeCell ref="B36:B37"/>
    <mergeCell ref="C36:P36"/>
    <mergeCell ref="Q36:AD36"/>
    <mergeCell ref="Q37:AD37"/>
    <mergeCell ref="A38:A39"/>
    <mergeCell ref="B38:B39"/>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8:AD43 W34 AA34 Q34">
      <formula1>2000</formula1>
    </dataValidation>
  </dataValidations>
  <printOptions/>
  <pageMargins left="0.25" right="0.25" top="0.75" bottom="0.75" header="0.3" footer="0.3"/>
  <pageSetup fitToHeight="0" fitToWidth="1" horizontalDpi="600" verticalDpi="600" orientation="landscape" scale="22" r:id="rId4"/>
  <drawing r:id="rId3"/>
  <legacyDrawing r:id="rId2"/>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AO50"/>
  <sheetViews>
    <sheetView showGridLines="0" view="pageBreakPreview" zoomScale="60" zoomScaleNormal="85" workbookViewId="0" topLeftCell="A31">
      <selection activeCell="AA34" sqref="AA34:AD35"/>
    </sheetView>
  </sheetViews>
  <sheetFormatPr defaultColWidth="9.140625" defaultRowHeight="15"/>
  <cols>
    <col min="1" max="1" width="40.00390625" style="246" customWidth="1"/>
    <col min="2" max="2" width="15.421875" style="246" customWidth="1"/>
    <col min="3" max="14" width="20.7109375" style="246" customWidth="1"/>
    <col min="15" max="15" width="16.140625" style="246" customWidth="1"/>
    <col min="16" max="16" width="18.140625" style="246" customWidth="1"/>
    <col min="17" max="21" width="31.8515625" style="246" customWidth="1"/>
    <col min="22" max="22" width="36.57421875" style="246" customWidth="1"/>
    <col min="23" max="23" width="26.00390625" style="246" customWidth="1"/>
    <col min="24"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338" customWidth="1"/>
    <col min="33" max="33" width="18.421875" style="338"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9.140625" style="246" customWidth="1"/>
  </cols>
  <sheetData>
    <row r="1" spans="1:30" ht="32.25" customHeight="1">
      <c r="A1" s="1039"/>
      <c r="B1" s="1042" t="s">
        <v>16</v>
      </c>
      <c r="C1" s="1043"/>
      <c r="D1" s="1043"/>
      <c r="E1" s="1043"/>
      <c r="F1" s="1043"/>
      <c r="G1" s="1043"/>
      <c r="H1" s="1043"/>
      <c r="I1" s="1043"/>
      <c r="J1" s="1043"/>
      <c r="K1" s="1043"/>
      <c r="L1" s="1043"/>
      <c r="M1" s="1043"/>
      <c r="N1" s="1043"/>
      <c r="O1" s="1043"/>
      <c r="P1" s="1043"/>
      <c r="Q1" s="1043"/>
      <c r="R1" s="1043"/>
      <c r="S1" s="1043"/>
      <c r="T1" s="1043"/>
      <c r="U1" s="1043"/>
      <c r="V1" s="1043"/>
      <c r="W1" s="1043"/>
      <c r="X1" s="1043"/>
      <c r="Y1" s="1043"/>
      <c r="Z1" s="1043"/>
      <c r="AA1" s="1044"/>
      <c r="AB1" s="878" t="s">
        <v>18</v>
      </c>
      <c r="AC1" s="879"/>
      <c r="AD1" s="880"/>
    </row>
    <row r="2" spans="1:30" ht="30.75" customHeight="1">
      <c r="A2" s="1040"/>
      <c r="B2" s="1053" t="s">
        <v>17</v>
      </c>
      <c r="C2" s="1054"/>
      <c r="D2" s="1054"/>
      <c r="E2" s="1054"/>
      <c r="F2" s="1054"/>
      <c r="G2" s="1054"/>
      <c r="H2" s="1054"/>
      <c r="I2" s="1054"/>
      <c r="J2" s="1054"/>
      <c r="K2" s="1054"/>
      <c r="L2" s="1054"/>
      <c r="M2" s="1054"/>
      <c r="N2" s="1054"/>
      <c r="O2" s="1054"/>
      <c r="P2" s="1054"/>
      <c r="Q2" s="1054"/>
      <c r="R2" s="1054"/>
      <c r="S2" s="1054"/>
      <c r="T2" s="1054"/>
      <c r="U2" s="1054"/>
      <c r="V2" s="1054"/>
      <c r="W2" s="1054"/>
      <c r="X2" s="1054"/>
      <c r="Y2" s="1054"/>
      <c r="Z2" s="1054"/>
      <c r="AA2" s="1055"/>
      <c r="AB2" s="881" t="s">
        <v>418</v>
      </c>
      <c r="AC2" s="882"/>
      <c r="AD2" s="883"/>
    </row>
    <row r="3" spans="1:30" ht="24" customHeight="1">
      <c r="A3" s="1040"/>
      <c r="B3" s="903" t="s">
        <v>295</v>
      </c>
      <c r="C3" s="904"/>
      <c r="D3" s="904"/>
      <c r="E3" s="904"/>
      <c r="F3" s="904"/>
      <c r="G3" s="904"/>
      <c r="H3" s="904"/>
      <c r="I3" s="904"/>
      <c r="J3" s="904"/>
      <c r="K3" s="904"/>
      <c r="L3" s="904"/>
      <c r="M3" s="904"/>
      <c r="N3" s="904"/>
      <c r="O3" s="904"/>
      <c r="P3" s="904"/>
      <c r="Q3" s="904"/>
      <c r="R3" s="904"/>
      <c r="S3" s="904"/>
      <c r="T3" s="904"/>
      <c r="U3" s="904"/>
      <c r="V3" s="904"/>
      <c r="W3" s="904"/>
      <c r="X3" s="904"/>
      <c r="Y3" s="904"/>
      <c r="Z3" s="904"/>
      <c r="AA3" s="905"/>
      <c r="AB3" s="881" t="s">
        <v>478</v>
      </c>
      <c r="AC3" s="882"/>
      <c r="AD3" s="883"/>
    </row>
    <row r="4" spans="1:30" ht="21.75" customHeight="1" thickBot="1">
      <c r="A4" s="1041"/>
      <c r="B4" s="906"/>
      <c r="C4" s="907"/>
      <c r="D4" s="907"/>
      <c r="E4" s="907"/>
      <c r="F4" s="907"/>
      <c r="G4" s="907"/>
      <c r="H4" s="907"/>
      <c r="I4" s="907"/>
      <c r="J4" s="907"/>
      <c r="K4" s="907"/>
      <c r="L4" s="907"/>
      <c r="M4" s="907"/>
      <c r="N4" s="907"/>
      <c r="O4" s="907"/>
      <c r="P4" s="907"/>
      <c r="Q4" s="907"/>
      <c r="R4" s="907"/>
      <c r="S4" s="907"/>
      <c r="T4" s="907"/>
      <c r="U4" s="907"/>
      <c r="V4" s="907"/>
      <c r="W4" s="907"/>
      <c r="X4" s="907"/>
      <c r="Y4" s="907"/>
      <c r="Z4" s="907"/>
      <c r="AA4" s="908"/>
      <c r="AB4" s="644" t="s">
        <v>777</v>
      </c>
      <c r="AC4" s="645"/>
      <c r="AD4" s="646"/>
    </row>
    <row r="5" spans="1:30" ht="9" customHeight="1" thickBot="1">
      <c r="A5" s="249"/>
      <c r="B5" s="250"/>
      <c r="C5" s="251"/>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647" t="s">
        <v>293</v>
      </c>
      <c r="B7" s="648"/>
      <c r="C7" s="909" t="s">
        <v>48</v>
      </c>
      <c r="D7" s="647" t="s">
        <v>71</v>
      </c>
      <c r="E7" s="653"/>
      <c r="F7" s="653"/>
      <c r="G7" s="653"/>
      <c r="H7" s="648"/>
      <c r="I7" s="864" t="s">
        <v>861</v>
      </c>
      <c r="J7" s="865"/>
      <c r="K7" s="647" t="s">
        <v>67</v>
      </c>
      <c r="L7" s="648"/>
      <c r="M7" s="870" t="s">
        <v>70</v>
      </c>
      <c r="N7" s="871"/>
      <c r="O7" s="890"/>
      <c r="P7" s="891"/>
      <c r="Q7" s="252"/>
      <c r="R7" s="252"/>
      <c r="S7" s="252"/>
      <c r="T7" s="252"/>
      <c r="U7" s="252"/>
      <c r="V7" s="252"/>
      <c r="W7" s="252"/>
      <c r="X7" s="252"/>
      <c r="Y7" s="252"/>
      <c r="Z7" s="253"/>
      <c r="AA7" s="252"/>
      <c r="AB7" s="252"/>
      <c r="AC7" s="258"/>
      <c r="AD7" s="259"/>
    </row>
    <row r="8" spans="1:30" ht="15" customHeight="1">
      <c r="A8" s="649"/>
      <c r="B8" s="650"/>
      <c r="C8" s="910"/>
      <c r="D8" s="649"/>
      <c r="E8" s="912"/>
      <c r="F8" s="912"/>
      <c r="G8" s="912"/>
      <c r="H8" s="650"/>
      <c r="I8" s="866"/>
      <c r="J8" s="867"/>
      <c r="K8" s="649"/>
      <c r="L8" s="650"/>
      <c r="M8" s="892" t="s">
        <v>68</v>
      </c>
      <c r="N8" s="893"/>
      <c r="O8" s="894"/>
      <c r="P8" s="895"/>
      <c r="Q8" s="252"/>
      <c r="R8" s="252"/>
      <c r="S8" s="252"/>
      <c r="T8" s="252"/>
      <c r="U8" s="252"/>
      <c r="V8" s="252"/>
      <c r="W8" s="252"/>
      <c r="X8" s="252"/>
      <c r="Y8" s="252"/>
      <c r="Z8" s="253"/>
      <c r="AA8" s="252"/>
      <c r="AB8" s="252"/>
      <c r="AC8" s="258"/>
      <c r="AD8" s="259"/>
    </row>
    <row r="9" spans="1:30" ht="15.75" customHeight="1" thickBot="1">
      <c r="A9" s="651"/>
      <c r="B9" s="652"/>
      <c r="C9" s="911"/>
      <c r="D9" s="651"/>
      <c r="E9" s="655"/>
      <c r="F9" s="655"/>
      <c r="G9" s="655"/>
      <c r="H9" s="652"/>
      <c r="I9" s="868"/>
      <c r="J9" s="869"/>
      <c r="K9" s="651"/>
      <c r="L9" s="652"/>
      <c r="M9" s="896" t="s">
        <v>69</v>
      </c>
      <c r="N9" s="897"/>
      <c r="O9" s="898" t="s">
        <v>425</v>
      </c>
      <c r="P9" s="899"/>
      <c r="Q9" s="252"/>
      <c r="R9" s="252"/>
      <c r="S9" s="252"/>
      <c r="T9" s="252"/>
      <c r="U9" s="252"/>
      <c r="V9" s="252"/>
      <c r="W9" s="252"/>
      <c r="X9" s="252"/>
      <c r="Y9" s="252"/>
      <c r="Z9" s="253"/>
      <c r="AA9" s="252"/>
      <c r="AB9" s="252"/>
      <c r="AC9" s="258"/>
      <c r="AD9" s="259"/>
    </row>
    <row r="10" spans="1:33"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c r="AF10" s="339"/>
      <c r="AG10" s="339"/>
    </row>
    <row r="11" spans="1:30" ht="15" customHeight="1">
      <c r="A11" s="647" t="s">
        <v>0</v>
      </c>
      <c r="B11" s="648"/>
      <c r="C11" s="900" t="s">
        <v>497</v>
      </c>
      <c r="D11" s="901"/>
      <c r="E11" s="901"/>
      <c r="F11" s="901"/>
      <c r="G11" s="901"/>
      <c r="H11" s="901"/>
      <c r="I11" s="901"/>
      <c r="J11" s="901"/>
      <c r="K11" s="901"/>
      <c r="L11" s="901"/>
      <c r="M11" s="901"/>
      <c r="N11" s="901"/>
      <c r="O11" s="901"/>
      <c r="P11" s="901"/>
      <c r="Q11" s="901"/>
      <c r="R11" s="901"/>
      <c r="S11" s="901"/>
      <c r="T11" s="901"/>
      <c r="U11" s="901"/>
      <c r="V11" s="901"/>
      <c r="W11" s="901"/>
      <c r="X11" s="901"/>
      <c r="Y11" s="901"/>
      <c r="Z11" s="901"/>
      <c r="AA11" s="901"/>
      <c r="AB11" s="901"/>
      <c r="AC11" s="901"/>
      <c r="AD11" s="902"/>
    </row>
    <row r="12" spans="1:30" ht="15" customHeight="1">
      <c r="A12" s="649"/>
      <c r="B12" s="650"/>
      <c r="C12" s="903"/>
      <c r="D12" s="904"/>
      <c r="E12" s="904"/>
      <c r="F12" s="904"/>
      <c r="G12" s="904"/>
      <c r="H12" s="904"/>
      <c r="I12" s="904"/>
      <c r="J12" s="904"/>
      <c r="K12" s="904"/>
      <c r="L12" s="904"/>
      <c r="M12" s="904"/>
      <c r="N12" s="904"/>
      <c r="O12" s="904"/>
      <c r="P12" s="904"/>
      <c r="Q12" s="904"/>
      <c r="R12" s="904"/>
      <c r="S12" s="904"/>
      <c r="T12" s="904"/>
      <c r="U12" s="904"/>
      <c r="V12" s="904"/>
      <c r="W12" s="904"/>
      <c r="X12" s="904"/>
      <c r="Y12" s="904"/>
      <c r="Z12" s="904"/>
      <c r="AA12" s="904"/>
      <c r="AB12" s="904"/>
      <c r="AC12" s="904"/>
      <c r="AD12" s="905"/>
    </row>
    <row r="13" spans="1:30" ht="15" customHeight="1" thickBot="1">
      <c r="A13" s="651"/>
      <c r="B13" s="652"/>
      <c r="C13" s="906"/>
      <c r="D13" s="907"/>
      <c r="E13" s="907"/>
      <c r="F13" s="907"/>
      <c r="G13" s="907"/>
      <c r="H13" s="907"/>
      <c r="I13" s="907"/>
      <c r="J13" s="907"/>
      <c r="K13" s="907"/>
      <c r="L13" s="907"/>
      <c r="M13" s="907"/>
      <c r="N13" s="907"/>
      <c r="O13" s="907"/>
      <c r="P13" s="907"/>
      <c r="Q13" s="907"/>
      <c r="R13" s="907"/>
      <c r="S13" s="907"/>
      <c r="T13" s="907"/>
      <c r="U13" s="907"/>
      <c r="V13" s="907"/>
      <c r="W13" s="907"/>
      <c r="X13" s="907"/>
      <c r="Y13" s="907"/>
      <c r="Z13" s="907"/>
      <c r="AA13" s="907"/>
      <c r="AB13" s="907"/>
      <c r="AC13" s="907"/>
      <c r="AD13" s="908"/>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617" t="s">
        <v>77</v>
      </c>
      <c r="B15" s="618"/>
      <c r="C15" s="913" t="s">
        <v>426</v>
      </c>
      <c r="D15" s="914"/>
      <c r="E15" s="914"/>
      <c r="F15" s="914"/>
      <c r="G15" s="914"/>
      <c r="H15" s="914"/>
      <c r="I15" s="914"/>
      <c r="J15" s="914"/>
      <c r="K15" s="915"/>
      <c r="L15" s="611" t="s">
        <v>73</v>
      </c>
      <c r="M15" s="687"/>
      <c r="N15" s="687"/>
      <c r="O15" s="687"/>
      <c r="P15" s="687"/>
      <c r="Q15" s="612"/>
      <c r="R15" s="913" t="s">
        <v>622</v>
      </c>
      <c r="S15" s="914"/>
      <c r="T15" s="914"/>
      <c r="U15" s="914"/>
      <c r="V15" s="914"/>
      <c r="W15" s="914"/>
      <c r="X15" s="915"/>
      <c r="Y15" s="611" t="s">
        <v>72</v>
      </c>
      <c r="Z15" s="612"/>
      <c r="AA15" s="913" t="s">
        <v>623</v>
      </c>
      <c r="AB15" s="914"/>
      <c r="AC15" s="914"/>
      <c r="AD15" s="915"/>
    </row>
    <row r="16" spans="1:30" ht="9" customHeight="1" thickBot="1">
      <c r="A16" s="257"/>
      <c r="B16" s="252"/>
      <c r="C16" s="919"/>
      <c r="D16" s="919"/>
      <c r="E16" s="919"/>
      <c r="F16" s="919"/>
      <c r="G16" s="919"/>
      <c r="H16" s="919"/>
      <c r="I16" s="919"/>
      <c r="J16" s="919"/>
      <c r="K16" s="919"/>
      <c r="L16" s="919"/>
      <c r="M16" s="919"/>
      <c r="N16" s="919"/>
      <c r="O16" s="919"/>
      <c r="P16" s="919"/>
      <c r="Q16" s="919"/>
      <c r="R16" s="919"/>
      <c r="S16" s="919"/>
      <c r="T16" s="919"/>
      <c r="U16" s="919"/>
      <c r="V16" s="919"/>
      <c r="W16" s="919"/>
      <c r="X16" s="919"/>
      <c r="Y16" s="919"/>
      <c r="Z16" s="919"/>
      <c r="AA16" s="919"/>
      <c r="AB16" s="919"/>
      <c r="AC16" s="271"/>
      <c r="AD16" s="272"/>
    </row>
    <row r="17" spans="1:33" s="273" customFormat="1" ht="37.5" customHeight="1" thickBot="1">
      <c r="A17" s="617" t="s">
        <v>79</v>
      </c>
      <c r="B17" s="618"/>
      <c r="C17" s="920" t="s">
        <v>631</v>
      </c>
      <c r="D17" s="921"/>
      <c r="E17" s="921"/>
      <c r="F17" s="921"/>
      <c r="G17" s="921"/>
      <c r="H17" s="921"/>
      <c r="I17" s="921"/>
      <c r="J17" s="921"/>
      <c r="K17" s="921"/>
      <c r="L17" s="921"/>
      <c r="M17" s="921"/>
      <c r="N17" s="921"/>
      <c r="O17" s="921"/>
      <c r="P17" s="921"/>
      <c r="Q17" s="922"/>
      <c r="R17" s="611" t="s">
        <v>374</v>
      </c>
      <c r="S17" s="687"/>
      <c r="T17" s="687"/>
      <c r="U17" s="687"/>
      <c r="V17" s="612"/>
      <c r="W17" s="613">
        <v>0.6</v>
      </c>
      <c r="X17" s="614"/>
      <c r="Y17" s="687" t="s">
        <v>15</v>
      </c>
      <c r="Z17" s="687"/>
      <c r="AA17" s="687"/>
      <c r="AB17" s="612"/>
      <c r="AC17" s="923">
        <f>+VIGENCIA!D9</f>
        <v>0.08</v>
      </c>
      <c r="AD17" s="924"/>
      <c r="AF17" s="340"/>
      <c r="AG17" s="340"/>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611" t="s">
        <v>1</v>
      </c>
      <c r="B19" s="687"/>
      <c r="C19" s="687"/>
      <c r="D19" s="687"/>
      <c r="E19" s="687"/>
      <c r="F19" s="687"/>
      <c r="G19" s="687"/>
      <c r="H19" s="687"/>
      <c r="I19" s="687"/>
      <c r="J19" s="687"/>
      <c r="K19" s="687"/>
      <c r="L19" s="687"/>
      <c r="M19" s="687"/>
      <c r="N19" s="687"/>
      <c r="O19" s="687"/>
      <c r="P19" s="687"/>
      <c r="Q19" s="687"/>
      <c r="R19" s="687"/>
      <c r="S19" s="687"/>
      <c r="T19" s="687"/>
      <c r="U19" s="687"/>
      <c r="V19" s="687"/>
      <c r="W19" s="687"/>
      <c r="X19" s="687"/>
      <c r="Y19" s="687"/>
      <c r="Z19" s="687"/>
      <c r="AA19" s="687"/>
      <c r="AB19" s="687"/>
      <c r="AC19" s="687"/>
      <c r="AD19" s="612"/>
      <c r="AE19" s="275"/>
      <c r="AF19" s="341"/>
    </row>
    <row r="20" spans="1:32" ht="31.5" customHeight="1" thickBot="1">
      <c r="A20" s="276"/>
      <c r="B20" s="258"/>
      <c r="C20" s="715" t="s">
        <v>376</v>
      </c>
      <c r="D20" s="763"/>
      <c r="E20" s="763"/>
      <c r="F20" s="763"/>
      <c r="G20" s="763"/>
      <c r="H20" s="763"/>
      <c r="I20" s="763"/>
      <c r="J20" s="763"/>
      <c r="K20" s="763"/>
      <c r="L20" s="763"/>
      <c r="M20" s="763"/>
      <c r="N20" s="763"/>
      <c r="O20" s="763"/>
      <c r="P20" s="716"/>
      <c r="Q20" s="713" t="s">
        <v>377</v>
      </c>
      <c r="R20" s="925"/>
      <c r="S20" s="925"/>
      <c r="T20" s="925"/>
      <c r="U20" s="925"/>
      <c r="V20" s="925"/>
      <c r="W20" s="925"/>
      <c r="X20" s="925"/>
      <c r="Y20" s="925"/>
      <c r="Z20" s="925"/>
      <c r="AA20" s="925"/>
      <c r="AB20" s="925"/>
      <c r="AC20" s="925"/>
      <c r="AD20" s="714"/>
      <c r="AE20" s="275"/>
      <c r="AF20" s="341"/>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341"/>
    </row>
    <row r="22" spans="1:33" ht="31.5" customHeight="1">
      <c r="A22" s="926" t="s">
        <v>378</v>
      </c>
      <c r="B22" s="927"/>
      <c r="C22" s="197">
        <f>+RESERVA!C8</f>
        <v>20783308</v>
      </c>
      <c r="D22" s="195"/>
      <c r="E22" s="195"/>
      <c r="F22" s="195"/>
      <c r="G22" s="195"/>
      <c r="H22" s="195"/>
      <c r="I22" s="195"/>
      <c r="J22" s="195"/>
      <c r="K22" s="195"/>
      <c r="L22" s="195"/>
      <c r="M22" s="195"/>
      <c r="N22" s="195"/>
      <c r="O22" s="195"/>
      <c r="P22" s="198"/>
      <c r="Q22" s="197">
        <v>803360566</v>
      </c>
      <c r="R22" s="195"/>
      <c r="S22" s="195">
        <v>77423500</v>
      </c>
      <c r="T22" s="195">
        <v>32000000</v>
      </c>
      <c r="U22" s="195"/>
      <c r="V22" s="195">
        <v>15000000</v>
      </c>
      <c r="W22" s="195"/>
      <c r="X22" s="195">
        <v>10000000</v>
      </c>
      <c r="Y22" s="195"/>
      <c r="Z22" s="195"/>
      <c r="AA22" s="195"/>
      <c r="AB22" s="342"/>
      <c r="AC22" s="195">
        <f>SUM(Q22:AB22)</f>
        <v>937784066</v>
      </c>
      <c r="AD22" s="202"/>
      <c r="AE22" s="4"/>
      <c r="AF22" s="339"/>
      <c r="AG22" s="343"/>
    </row>
    <row r="23" spans="1:32" ht="31.5" customHeight="1">
      <c r="A23" s="928" t="s">
        <v>379</v>
      </c>
      <c r="B23" s="929"/>
      <c r="C23" s="192"/>
      <c r="D23" s="191"/>
      <c r="E23" s="191"/>
      <c r="F23" s="191"/>
      <c r="G23" s="191"/>
      <c r="H23" s="191"/>
      <c r="I23" s="191"/>
      <c r="J23" s="191"/>
      <c r="K23" s="191"/>
      <c r="L23" s="191"/>
      <c r="M23" s="191"/>
      <c r="N23" s="191"/>
      <c r="O23" s="191"/>
      <c r="P23" s="211"/>
      <c r="Q23" s="192">
        <f>+VIGENCIA!D18</f>
        <v>582044581</v>
      </c>
      <c r="R23" s="344">
        <f>+VIGENCIA!F18</f>
        <v>67850000</v>
      </c>
      <c r="S23" s="344">
        <f>+VIGENCIA!H18</f>
        <v>65899202</v>
      </c>
      <c r="T23" s="191">
        <f>+VIGENCIA!J18</f>
        <v>-4080000</v>
      </c>
      <c r="U23" s="191">
        <f>+VIGENCIA!L18</f>
        <v>-15686667</v>
      </c>
      <c r="V23" s="344">
        <f>+VIGENCIA!N18</f>
        <v>73360000</v>
      </c>
      <c r="W23" s="191">
        <f>+VIGENCIA!P18</f>
        <v>0</v>
      </c>
      <c r="X23" s="191">
        <f>+VIGENCIA!R18</f>
        <v>0</v>
      </c>
      <c r="Y23" s="191">
        <f>+VIGENCIA!T18</f>
        <v>26932783</v>
      </c>
      <c r="Z23" s="191">
        <f>+VIGENCIA!V18</f>
        <v>-19520000</v>
      </c>
      <c r="AA23" s="191"/>
      <c r="AB23" s="344"/>
      <c r="AC23" s="195">
        <f>SUM(Q23:AB23)</f>
        <v>776799899</v>
      </c>
      <c r="AD23" s="200">
        <f>+AC23/AC22</f>
        <v>0.8283355701631211</v>
      </c>
      <c r="AE23" s="4"/>
      <c r="AF23" s="341"/>
    </row>
    <row r="24" spans="1:32" ht="31.5" customHeight="1">
      <c r="A24" s="928" t="s">
        <v>380</v>
      </c>
      <c r="B24" s="929"/>
      <c r="C24" s="192">
        <v>10423312</v>
      </c>
      <c r="D24" s="191">
        <f>8615673-22323</f>
        <v>8593350</v>
      </c>
      <c r="E24" s="191">
        <v>1744323</v>
      </c>
      <c r="F24" s="191">
        <v>0</v>
      </c>
      <c r="G24" s="191"/>
      <c r="H24" s="191">
        <f>-RESERVA!N16</f>
        <v>-1722000</v>
      </c>
      <c r="I24" s="191">
        <f>+RESERVA!P16</f>
        <v>0</v>
      </c>
      <c r="J24" s="191">
        <f>+RESERVA!R16</f>
        <v>0</v>
      </c>
      <c r="K24" s="191">
        <f>+(-RESERVA!T16)</f>
        <v>-2126673</v>
      </c>
      <c r="L24" s="191">
        <f>+RESERVA!V16</f>
        <v>0</v>
      </c>
      <c r="M24" s="191"/>
      <c r="N24" s="191"/>
      <c r="O24" s="191">
        <f>SUM(C24:N24)</f>
        <v>16912312</v>
      </c>
      <c r="P24" s="196"/>
      <c r="Q24" s="192"/>
      <c r="R24" s="191">
        <v>52840622</v>
      </c>
      <c r="S24" s="191">
        <v>71883977</v>
      </c>
      <c r="T24" s="191">
        <v>71883977</v>
      </c>
      <c r="U24" s="191">
        <v>106883978</v>
      </c>
      <c r="V24" s="344">
        <v>71883979</v>
      </c>
      <c r="W24" s="191">
        <v>92883980</v>
      </c>
      <c r="X24" s="191">
        <v>71883981</v>
      </c>
      <c r="Y24" s="191">
        <v>71883981</v>
      </c>
      <c r="Z24" s="191">
        <v>71883981</v>
      </c>
      <c r="AA24" s="191">
        <v>71883981</v>
      </c>
      <c r="AB24" s="344">
        <v>181987629</v>
      </c>
      <c r="AC24" s="195">
        <f>SUM(Q24:AB24)</f>
        <v>937784066</v>
      </c>
      <c r="AD24" s="200"/>
      <c r="AE24" s="4"/>
      <c r="AF24" s="341"/>
    </row>
    <row r="25" spans="1:32" ht="31.5" customHeight="1" thickBot="1">
      <c r="A25" s="931" t="s">
        <v>381</v>
      </c>
      <c r="B25" s="932"/>
      <c r="C25" s="193">
        <f>+RESERVA!E16</f>
        <v>10423312</v>
      </c>
      <c r="D25" s="194">
        <f>+RESERVA!G16</f>
        <v>0</v>
      </c>
      <c r="E25" s="194">
        <f>+RESERVA!I16</f>
        <v>0</v>
      </c>
      <c r="F25" s="194">
        <v>0</v>
      </c>
      <c r="G25" s="194">
        <f>+RESERVA!M16</f>
        <v>6489000</v>
      </c>
      <c r="H25" s="194">
        <f>+RESERVA!O16</f>
        <v>0</v>
      </c>
      <c r="I25" s="194">
        <f>+RESERVA!Q16</f>
        <v>0</v>
      </c>
      <c r="J25" s="194">
        <f>+RESERVA!S16</f>
        <v>0</v>
      </c>
      <c r="K25" s="194">
        <f>+RESERVA!U16</f>
        <v>0</v>
      </c>
      <c r="L25" s="194">
        <f>+RESERVA!W16</f>
        <v>0</v>
      </c>
      <c r="M25" s="194"/>
      <c r="N25" s="194"/>
      <c r="O25" s="194">
        <f>SUM(C25:N25)</f>
        <v>16912312</v>
      </c>
      <c r="P25" s="447">
        <f>+O25/O24</f>
        <v>1</v>
      </c>
      <c r="Q25" s="193">
        <f>+VIGENCIA!E18</f>
        <v>0</v>
      </c>
      <c r="R25" s="345">
        <f>+VIGENCIA!G18</f>
        <v>24978180</v>
      </c>
      <c r="S25" s="345">
        <f>+VIGENCIA!I18</f>
        <v>60172312</v>
      </c>
      <c r="T25" s="194">
        <f>+VIGENCIA!K18</f>
        <v>65752312</v>
      </c>
      <c r="U25" s="194">
        <f>+VIGENCIA!M18</f>
        <v>70632312</v>
      </c>
      <c r="V25" s="345">
        <f>+VIGENCIA!O18</f>
        <v>67789000</v>
      </c>
      <c r="W25" s="194">
        <f>+VIGENCIA!Q18</f>
        <v>67789000</v>
      </c>
      <c r="X25" s="194">
        <f>+VIGENCIA!S18</f>
        <v>61300000</v>
      </c>
      <c r="Y25" s="194">
        <f>+VIGENCIA!U18</f>
        <v>74278000</v>
      </c>
      <c r="Z25" s="194">
        <f>+VIGENCIA!W18</f>
        <v>61300000</v>
      </c>
      <c r="AA25" s="194"/>
      <c r="AB25" s="345"/>
      <c r="AC25" s="194">
        <f>SUM(Q25:AB25)</f>
        <v>553991116</v>
      </c>
      <c r="AD25" s="201">
        <f>+AC25/AC24</f>
        <v>0.590744859168891</v>
      </c>
      <c r="AE25" s="4"/>
      <c r="AF25" s="341"/>
    </row>
    <row r="26" spans="1:30" ht="31.5" customHeight="1" thickBot="1">
      <c r="A26" s="257"/>
      <c r="B26" s="252"/>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58"/>
      <c r="AD26" s="267"/>
    </row>
    <row r="27" spans="1:30" ht="33.75" customHeight="1">
      <c r="A27" s="933" t="s">
        <v>76</v>
      </c>
      <c r="B27" s="934"/>
      <c r="C27" s="935"/>
      <c r="D27" s="935"/>
      <c r="E27" s="935"/>
      <c r="F27" s="935"/>
      <c r="G27" s="935"/>
      <c r="H27" s="935"/>
      <c r="I27" s="935"/>
      <c r="J27" s="935"/>
      <c r="K27" s="935"/>
      <c r="L27" s="935"/>
      <c r="M27" s="935"/>
      <c r="N27" s="935"/>
      <c r="O27" s="935"/>
      <c r="P27" s="935"/>
      <c r="Q27" s="935"/>
      <c r="R27" s="935"/>
      <c r="S27" s="935"/>
      <c r="T27" s="935"/>
      <c r="U27" s="935"/>
      <c r="V27" s="935"/>
      <c r="W27" s="935"/>
      <c r="X27" s="935"/>
      <c r="Y27" s="935"/>
      <c r="Z27" s="935"/>
      <c r="AA27" s="935"/>
      <c r="AB27" s="935"/>
      <c r="AC27" s="935"/>
      <c r="AD27" s="936"/>
    </row>
    <row r="28" spans="1:30" ht="15" customHeight="1">
      <c r="A28" s="937" t="s">
        <v>189</v>
      </c>
      <c r="B28" s="939" t="s">
        <v>6</v>
      </c>
      <c r="C28" s="940"/>
      <c r="D28" s="929" t="s">
        <v>398</v>
      </c>
      <c r="E28" s="943"/>
      <c r="F28" s="943"/>
      <c r="G28" s="943"/>
      <c r="H28" s="943"/>
      <c r="I28" s="943"/>
      <c r="J28" s="943"/>
      <c r="K28" s="943"/>
      <c r="L28" s="943"/>
      <c r="M28" s="943"/>
      <c r="N28" s="943"/>
      <c r="O28" s="944"/>
      <c r="P28" s="930" t="s">
        <v>8</v>
      </c>
      <c r="Q28" s="930" t="s">
        <v>84</v>
      </c>
      <c r="R28" s="930"/>
      <c r="S28" s="930"/>
      <c r="T28" s="930"/>
      <c r="U28" s="930"/>
      <c r="V28" s="930"/>
      <c r="W28" s="930"/>
      <c r="X28" s="930"/>
      <c r="Y28" s="930"/>
      <c r="Z28" s="930"/>
      <c r="AA28" s="930"/>
      <c r="AB28" s="930"/>
      <c r="AC28" s="930"/>
      <c r="AD28" s="945"/>
    </row>
    <row r="29" spans="1:30" ht="27" customHeight="1">
      <c r="A29" s="938"/>
      <c r="B29" s="941"/>
      <c r="C29" s="942"/>
      <c r="D29" s="281" t="s">
        <v>39</v>
      </c>
      <c r="E29" s="281" t="s">
        <v>40</v>
      </c>
      <c r="F29" s="281" t="s">
        <v>41</v>
      </c>
      <c r="G29" s="281" t="s">
        <v>42</v>
      </c>
      <c r="H29" s="281" t="s">
        <v>43</v>
      </c>
      <c r="I29" s="281" t="s">
        <v>44</v>
      </c>
      <c r="J29" s="281" t="s">
        <v>45</v>
      </c>
      <c r="K29" s="281" t="s">
        <v>46</v>
      </c>
      <c r="L29" s="281" t="s">
        <v>47</v>
      </c>
      <c r="M29" s="281" t="s">
        <v>48</v>
      </c>
      <c r="N29" s="281" t="s">
        <v>49</v>
      </c>
      <c r="O29" s="281" t="s">
        <v>50</v>
      </c>
      <c r="P29" s="944"/>
      <c r="Q29" s="930"/>
      <c r="R29" s="930"/>
      <c r="S29" s="930"/>
      <c r="T29" s="930"/>
      <c r="U29" s="930"/>
      <c r="V29" s="930"/>
      <c r="W29" s="930"/>
      <c r="X29" s="930"/>
      <c r="Y29" s="930"/>
      <c r="Z29" s="930"/>
      <c r="AA29" s="930"/>
      <c r="AB29" s="930"/>
      <c r="AC29" s="930"/>
      <c r="AD29" s="945"/>
    </row>
    <row r="30" spans="1:30" ht="61.5" customHeight="1" thickBot="1">
      <c r="A30" s="330" t="str">
        <f>C17</f>
        <v>Ejecutar al 90% la implementación de la Política de Gestión Documental institucional</v>
      </c>
      <c r="B30" s="952" t="s">
        <v>450</v>
      </c>
      <c r="C30" s="953"/>
      <c r="D30" s="283" t="s">
        <v>450</v>
      </c>
      <c r="E30" s="283" t="s">
        <v>450</v>
      </c>
      <c r="F30" s="283" t="s">
        <v>450</v>
      </c>
      <c r="G30" s="283" t="s">
        <v>450</v>
      </c>
      <c r="H30" s="283" t="s">
        <v>450</v>
      </c>
      <c r="I30" s="283" t="s">
        <v>450</v>
      </c>
      <c r="J30" s="283" t="s">
        <v>450</v>
      </c>
      <c r="K30" s="283" t="s">
        <v>450</v>
      </c>
      <c r="L30" s="283" t="s">
        <v>450</v>
      </c>
      <c r="M30" s="283" t="s">
        <v>450</v>
      </c>
      <c r="N30" s="283" t="s">
        <v>450</v>
      </c>
      <c r="O30" s="283" t="s">
        <v>450</v>
      </c>
      <c r="P30" s="89">
        <f>SUM(D30:O30)</f>
        <v>0</v>
      </c>
      <c r="Q30" s="954"/>
      <c r="R30" s="954"/>
      <c r="S30" s="954"/>
      <c r="T30" s="954"/>
      <c r="U30" s="954"/>
      <c r="V30" s="954"/>
      <c r="W30" s="954"/>
      <c r="X30" s="954"/>
      <c r="Y30" s="954"/>
      <c r="Z30" s="954"/>
      <c r="AA30" s="954"/>
      <c r="AB30" s="954"/>
      <c r="AC30" s="954"/>
      <c r="AD30" s="955"/>
    </row>
    <row r="31" spans="1:30" ht="45" customHeight="1">
      <c r="A31" s="884" t="s">
        <v>292</v>
      </c>
      <c r="B31" s="885"/>
      <c r="C31" s="885"/>
      <c r="D31" s="885"/>
      <c r="E31" s="885"/>
      <c r="F31" s="885"/>
      <c r="G31" s="885"/>
      <c r="H31" s="885"/>
      <c r="I31" s="885"/>
      <c r="J31" s="885"/>
      <c r="K31" s="885"/>
      <c r="L31" s="885"/>
      <c r="M31" s="885"/>
      <c r="N31" s="885"/>
      <c r="O31" s="885"/>
      <c r="P31" s="885"/>
      <c r="Q31" s="885"/>
      <c r="R31" s="885"/>
      <c r="S31" s="885"/>
      <c r="T31" s="885"/>
      <c r="U31" s="885"/>
      <c r="V31" s="885"/>
      <c r="W31" s="885"/>
      <c r="X31" s="885"/>
      <c r="Y31" s="885"/>
      <c r="Z31" s="885"/>
      <c r="AA31" s="885"/>
      <c r="AB31" s="885"/>
      <c r="AC31" s="885"/>
      <c r="AD31" s="886"/>
    </row>
    <row r="32" spans="1:41" ht="22.5" customHeight="1">
      <c r="A32" s="928" t="s">
        <v>190</v>
      </c>
      <c r="B32" s="930" t="s">
        <v>62</v>
      </c>
      <c r="C32" s="930" t="s">
        <v>6</v>
      </c>
      <c r="D32" s="930" t="s">
        <v>60</v>
      </c>
      <c r="E32" s="930"/>
      <c r="F32" s="930"/>
      <c r="G32" s="930"/>
      <c r="H32" s="930"/>
      <c r="I32" s="930"/>
      <c r="J32" s="930"/>
      <c r="K32" s="930"/>
      <c r="L32" s="930"/>
      <c r="M32" s="930"/>
      <c r="N32" s="930"/>
      <c r="O32" s="930"/>
      <c r="P32" s="930"/>
      <c r="Q32" s="930" t="s">
        <v>85</v>
      </c>
      <c r="R32" s="930"/>
      <c r="S32" s="930"/>
      <c r="T32" s="930"/>
      <c r="U32" s="930"/>
      <c r="V32" s="930"/>
      <c r="W32" s="930"/>
      <c r="X32" s="930"/>
      <c r="Y32" s="930"/>
      <c r="Z32" s="930"/>
      <c r="AA32" s="930"/>
      <c r="AB32" s="930"/>
      <c r="AC32" s="930"/>
      <c r="AD32" s="945"/>
      <c r="AH32" s="90"/>
      <c r="AI32" s="90"/>
      <c r="AJ32" s="90"/>
      <c r="AK32" s="90"/>
      <c r="AL32" s="90"/>
      <c r="AM32" s="90"/>
      <c r="AN32" s="90"/>
      <c r="AO32" s="90"/>
    </row>
    <row r="33" spans="1:41" ht="35.25" customHeight="1">
      <c r="A33" s="928"/>
      <c r="B33" s="930"/>
      <c r="C33" s="956"/>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929" t="s">
        <v>80</v>
      </c>
      <c r="R33" s="943"/>
      <c r="S33" s="944"/>
      <c r="T33" s="930" t="s">
        <v>406</v>
      </c>
      <c r="U33" s="930"/>
      <c r="V33" s="930"/>
      <c r="W33" s="941" t="s">
        <v>81</v>
      </c>
      <c r="X33" s="962"/>
      <c r="Y33" s="962"/>
      <c r="Z33" s="942"/>
      <c r="AA33" s="941" t="s">
        <v>82</v>
      </c>
      <c r="AB33" s="962"/>
      <c r="AC33" s="962"/>
      <c r="AD33" s="963"/>
      <c r="AH33" s="90"/>
      <c r="AI33" s="90"/>
      <c r="AJ33" s="90"/>
      <c r="AK33" s="90"/>
      <c r="AL33" s="90"/>
      <c r="AM33" s="90"/>
      <c r="AN33" s="90"/>
      <c r="AO33" s="90"/>
    </row>
    <row r="34" spans="1:41" ht="186" customHeight="1">
      <c r="A34" s="964" t="str">
        <f>A30</f>
        <v>Ejecutar al 90% la implementación de la Política de Gestión Documental institucional</v>
      </c>
      <c r="B34" s="1010">
        <f>+AC17</f>
        <v>0.08</v>
      </c>
      <c r="C34" s="284" t="s">
        <v>9</v>
      </c>
      <c r="D34" s="177">
        <v>0.6</v>
      </c>
      <c r="E34" s="177">
        <f>(((E38*($B$38/$B$34))+(E40*($B$40/$B$34))+(E42*($B$42/$B$34))+(E44*($B$44/$B$34))+(E46*($B$46/$B$34))))*($P$34-$D$34)</f>
        <v>0.012500000000000002</v>
      </c>
      <c r="F34" s="177">
        <f aca="true" t="shared" si="0" ref="F34:O34">(((F38*($B$38/$B$34))+(F40*($B$40/$B$34))+(F42*($B$42/$B$34))+(F44*($B$44/$B$34))+(F46*($B$46/$B$34))))*($P$34-$D$34)</f>
        <v>0.025000000000000005</v>
      </c>
      <c r="G34" s="177">
        <f t="shared" si="0"/>
        <v>0.025000000000000005</v>
      </c>
      <c r="H34" s="177">
        <f t="shared" si="0"/>
        <v>0.025000000000000005</v>
      </c>
      <c r="I34" s="177">
        <f t="shared" si="0"/>
        <v>0.025000000000000005</v>
      </c>
      <c r="J34" s="177">
        <f t="shared" si="0"/>
        <v>0.025000000000000005</v>
      </c>
      <c r="K34" s="177">
        <f t="shared" si="0"/>
        <v>0.025000000000000005</v>
      </c>
      <c r="L34" s="177">
        <f>(((L38*($B$38/$B$34))+(L40*($B$40/$B$34))+(L42*($B$42/$B$34))+(L44*($B$44/$B$34))+(L46*($B$46/$B$34))))*($P$34-$D$34)</f>
        <v>0.027500000000000004</v>
      </c>
      <c r="M34" s="177">
        <f t="shared" si="0"/>
        <v>0.025000000000000005</v>
      </c>
      <c r="N34" s="177">
        <f t="shared" si="0"/>
        <v>0.022500000000000003</v>
      </c>
      <c r="O34" s="177">
        <f t="shared" si="0"/>
        <v>0.012500000000000002</v>
      </c>
      <c r="P34" s="177">
        <v>0.85</v>
      </c>
      <c r="Q34" s="1068" t="s">
        <v>893</v>
      </c>
      <c r="R34" s="1069"/>
      <c r="S34" s="1070"/>
      <c r="T34" s="1074" t="s">
        <v>894</v>
      </c>
      <c r="U34" s="1063"/>
      <c r="V34" s="1075"/>
      <c r="W34" s="1056" t="s">
        <v>895</v>
      </c>
      <c r="X34" s="1057"/>
      <c r="Y34" s="1057"/>
      <c r="Z34" s="1058"/>
      <c r="AA34" s="1062" t="s">
        <v>900</v>
      </c>
      <c r="AB34" s="1063"/>
      <c r="AC34" s="1063"/>
      <c r="AD34" s="1064"/>
      <c r="AE34" s="346"/>
      <c r="AH34" s="90"/>
      <c r="AI34" s="90"/>
      <c r="AJ34" s="90"/>
      <c r="AK34" s="90"/>
      <c r="AL34" s="90"/>
      <c r="AM34" s="90"/>
      <c r="AN34" s="90"/>
      <c r="AO34" s="90"/>
    </row>
    <row r="35" spans="1:41" ht="186" customHeight="1" thickBot="1">
      <c r="A35" s="965"/>
      <c r="B35" s="1011"/>
      <c r="C35" s="285" t="s">
        <v>10</v>
      </c>
      <c r="D35" s="347">
        <v>0.6</v>
      </c>
      <c r="E35" s="347">
        <f aca="true" t="shared" si="1" ref="E35:M35">(((E39*($B$38/$B$34))+(E41*($B$40/$B$34))+(E43*($B$42/$B$34))+(E45*($B$44/$B$34))+(E47*($B$46/$B$34))))*($P$34-$D$35)</f>
        <v>0.012500000000000002</v>
      </c>
      <c r="F35" s="347">
        <f t="shared" si="1"/>
        <v>0.020500000000000004</v>
      </c>
      <c r="G35" s="347">
        <f t="shared" si="1"/>
        <v>0.025000000000000005</v>
      </c>
      <c r="H35" s="347">
        <f t="shared" si="1"/>
        <v>0.029500000000000005</v>
      </c>
      <c r="I35" s="347">
        <f t="shared" si="1"/>
        <v>0.025000000000000005</v>
      </c>
      <c r="J35" s="347">
        <f t="shared" si="1"/>
        <v>0.025000000000000005</v>
      </c>
      <c r="K35" s="347">
        <f t="shared" si="1"/>
        <v>0.025000000000000005</v>
      </c>
      <c r="L35" s="347">
        <f t="shared" si="1"/>
        <v>0.027500000000000004</v>
      </c>
      <c r="M35" s="347">
        <f t="shared" si="1"/>
        <v>0.025000000000000005</v>
      </c>
      <c r="N35" s="347"/>
      <c r="O35" s="347"/>
      <c r="P35" s="178">
        <f>SUM(D35:O35)</f>
        <v>0.815</v>
      </c>
      <c r="Q35" s="1071"/>
      <c r="R35" s="1072"/>
      <c r="S35" s="1073"/>
      <c r="T35" s="1076"/>
      <c r="U35" s="1066"/>
      <c r="V35" s="1077"/>
      <c r="W35" s="1059"/>
      <c r="X35" s="1060"/>
      <c r="Y35" s="1060"/>
      <c r="Z35" s="1061"/>
      <c r="AA35" s="1065"/>
      <c r="AB35" s="1066"/>
      <c r="AC35" s="1066"/>
      <c r="AD35" s="1067"/>
      <c r="AE35" s="348"/>
      <c r="AF35" s="343"/>
      <c r="AH35" s="90"/>
      <c r="AI35" s="90"/>
      <c r="AJ35" s="90"/>
      <c r="AK35" s="90"/>
      <c r="AL35" s="90"/>
      <c r="AM35" s="90"/>
      <c r="AN35" s="90"/>
      <c r="AO35" s="90"/>
    </row>
    <row r="36" spans="1:41" ht="25.5" customHeight="1">
      <c r="A36" s="926" t="s">
        <v>191</v>
      </c>
      <c r="B36" s="986" t="s">
        <v>61</v>
      </c>
      <c r="C36" s="1006" t="s">
        <v>11</v>
      </c>
      <c r="D36" s="1006"/>
      <c r="E36" s="1006"/>
      <c r="F36" s="1006"/>
      <c r="G36" s="1006"/>
      <c r="H36" s="1006"/>
      <c r="I36" s="1006"/>
      <c r="J36" s="1006"/>
      <c r="K36" s="1006"/>
      <c r="L36" s="1006"/>
      <c r="M36" s="1006"/>
      <c r="N36" s="1006"/>
      <c r="O36" s="1006"/>
      <c r="P36" s="1006"/>
      <c r="Q36" s="927" t="s">
        <v>78</v>
      </c>
      <c r="R36" s="988"/>
      <c r="S36" s="988"/>
      <c r="T36" s="988"/>
      <c r="U36" s="988"/>
      <c r="V36" s="988"/>
      <c r="W36" s="988"/>
      <c r="X36" s="988"/>
      <c r="Y36" s="988"/>
      <c r="Z36" s="988"/>
      <c r="AA36" s="988"/>
      <c r="AB36" s="988"/>
      <c r="AC36" s="988"/>
      <c r="AD36" s="990"/>
      <c r="AH36" s="90"/>
      <c r="AI36" s="90"/>
      <c r="AJ36" s="90"/>
      <c r="AK36" s="90"/>
      <c r="AL36" s="90"/>
      <c r="AM36" s="90"/>
      <c r="AN36" s="90"/>
      <c r="AO36" s="90"/>
    </row>
    <row r="37" spans="1:41" ht="25.5" customHeight="1">
      <c r="A37" s="928"/>
      <c r="B37" s="987"/>
      <c r="C37" s="281" t="s">
        <v>12</v>
      </c>
      <c r="D37" s="281" t="s">
        <v>36</v>
      </c>
      <c r="E37" s="281" t="s">
        <v>37</v>
      </c>
      <c r="F37" s="281" t="s">
        <v>38</v>
      </c>
      <c r="G37" s="281" t="s">
        <v>51</v>
      </c>
      <c r="H37" s="281" t="s">
        <v>52</v>
      </c>
      <c r="I37" s="281" t="s">
        <v>53</v>
      </c>
      <c r="J37" s="281" t="s">
        <v>54</v>
      </c>
      <c r="K37" s="281" t="s">
        <v>55</v>
      </c>
      <c r="L37" s="281" t="s">
        <v>56</v>
      </c>
      <c r="M37" s="281" t="s">
        <v>57</v>
      </c>
      <c r="N37" s="281" t="s">
        <v>58</v>
      </c>
      <c r="O37" s="281" t="s">
        <v>59</v>
      </c>
      <c r="P37" s="281" t="s">
        <v>63</v>
      </c>
      <c r="Q37" s="929" t="s">
        <v>83</v>
      </c>
      <c r="R37" s="943"/>
      <c r="S37" s="943"/>
      <c r="T37" s="943"/>
      <c r="U37" s="943"/>
      <c r="V37" s="943"/>
      <c r="W37" s="943"/>
      <c r="X37" s="943"/>
      <c r="Y37" s="943"/>
      <c r="Z37" s="943"/>
      <c r="AA37" s="943"/>
      <c r="AB37" s="943"/>
      <c r="AC37" s="943"/>
      <c r="AD37" s="991"/>
      <c r="AG37" s="349"/>
      <c r="AH37" s="98"/>
      <c r="AI37" s="98"/>
      <c r="AJ37" s="98"/>
      <c r="AK37" s="98"/>
      <c r="AL37" s="98"/>
      <c r="AM37" s="98"/>
      <c r="AN37" s="98"/>
      <c r="AO37" s="98"/>
    </row>
    <row r="38" spans="1:41" ht="48" customHeight="1">
      <c r="A38" s="1030" t="s">
        <v>644</v>
      </c>
      <c r="B38" s="1078">
        <f>+$B$34/5</f>
        <v>0.016</v>
      </c>
      <c r="C38" s="284" t="s">
        <v>9</v>
      </c>
      <c r="D38" s="357">
        <v>0</v>
      </c>
      <c r="E38" s="357">
        <v>0.05</v>
      </c>
      <c r="F38" s="357">
        <v>0.1</v>
      </c>
      <c r="G38" s="357">
        <v>0.1</v>
      </c>
      <c r="H38" s="357">
        <v>0.1</v>
      </c>
      <c r="I38" s="357">
        <v>0.1</v>
      </c>
      <c r="J38" s="357">
        <v>0.1</v>
      </c>
      <c r="K38" s="357">
        <v>0.1</v>
      </c>
      <c r="L38" s="357">
        <v>0.1</v>
      </c>
      <c r="M38" s="357">
        <v>0.1</v>
      </c>
      <c r="N38" s="357">
        <v>0.1</v>
      </c>
      <c r="O38" s="357">
        <v>0.05</v>
      </c>
      <c r="P38" s="286">
        <f aca="true" t="shared" si="2" ref="P38:P47">SUM(D38:O38)</f>
        <v>0.9999999999999999</v>
      </c>
      <c r="Q38" s="1080" t="s">
        <v>888</v>
      </c>
      <c r="R38" s="1081"/>
      <c r="S38" s="1081"/>
      <c r="T38" s="1081"/>
      <c r="U38" s="1081"/>
      <c r="V38" s="1081"/>
      <c r="W38" s="1081"/>
      <c r="X38" s="1081"/>
      <c r="Y38" s="1081"/>
      <c r="Z38" s="1081"/>
      <c r="AA38" s="1081"/>
      <c r="AB38" s="1081"/>
      <c r="AC38" s="1081"/>
      <c r="AD38" s="1082"/>
      <c r="AE38" s="287"/>
      <c r="AG38" s="349"/>
      <c r="AH38" s="102"/>
      <c r="AI38" s="102"/>
      <c r="AJ38" s="102"/>
      <c r="AK38" s="102"/>
      <c r="AL38" s="102"/>
      <c r="AM38" s="102"/>
      <c r="AN38" s="102"/>
      <c r="AO38" s="102"/>
    </row>
    <row r="39" spans="1:31" ht="48" customHeight="1">
      <c r="A39" s="1031"/>
      <c r="B39" s="1079"/>
      <c r="C39" s="288" t="s">
        <v>10</v>
      </c>
      <c r="D39" s="104">
        <v>0</v>
      </c>
      <c r="E39" s="104">
        <v>0.05</v>
      </c>
      <c r="F39" s="104">
        <v>0.01</v>
      </c>
      <c r="G39" s="104">
        <v>0.1</v>
      </c>
      <c r="H39" s="104">
        <v>0.19</v>
      </c>
      <c r="I39" s="104">
        <v>0.1</v>
      </c>
      <c r="J39" s="104">
        <v>0.1</v>
      </c>
      <c r="K39" s="104">
        <v>0.1</v>
      </c>
      <c r="L39" s="104">
        <v>0.1</v>
      </c>
      <c r="M39" s="104">
        <v>0.1</v>
      </c>
      <c r="N39" s="104"/>
      <c r="O39" s="104"/>
      <c r="P39" s="289">
        <f t="shared" si="2"/>
        <v>0.8499999999999999</v>
      </c>
      <c r="Q39" s="1083"/>
      <c r="R39" s="1084"/>
      <c r="S39" s="1084"/>
      <c r="T39" s="1084"/>
      <c r="U39" s="1084"/>
      <c r="V39" s="1084"/>
      <c r="W39" s="1084"/>
      <c r="X39" s="1084"/>
      <c r="Y39" s="1084"/>
      <c r="Z39" s="1084"/>
      <c r="AA39" s="1084"/>
      <c r="AB39" s="1084"/>
      <c r="AC39" s="1084"/>
      <c r="AD39" s="1085"/>
      <c r="AE39" s="287"/>
    </row>
    <row r="40" spans="1:31" ht="48" customHeight="1">
      <c r="A40" s="1031" t="s">
        <v>632</v>
      </c>
      <c r="B40" s="1078">
        <f>+$B$34/5</f>
        <v>0.016</v>
      </c>
      <c r="C40" s="290" t="s">
        <v>9</v>
      </c>
      <c r="D40" s="357">
        <v>0</v>
      </c>
      <c r="E40" s="357">
        <v>0.05</v>
      </c>
      <c r="F40" s="357">
        <v>0.1</v>
      </c>
      <c r="G40" s="357">
        <v>0.1</v>
      </c>
      <c r="H40" s="357">
        <v>0.1</v>
      </c>
      <c r="I40" s="357">
        <v>0.1</v>
      </c>
      <c r="J40" s="357">
        <v>0.1</v>
      </c>
      <c r="K40" s="357">
        <v>0.1</v>
      </c>
      <c r="L40" s="357">
        <v>0.15</v>
      </c>
      <c r="M40" s="357">
        <v>0.1</v>
      </c>
      <c r="N40" s="357">
        <v>0.05</v>
      </c>
      <c r="O40" s="357">
        <v>0.05</v>
      </c>
      <c r="P40" s="289">
        <f t="shared" si="2"/>
        <v>1</v>
      </c>
      <c r="Q40" s="1080" t="s">
        <v>889</v>
      </c>
      <c r="R40" s="1081"/>
      <c r="S40" s="1081"/>
      <c r="T40" s="1081"/>
      <c r="U40" s="1081"/>
      <c r="V40" s="1081"/>
      <c r="W40" s="1081"/>
      <c r="X40" s="1081"/>
      <c r="Y40" s="1081"/>
      <c r="Z40" s="1081"/>
      <c r="AA40" s="1081"/>
      <c r="AB40" s="1081"/>
      <c r="AC40" s="1081"/>
      <c r="AD40" s="1082"/>
      <c r="AE40" s="287"/>
    </row>
    <row r="41" spans="1:31" ht="48" customHeight="1">
      <c r="A41" s="1031"/>
      <c r="B41" s="1079"/>
      <c r="C41" s="288" t="s">
        <v>10</v>
      </c>
      <c r="D41" s="104">
        <v>0</v>
      </c>
      <c r="E41" s="104">
        <v>0.05</v>
      </c>
      <c r="F41" s="104">
        <v>0.1</v>
      </c>
      <c r="G41" s="104">
        <v>0.1</v>
      </c>
      <c r="H41" s="104">
        <v>0.1</v>
      </c>
      <c r="I41" s="104">
        <v>0.1</v>
      </c>
      <c r="J41" s="104">
        <v>0.1</v>
      </c>
      <c r="K41" s="104">
        <v>0.1</v>
      </c>
      <c r="L41" s="104">
        <v>0.15</v>
      </c>
      <c r="M41" s="108">
        <v>0.1</v>
      </c>
      <c r="N41" s="108"/>
      <c r="O41" s="108"/>
      <c r="P41" s="289">
        <f t="shared" si="2"/>
        <v>0.8999999999999999</v>
      </c>
      <c r="Q41" s="1083"/>
      <c r="R41" s="1084"/>
      <c r="S41" s="1084"/>
      <c r="T41" s="1084"/>
      <c r="U41" s="1084"/>
      <c r="V41" s="1084"/>
      <c r="W41" s="1084"/>
      <c r="X41" s="1084"/>
      <c r="Y41" s="1084"/>
      <c r="Z41" s="1084"/>
      <c r="AA41" s="1084"/>
      <c r="AB41" s="1084"/>
      <c r="AC41" s="1084"/>
      <c r="AD41" s="1085"/>
      <c r="AE41" s="287"/>
    </row>
    <row r="42" spans="1:31" ht="48" customHeight="1">
      <c r="A42" s="1045" t="s">
        <v>633</v>
      </c>
      <c r="B42" s="1078">
        <f>+$B$34/5</f>
        <v>0.016</v>
      </c>
      <c r="C42" s="290" t="s">
        <v>9</v>
      </c>
      <c r="D42" s="357">
        <v>0</v>
      </c>
      <c r="E42" s="357">
        <v>0.05</v>
      </c>
      <c r="F42" s="357">
        <v>0.1</v>
      </c>
      <c r="G42" s="357">
        <v>0.1</v>
      </c>
      <c r="H42" s="357">
        <v>0.1</v>
      </c>
      <c r="I42" s="357">
        <v>0.1</v>
      </c>
      <c r="J42" s="357">
        <v>0.1</v>
      </c>
      <c r="K42" s="357">
        <v>0.1</v>
      </c>
      <c r="L42" s="357">
        <v>0.1</v>
      </c>
      <c r="M42" s="357">
        <v>0.1</v>
      </c>
      <c r="N42" s="357">
        <v>0.1</v>
      </c>
      <c r="O42" s="357">
        <v>0.05</v>
      </c>
      <c r="P42" s="289">
        <f>SUM(D42:O42)</f>
        <v>0.9999999999999999</v>
      </c>
      <c r="Q42" s="1080" t="s">
        <v>890</v>
      </c>
      <c r="R42" s="1081"/>
      <c r="S42" s="1081"/>
      <c r="T42" s="1081"/>
      <c r="U42" s="1081"/>
      <c r="V42" s="1081"/>
      <c r="W42" s="1081"/>
      <c r="X42" s="1081"/>
      <c r="Y42" s="1081"/>
      <c r="Z42" s="1081"/>
      <c r="AA42" s="1081"/>
      <c r="AB42" s="1081"/>
      <c r="AC42" s="1081"/>
      <c r="AD42" s="1082"/>
      <c r="AE42" s="287"/>
    </row>
    <row r="43" spans="1:31" ht="48" customHeight="1">
      <c r="A43" s="1030"/>
      <c r="B43" s="1079"/>
      <c r="C43" s="288" t="s">
        <v>10</v>
      </c>
      <c r="D43" s="104">
        <v>0</v>
      </c>
      <c r="E43" s="104">
        <v>0.05</v>
      </c>
      <c r="F43" s="104">
        <v>0.1</v>
      </c>
      <c r="G43" s="104">
        <v>0.1</v>
      </c>
      <c r="H43" s="104">
        <v>0.1</v>
      </c>
      <c r="I43" s="104">
        <v>0.1</v>
      </c>
      <c r="J43" s="104">
        <v>0.1</v>
      </c>
      <c r="K43" s="104">
        <v>0.1</v>
      </c>
      <c r="L43" s="104">
        <v>0.1</v>
      </c>
      <c r="M43" s="108">
        <v>0.1</v>
      </c>
      <c r="N43" s="108"/>
      <c r="O43" s="108"/>
      <c r="P43" s="289">
        <f>SUM(D43:O43)</f>
        <v>0.8499999999999999</v>
      </c>
      <c r="Q43" s="1083"/>
      <c r="R43" s="1084"/>
      <c r="S43" s="1084"/>
      <c r="T43" s="1084"/>
      <c r="U43" s="1084"/>
      <c r="V43" s="1084"/>
      <c r="W43" s="1084"/>
      <c r="X43" s="1084"/>
      <c r="Y43" s="1084"/>
      <c r="Z43" s="1084"/>
      <c r="AA43" s="1084"/>
      <c r="AB43" s="1084"/>
      <c r="AC43" s="1084"/>
      <c r="AD43" s="1085"/>
      <c r="AE43" s="287"/>
    </row>
    <row r="44" spans="1:31" ht="48" customHeight="1">
      <c r="A44" s="1045" t="s">
        <v>634</v>
      </c>
      <c r="B44" s="1078">
        <f>+$B$34/5</f>
        <v>0.016</v>
      </c>
      <c r="C44" s="290" t="s">
        <v>9</v>
      </c>
      <c r="D44" s="357">
        <v>0</v>
      </c>
      <c r="E44" s="357">
        <v>0.05</v>
      </c>
      <c r="F44" s="357">
        <v>0.1</v>
      </c>
      <c r="G44" s="357">
        <v>0.1</v>
      </c>
      <c r="H44" s="357">
        <v>0.1</v>
      </c>
      <c r="I44" s="357">
        <v>0.1</v>
      </c>
      <c r="J44" s="357">
        <v>0.1</v>
      </c>
      <c r="K44" s="357">
        <v>0.1</v>
      </c>
      <c r="L44" s="357">
        <v>0.1</v>
      </c>
      <c r="M44" s="357">
        <v>0.1</v>
      </c>
      <c r="N44" s="357">
        <v>0.1</v>
      </c>
      <c r="O44" s="357">
        <v>0.05</v>
      </c>
      <c r="P44" s="289">
        <f t="shared" si="2"/>
        <v>0.9999999999999999</v>
      </c>
      <c r="Q44" s="1080" t="s">
        <v>891</v>
      </c>
      <c r="R44" s="1081"/>
      <c r="S44" s="1081"/>
      <c r="T44" s="1081"/>
      <c r="U44" s="1081"/>
      <c r="V44" s="1081"/>
      <c r="W44" s="1081"/>
      <c r="X44" s="1081"/>
      <c r="Y44" s="1081"/>
      <c r="Z44" s="1081"/>
      <c r="AA44" s="1081"/>
      <c r="AB44" s="1081"/>
      <c r="AC44" s="1081"/>
      <c r="AD44" s="1082"/>
      <c r="AE44" s="287"/>
    </row>
    <row r="45" spans="1:31" ht="48" customHeight="1">
      <c r="A45" s="1086"/>
      <c r="B45" s="1079"/>
      <c r="C45" s="288" t="s">
        <v>10</v>
      </c>
      <c r="D45" s="104">
        <v>0</v>
      </c>
      <c r="E45" s="104">
        <v>0.05</v>
      </c>
      <c r="F45" s="104">
        <v>0.1</v>
      </c>
      <c r="G45" s="104">
        <v>0.1</v>
      </c>
      <c r="H45" s="104">
        <v>0.1</v>
      </c>
      <c r="I45" s="104">
        <v>0.1</v>
      </c>
      <c r="J45" s="104">
        <v>0.1</v>
      </c>
      <c r="K45" s="104">
        <v>0.1</v>
      </c>
      <c r="L45" s="104">
        <v>0.1</v>
      </c>
      <c r="M45" s="108">
        <v>0.1</v>
      </c>
      <c r="N45" s="108"/>
      <c r="O45" s="104"/>
      <c r="P45" s="289">
        <f t="shared" si="2"/>
        <v>0.8499999999999999</v>
      </c>
      <c r="Q45" s="1087"/>
      <c r="R45" s="1088"/>
      <c r="S45" s="1088"/>
      <c r="T45" s="1088"/>
      <c r="U45" s="1088"/>
      <c r="V45" s="1088"/>
      <c r="W45" s="1088"/>
      <c r="X45" s="1088"/>
      <c r="Y45" s="1088"/>
      <c r="Z45" s="1088"/>
      <c r="AA45" s="1088"/>
      <c r="AB45" s="1088"/>
      <c r="AC45" s="1088"/>
      <c r="AD45" s="1089"/>
      <c r="AE45" s="287"/>
    </row>
    <row r="46" spans="1:31" ht="48" customHeight="1">
      <c r="A46" s="1090" t="s">
        <v>635</v>
      </c>
      <c r="B46" s="1092">
        <f>+$B$34/5</f>
        <v>0.016</v>
      </c>
      <c r="C46" s="290" t="s">
        <v>9</v>
      </c>
      <c r="D46" s="357">
        <v>0</v>
      </c>
      <c r="E46" s="357">
        <v>0.05</v>
      </c>
      <c r="F46" s="357">
        <v>0.1</v>
      </c>
      <c r="G46" s="357">
        <v>0.1</v>
      </c>
      <c r="H46" s="357">
        <v>0.1</v>
      </c>
      <c r="I46" s="357">
        <v>0.1</v>
      </c>
      <c r="J46" s="357">
        <v>0.1</v>
      </c>
      <c r="K46" s="357">
        <v>0.1</v>
      </c>
      <c r="L46" s="357">
        <v>0.1</v>
      </c>
      <c r="M46" s="357">
        <v>0.1</v>
      </c>
      <c r="N46" s="357">
        <v>0.1</v>
      </c>
      <c r="O46" s="357">
        <v>0.05</v>
      </c>
      <c r="P46" s="289">
        <f t="shared" si="2"/>
        <v>0.9999999999999999</v>
      </c>
      <c r="Q46" s="1080" t="s">
        <v>892</v>
      </c>
      <c r="R46" s="1081"/>
      <c r="S46" s="1081"/>
      <c r="T46" s="1081"/>
      <c r="U46" s="1081"/>
      <c r="V46" s="1081"/>
      <c r="W46" s="1081"/>
      <c r="X46" s="1081"/>
      <c r="Y46" s="1081"/>
      <c r="Z46" s="1081"/>
      <c r="AA46" s="1081"/>
      <c r="AB46" s="1081"/>
      <c r="AC46" s="1081"/>
      <c r="AD46" s="1082"/>
      <c r="AE46" s="287"/>
    </row>
    <row r="47" spans="1:31" ht="48" customHeight="1" thickBot="1">
      <c r="A47" s="1091"/>
      <c r="B47" s="1093"/>
      <c r="C47" s="285" t="s">
        <v>10</v>
      </c>
      <c r="D47" s="110">
        <v>0</v>
      </c>
      <c r="E47" s="110">
        <v>0.05</v>
      </c>
      <c r="F47" s="110">
        <v>0.1</v>
      </c>
      <c r="G47" s="110">
        <v>0.1</v>
      </c>
      <c r="H47" s="110">
        <v>0.1</v>
      </c>
      <c r="I47" s="110">
        <v>0.1</v>
      </c>
      <c r="J47" s="110">
        <v>0.1</v>
      </c>
      <c r="K47" s="110">
        <v>0.1</v>
      </c>
      <c r="L47" s="110">
        <v>0.1</v>
      </c>
      <c r="M47" s="111">
        <v>0.1</v>
      </c>
      <c r="N47" s="111"/>
      <c r="O47" s="111"/>
      <c r="P47" s="291">
        <f t="shared" si="2"/>
        <v>0.8499999999999999</v>
      </c>
      <c r="Q47" s="1094"/>
      <c r="R47" s="1095"/>
      <c r="S47" s="1095"/>
      <c r="T47" s="1095"/>
      <c r="U47" s="1095"/>
      <c r="V47" s="1095"/>
      <c r="W47" s="1095"/>
      <c r="X47" s="1095"/>
      <c r="Y47" s="1095"/>
      <c r="Z47" s="1095"/>
      <c r="AA47" s="1095"/>
      <c r="AB47" s="1095"/>
      <c r="AC47" s="1095"/>
      <c r="AD47" s="1096"/>
      <c r="AE47" s="287"/>
    </row>
    <row r="48" spans="1:33" s="355" customFormat="1" ht="45.75" customHeight="1">
      <c r="A48" s="900" t="s">
        <v>64</v>
      </c>
      <c r="B48" s="901"/>
      <c r="C48" s="350" t="s">
        <v>636</v>
      </c>
      <c r="D48" s="351"/>
      <c r="E48" s="351"/>
      <c r="F48" s="351"/>
      <c r="G48" s="351"/>
      <c r="H48" s="352"/>
      <c r="I48" s="353"/>
      <c r="J48" s="1097" t="s">
        <v>637</v>
      </c>
      <c r="K48" s="1098"/>
      <c r="L48" s="1099"/>
      <c r="M48" s="350" t="s">
        <v>638</v>
      </c>
      <c r="N48" s="351"/>
      <c r="O48" s="351"/>
      <c r="P48" s="351"/>
      <c r="Q48" s="351"/>
      <c r="R48" s="352"/>
      <c r="S48" s="353"/>
      <c r="T48" s="1106" t="s">
        <v>639</v>
      </c>
      <c r="U48" s="1106"/>
      <c r="V48" s="1106"/>
      <c r="W48" s="1106"/>
      <c r="X48" s="350" t="s">
        <v>640</v>
      </c>
      <c r="Y48" s="351"/>
      <c r="Z48" s="351"/>
      <c r="AA48" s="351"/>
      <c r="AB48" s="351"/>
      <c r="AC48" s="352"/>
      <c r="AD48" s="354"/>
      <c r="AF48" s="356"/>
      <c r="AG48" s="356"/>
    </row>
    <row r="49" spans="1:33" s="355" customFormat="1" ht="22.5" customHeight="1">
      <c r="A49" s="903"/>
      <c r="B49" s="904"/>
      <c r="C49" s="1109" t="s">
        <v>641</v>
      </c>
      <c r="D49" s="1110"/>
      <c r="E49" s="1110"/>
      <c r="F49" s="1110"/>
      <c r="G49" s="1110"/>
      <c r="H49" s="1110"/>
      <c r="I49" s="1111"/>
      <c r="J49" s="1100"/>
      <c r="K49" s="1101"/>
      <c r="L49" s="1102"/>
      <c r="M49" s="1109" t="s">
        <v>769</v>
      </c>
      <c r="N49" s="1110"/>
      <c r="O49" s="1110"/>
      <c r="P49" s="1110"/>
      <c r="Q49" s="1110"/>
      <c r="R49" s="1110"/>
      <c r="S49" s="1111"/>
      <c r="T49" s="1107"/>
      <c r="U49" s="1107"/>
      <c r="V49" s="1107"/>
      <c r="W49" s="1107"/>
      <c r="X49" s="1109" t="s">
        <v>769</v>
      </c>
      <c r="Y49" s="1110"/>
      <c r="Z49" s="1110"/>
      <c r="AA49" s="1110"/>
      <c r="AB49" s="1110"/>
      <c r="AC49" s="1110"/>
      <c r="AD49" s="1112"/>
      <c r="AF49" s="356"/>
      <c r="AG49" s="356"/>
    </row>
    <row r="50" spans="1:33" s="355" customFormat="1" ht="22.5" customHeight="1" thickBot="1">
      <c r="A50" s="906"/>
      <c r="B50" s="907"/>
      <c r="C50" s="1113" t="s">
        <v>642</v>
      </c>
      <c r="D50" s="1114"/>
      <c r="E50" s="1114"/>
      <c r="F50" s="1114"/>
      <c r="G50" s="1114"/>
      <c r="H50" s="1114"/>
      <c r="I50" s="1115"/>
      <c r="J50" s="1103"/>
      <c r="K50" s="1104"/>
      <c r="L50" s="1105"/>
      <c r="M50" s="1113" t="s">
        <v>643</v>
      </c>
      <c r="N50" s="1114"/>
      <c r="O50" s="1114"/>
      <c r="P50" s="1114"/>
      <c r="Q50" s="1114"/>
      <c r="R50" s="1114"/>
      <c r="S50" s="1115"/>
      <c r="T50" s="1108"/>
      <c r="U50" s="1108"/>
      <c r="V50" s="1108"/>
      <c r="W50" s="1108"/>
      <c r="X50" s="1113" t="s">
        <v>75</v>
      </c>
      <c r="Y50" s="1114"/>
      <c r="Z50" s="1114"/>
      <c r="AA50" s="1114"/>
      <c r="AB50" s="1114"/>
      <c r="AC50" s="1114"/>
      <c r="AD50" s="1116"/>
      <c r="AF50" s="356"/>
      <c r="AG50" s="356"/>
    </row>
  </sheetData>
  <sheetProtection/>
  <mergeCells count="94">
    <mergeCell ref="A48:B50"/>
    <mergeCell ref="J48:L50"/>
    <mergeCell ref="T48:W50"/>
    <mergeCell ref="C49:I49"/>
    <mergeCell ref="M49:S49"/>
    <mergeCell ref="X49:AD49"/>
    <mergeCell ref="C50:I50"/>
    <mergeCell ref="M50:S50"/>
    <mergeCell ref="X50:AD50"/>
    <mergeCell ref="A44:A45"/>
    <mergeCell ref="B44:B45"/>
    <mergeCell ref="Q44:AD45"/>
    <mergeCell ref="A46:A47"/>
    <mergeCell ref="B46:B47"/>
    <mergeCell ref="Q46:AD47"/>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34:A35"/>
    <mergeCell ref="B34:B35"/>
    <mergeCell ref="W34:Z35"/>
    <mergeCell ref="AA34:AD35"/>
    <mergeCell ref="Q34:S35"/>
    <mergeCell ref="Q33:S33"/>
    <mergeCell ref="T33:V33"/>
    <mergeCell ref="T34:V35"/>
    <mergeCell ref="B30:C30"/>
    <mergeCell ref="Q30:AD30"/>
    <mergeCell ref="A31:AD31"/>
    <mergeCell ref="A32:A33"/>
    <mergeCell ref="B32:B33"/>
    <mergeCell ref="C32:C33"/>
    <mergeCell ref="D32:P32"/>
    <mergeCell ref="Q32:AD32"/>
    <mergeCell ref="W33:Z33"/>
    <mergeCell ref="AA33:AD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R38:AD47 Q38:Q41 Q44:Q47">
      <formula1>2000</formula1>
    </dataValidation>
  </dataValidations>
  <printOptions/>
  <pageMargins left="0.25" right="0.25" top="0.7500000000000001" bottom="0.7500000000000001" header="0.30000000000000004" footer="0.30000000000000004"/>
  <pageSetup fitToHeight="0" fitToWidth="1" horizontalDpi="600" verticalDpi="600" orientation="landscape" scale="19" r:id="rId4"/>
  <drawing r:id="rId3"/>
  <legacyDrawing r:id="rId2"/>
</worksheet>
</file>

<file path=xl/worksheets/sheet13.xml><?xml version="1.0" encoding="utf-8"?>
<worksheet xmlns="http://schemas.openxmlformats.org/spreadsheetml/2006/main" xmlns:r="http://schemas.openxmlformats.org/officeDocument/2006/relationships">
  <sheetPr>
    <tabColor rgb="FF7030A0"/>
  </sheetPr>
  <dimension ref="A4:M31"/>
  <sheetViews>
    <sheetView zoomScale="120" zoomScaleNormal="120" zoomScalePageLayoutView="0" workbookViewId="0" topLeftCell="D1">
      <selection activeCell="F7" sqref="F7:I7"/>
    </sheetView>
  </sheetViews>
  <sheetFormatPr defaultColWidth="11.421875" defaultRowHeight="15"/>
  <cols>
    <col min="1" max="4" width="14.8515625" style="0" customWidth="1"/>
    <col min="5" max="5" width="25.28125" style="0" customWidth="1"/>
    <col min="6" max="12" width="15.7109375" style="0" customWidth="1"/>
    <col min="13" max="13" width="11.421875" style="522" customWidth="1"/>
  </cols>
  <sheetData>
    <row r="4" spans="1:10" s="442" customFormat="1" ht="15">
      <c r="A4" s="511"/>
      <c r="B4" s="511"/>
      <c r="C4" s="511"/>
      <c r="D4" s="511"/>
      <c r="I4" s="522"/>
      <c r="J4" s="522"/>
    </row>
    <row r="5" spans="1:12" s="442" customFormat="1" ht="15">
      <c r="A5" s="511"/>
      <c r="B5" s="511"/>
      <c r="C5" s="511"/>
      <c r="D5" s="422" t="s">
        <v>848</v>
      </c>
      <c r="E5" s="422"/>
      <c r="F5" s="422" t="s">
        <v>41</v>
      </c>
      <c r="G5" s="422" t="s">
        <v>44</v>
      </c>
      <c r="H5" s="422" t="s">
        <v>47</v>
      </c>
      <c r="I5" s="422" t="s">
        <v>48</v>
      </c>
      <c r="J5" s="422" t="s">
        <v>49</v>
      </c>
      <c r="K5" s="422" t="s">
        <v>50</v>
      </c>
      <c r="L5" s="421" t="s">
        <v>8</v>
      </c>
    </row>
    <row r="6" spans="1:12" s="442" customFormat="1" ht="15">
      <c r="A6" s="511"/>
      <c r="B6" s="511"/>
      <c r="C6" s="511"/>
      <c r="D6" s="1117">
        <v>1</v>
      </c>
      <c r="E6" s="512" t="s">
        <v>9</v>
      </c>
      <c r="F6" s="524">
        <v>0.7846666666666667</v>
      </c>
      <c r="G6" s="524">
        <v>0.7361666666666666</v>
      </c>
      <c r="H6" s="524">
        <v>0.7475</v>
      </c>
      <c r="I6" s="524">
        <v>0.2438888888888889</v>
      </c>
      <c r="J6" s="524">
        <v>0.2438888888888889</v>
      </c>
      <c r="K6" s="524">
        <v>0.2438888888888889</v>
      </c>
      <c r="L6" s="513">
        <f>SUM(F6:K6)</f>
        <v>3</v>
      </c>
    </row>
    <row r="7" spans="1:13" s="442" customFormat="1" ht="15">
      <c r="A7" s="511"/>
      <c r="B7" s="511"/>
      <c r="C7" s="511"/>
      <c r="D7" s="1117"/>
      <c r="E7" s="422" t="s">
        <v>10</v>
      </c>
      <c r="F7" s="525">
        <f>+F6*F19</f>
        <v>0.777663125542093</v>
      </c>
      <c r="G7" s="525">
        <f>+G6*G19</f>
        <v>0.7364424935900101</v>
      </c>
      <c r="H7" s="525">
        <f>+H6*H19</f>
        <v>0.7402463312492626</v>
      </c>
      <c r="I7" s="525">
        <f>+I6*I19</f>
        <v>0.25244279211871806</v>
      </c>
      <c r="J7" s="525"/>
      <c r="K7" s="526"/>
      <c r="L7" s="422"/>
      <c r="M7" s="442">
        <v>2</v>
      </c>
    </row>
    <row r="8" spans="1:13" s="442" customFormat="1" ht="15">
      <c r="A8" s="511"/>
      <c r="B8" s="511"/>
      <c r="C8" s="514"/>
      <c r="D8" s="515"/>
      <c r="E8" s="516"/>
      <c r="F8" s="517"/>
      <c r="G8" s="517"/>
      <c r="H8" s="517"/>
      <c r="I8" s="517"/>
      <c r="J8" s="517"/>
      <c r="K8" s="517"/>
      <c r="L8" s="516"/>
      <c r="M8" s="442">
        <v>24</v>
      </c>
    </row>
    <row r="9" spans="1:13" s="442" customFormat="1" ht="15">
      <c r="A9" s="1118"/>
      <c r="B9" s="518"/>
      <c r="C9" s="1119" t="s">
        <v>24</v>
      </c>
      <c r="D9" s="1120">
        <f>D6/3</f>
        <v>0.3333333333333333</v>
      </c>
      <c r="E9" s="512" t="s">
        <v>9</v>
      </c>
      <c r="F9" s="519">
        <f>SUM('Meta 1'!D34:F34)</f>
        <v>0.0425</v>
      </c>
      <c r="G9" s="519">
        <f>SUM('Meta 1'!G34:I34)</f>
        <v>0.0425</v>
      </c>
      <c r="H9" s="519">
        <f>SUM('Meta 1'!J34:L34)</f>
        <v>0.0425</v>
      </c>
      <c r="I9" s="536">
        <v>0.013600000000000001</v>
      </c>
      <c r="J9" s="536">
        <v>0.013600000000000001</v>
      </c>
      <c r="K9" s="536">
        <v>0.015300000000000001</v>
      </c>
      <c r="L9" s="519">
        <f>SUM(F9:K9)</f>
        <v>0.17</v>
      </c>
      <c r="M9" s="442">
        <v>16</v>
      </c>
    </row>
    <row r="10" spans="1:13" s="442" customFormat="1" ht="15">
      <c r="A10" s="1118"/>
      <c r="B10" s="518"/>
      <c r="C10" s="1119"/>
      <c r="D10" s="1121"/>
      <c r="E10" s="422" t="s">
        <v>10</v>
      </c>
      <c r="F10" s="520">
        <f>SUM('Meta 1'!D35:F35)</f>
        <v>0.036995238095238095</v>
      </c>
      <c r="G10" s="520">
        <f>SUM('Meta 1'!G35:I35)</f>
        <v>0.03731904761904763</v>
      </c>
      <c r="H10" s="520">
        <f>SUM('Meta 1'!J35:L35)</f>
        <v>0.0425</v>
      </c>
      <c r="I10" s="520">
        <f>+'Meta 1'!M35</f>
        <v>0.013600000000000001</v>
      </c>
      <c r="J10" s="520"/>
      <c r="K10" s="520"/>
      <c r="L10" s="520"/>
      <c r="M10" s="442">
        <v>17</v>
      </c>
    </row>
    <row r="11" spans="1:13" s="442" customFormat="1" ht="15">
      <c r="A11" s="1118"/>
      <c r="B11" s="518"/>
      <c r="C11" s="1122" t="s">
        <v>25</v>
      </c>
      <c r="D11" s="1120">
        <f>+D6/3</f>
        <v>0.3333333333333333</v>
      </c>
      <c r="E11" s="512" t="s">
        <v>9</v>
      </c>
      <c r="F11" s="519">
        <f>SUM('Metas 2'!D34:F34)</f>
        <v>0.28500000000000003</v>
      </c>
      <c r="G11" s="519">
        <f>SUM('Metas 2'!G34:I34)</f>
        <v>0.23833333333333337</v>
      </c>
      <c r="H11" s="519">
        <f>SUM('Metas 2'!J34:L34)</f>
        <v>0.2416666666666667</v>
      </c>
      <c r="I11" s="536">
        <v>0.07</v>
      </c>
      <c r="J11" s="536">
        <v>0.07</v>
      </c>
      <c r="K11" s="536">
        <v>0.09</v>
      </c>
      <c r="L11" s="519">
        <f>SUM(F11:K11)</f>
        <v>0.9950000000000002</v>
      </c>
      <c r="M11" s="442">
        <v>21</v>
      </c>
    </row>
    <row r="12" spans="1:13" s="442" customFormat="1" ht="15">
      <c r="A12" s="1118"/>
      <c r="B12" s="518"/>
      <c r="C12" s="1123"/>
      <c r="D12" s="1121"/>
      <c r="E12" s="422" t="s">
        <v>10</v>
      </c>
      <c r="F12" s="520">
        <v>0.29</v>
      </c>
      <c r="G12" s="520">
        <f>SUM('Metas 2'!G35:I35)</f>
        <v>0.2383222222222222</v>
      </c>
      <c r="H12" s="520">
        <f>SUM('Metas 2'!J35:L35)</f>
        <v>0.24331666666666668</v>
      </c>
      <c r="I12" s="520">
        <f>+'Metas 2'!M35</f>
        <v>0.07388888888888889</v>
      </c>
      <c r="J12" s="520"/>
      <c r="K12" s="520"/>
      <c r="L12" s="520"/>
      <c r="M12" s="442">
        <f>SUM(M7:M11)</f>
        <v>80</v>
      </c>
    </row>
    <row r="13" spans="1:12" s="442" customFormat="1" ht="15">
      <c r="A13" s="1118"/>
      <c r="B13" s="518"/>
      <c r="C13" s="1122" t="s">
        <v>26</v>
      </c>
      <c r="D13" s="1120">
        <f>+D6/3</f>
        <v>0.3333333333333333</v>
      </c>
      <c r="E13" s="512" t="s">
        <v>9</v>
      </c>
      <c r="F13" s="519">
        <f>SUM('Meta 3'!D34:F34)</f>
        <v>0.24615384615384617</v>
      </c>
      <c r="G13" s="519">
        <f>SUM('Meta 3'!G34:I34)</f>
        <v>0.2330769230769231</v>
      </c>
      <c r="H13" s="519">
        <f>SUM('Meta 3'!J34:L34)</f>
        <v>0.25923076923076926</v>
      </c>
      <c r="I13" s="519">
        <v>0.09307692307692308</v>
      </c>
      <c r="J13" s="519">
        <v>0.08</v>
      </c>
      <c r="K13" s="519">
        <v>0.08846153846153847</v>
      </c>
      <c r="L13" s="519">
        <f>SUM(F13:K13)</f>
        <v>1</v>
      </c>
    </row>
    <row r="14" spans="1:12" s="442" customFormat="1" ht="15">
      <c r="A14" s="1118"/>
      <c r="B14" s="518"/>
      <c r="C14" s="1123"/>
      <c r="D14" s="1121"/>
      <c r="E14" s="422" t="s">
        <v>10</v>
      </c>
      <c r="F14" s="520">
        <f>SUM('Meta 3'!D35:F35)</f>
        <v>0.24153846153846154</v>
      </c>
      <c r="G14" s="520">
        <f>SUM('Meta 3'!G35:I35)</f>
        <v>0.2384615384615385</v>
      </c>
      <c r="H14" s="520">
        <f>SUM('Meta 3'!J35:L35)</f>
        <v>0.25230769230769234</v>
      </c>
      <c r="I14" s="520">
        <f>+'Meta 3'!M35</f>
        <v>0.09538461538461539</v>
      </c>
      <c r="J14" s="520"/>
      <c r="K14" s="520"/>
      <c r="L14" s="520"/>
    </row>
    <row r="16" spans="6:13" ht="15">
      <c r="F16" s="521">
        <f aca="true" t="shared" si="0" ref="F16:K17">SUM(F9+F11+F13)</f>
        <v>0.5736538461538462</v>
      </c>
      <c r="G16" s="521">
        <f t="shared" si="0"/>
        <v>0.5139102564102564</v>
      </c>
      <c r="H16" s="521">
        <f>SUM(H9+H11+H13)</f>
        <v>0.5433974358974359</v>
      </c>
      <c r="I16" s="521">
        <f>SUM(I9+I11+I13)</f>
        <v>0.1766769230769231</v>
      </c>
      <c r="J16" s="521"/>
      <c r="K16" s="521">
        <f t="shared" si="0"/>
        <v>0.19376153846153849</v>
      </c>
      <c r="M16" s="442"/>
    </row>
    <row r="17" spans="6:11" ht="15">
      <c r="F17" s="521">
        <f t="shared" si="0"/>
        <v>0.5685336996336996</v>
      </c>
      <c r="G17" s="521">
        <f t="shared" si="0"/>
        <v>0.5141028083028083</v>
      </c>
      <c r="H17" s="521">
        <f t="shared" si="0"/>
        <v>0.538124358974359</v>
      </c>
      <c r="I17" s="521">
        <f>SUM(I10+I12+I14)</f>
        <v>0.1828735042735043</v>
      </c>
      <c r="J17" s="521"/>
      <c r="K17" s="521">
        <f t="shared" si="0"/>
        <v>0</v>
      </c>
    </row>
    <row r="19" spans="6:11" ht="15">
      <c r="F19" s="389">
        <f>+F17/F16</f>
        <v>0.9910745015404753</v>
      </c>
      <c r="G19" s="389">
        <f>+G17/G16</f>
        <v>1.0003746799954858</v>
      </c>
      <c r="H19" s="389">
        <f>+H17/H16</f>
        <v>0.9902960953167392</v>
      </c>
      <c r="I19" s="389">
        <f>+I17/I16</f>
        <v>1.0350729517396184</v>
      </c>
      <c r="J19" s="389"/>
      <c r="K19" s="389">
        <f>+K17/K16</f>
        <v>0</v>
      </c>
    </row>
    <row r="23" ht="15">
      <c r="F23" t="s">
        <v>849</v>
      </c>
    </row>
    <row r="24" ht="15">
      <c r="F24" t="s">
        <v>850</v>
      </c>
    </row>
    <row r="30" spans="6:10" ht="15">
      <c r="F30" s="523">
        <v>0.0788888888888889</v>
      </c>
      <c r="G30" s="523">
        <v>0.11388888888888891</v>
      </c>
      <c r="H30" s="523">
        <v>0.09222222222222223</v>
      </c>
      <c r="I30" s="523"/>
      <c r="J30" s="523"/>
    </row>
    <row r="31" spans="6:10" ht="15">
      <c r="F31" s="523">
        <v>0.07888333333333336</v>
      </c>
      <c r="G31" s="523">
        <v>0.11388333333333335</v>
      </c>
      <c r="H31" s="523">
        <v>0.09221666666666667</v>
      </c>
      <c r="I31" s="523"/>
      <c r="J31" s="523"/>
    </row>
  </sheetData>
  <sheetProtection/>
  <mergeCells count="8">
    <mergeCell ref="D6:D7"/>
    <mergeCell ref="A9:A14"/>
    <mergeCell ref="C9:C10"/>
    <mergeCell ref="D9:D10"/>
    <mergeCell ref="C11:C12"/>
    <mergeCell ref="D11:D12"/>
    <mergeCell ref="C13:C14"/>
    <mergeCell ref="D13:D14"/>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AY21"/>
  <sheetViews>
    <sheetView view="pageBreakPreview" zoomScale="55" zoomScaleNormal="61" zoomScaleSheetLayoutView="55" zoomScalePageLayoutView="0" workbookViewId="0" topLeftCell="AV16">
      <selection activeCell="AV18" sqref="AV18:AY18"/>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34.8515625" style="113" customWidth="1"/>
    <col min="15" max="19" width="8.7109375" style="113" customWidth="1"/>
    <col min="20" max="20" width="22.28125" style="113" customWidth="1"/>
    <col min="21" max="21" width="17.00390625" style="113" customWidth="1"/>
    <col min="22" max="45" width="7.7109375" style="113" customWidth="1"/>
    <col min="46" max="46" width="17.140625" style="113" customWidth="1"/>
    <col min="47" max="47" width="15.8515625" style="217" customWidth="1"/>
    <col min="48" max="49" width="111.28125" style="113" customWidth="1"/>
    <col min="50" max="50" width="70.421875" style="113" customWidth="1"/>
    <col min="51" max="51" width="38.140625" style="113" customWidth="1"/>
    <col min="52" max="16384" width="10.8515625" style="113" customWidth="1"/>
  </cols>
  <sheetData>
    <row r="1" spans="1:51" ht="15.75" customHeight="1">
      <c r="A1" s="777" t="s">
        <v>16</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M1" s="778"/>
      <c r="AN1" s="778"/>
      <c r="AO1" s="778"/>
      <c r="AP1" s="778"/>
      <c r="AQ1" s="778"/>
      <c r="AR1" s="778"/>
      <c r="AS1" s="778"/>
      <c r="AT1" s="778"/>
      <c r="AU1" s="778"/>
      <c r="AV1" s="778"/>
      <c r="AW1" s="779"/>
      <c r="AX1" s="726" t="s">
        <v>423</v>
      </c>
      <c r="AY1" s="727"/>
    </row>
    <row r="2" spans="1:51" ht="15.75" customHeight="1">
      <c r="A2" s="786" t="s">
        <v>17</v>
      </c>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c r="AI2" s="787"/>
      <c r="AJ2" s="787"/>
      <c r="AK2" s="787"/>
      <c r="AL2" s="787"/>
      <c r="AM2" s="787"/>
      <c r="AN2" s="787"/>
      <c r="AO2" s="787"/>
      <c r="AP2" s="787"/>
      <c r="AQ2" s="787"/>
      <c r="AR2" s="787"/>
      <c r="AS2" s="787"/>
      <c r="AT2" s="787"/>
      <c r="AU2" s="787"/>
      <c r="AV2" s="787"/>
      <c r="AW2" s="788"/>
      <c r="AX2" s="774" t="s">
        <v>418</v>
      </c>
      <c r="AY2" s="775"/>
    </row>
    <row r="3" spans="1:51" ht="15" customHeight="1">
      <c r="A3" s="789" t="s">
        <v>195</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c r="AM3" s="790"/>
      <c r="AN3" s="790"/>
      <c r="AO3" s="790"/>
      <c r="AP3" s="790"/>
      <c r="AQ3" s="790"/>
      <c r="AR3" s="790"/>
      <c r="AS3" s="790"/>
      <c r="AT3" s="790"/>
      <c r="AU3" s="790"/>
      <c r="AV3" s="790"/>
      <c r="AW3" s="791"/>
      <c r="AX3" s="774" t="s">
        <v>424</v>
      </c>
      <c r="AY3" s="775"/>
    </row>
    <row r="4" spans="1:51" ht="15.75" customHeight="1">
      <c r="A4" s="777"/>
      <c r="B4" s="778"/>
      <c r="C4" s="778"/>
      <c r="D4" s="778"/>
      <c r="E4" s="778"/>
      <c r="F4" s="778"/>
      <c r="G4" s="778"/>
      <c r="H4" s="778"/>
      <c r="I4" s="778"/>
      <c r="J4" s="778"/>
      <c r="K4" s="778"/>
      <c r="L4" s="778"/>
      <c r="M4" s="778"/>
      <c r="N4" s="778"/>
      <c r="O4" s="778"/>
      <c r="P4" s="778"/>
      <c r="Q4" s="778"/>
      <c r="R4" s="778"/>
      <c r="S4" s="778"/>
      <c r="T4" s="778"/>
      <c r="U4" s="778"/>
      <c r="V4" s="778"/>
      <c r="W4" s="778"/>
      <c r="X4" s="778"/>
      <c r="Y4" s="778"/>
      <c r="Z4" s="778"/>
      <c r="AA4" s="778"/>
      <c r="AB4" s="778"/>
      <c r="AC4" s="778"/>
      <c r="AD4" s="778"/>
      <c r="AE4" s="778"/>
      <c r="AF4" s="778"/>
      <c r="AG4" s="778"/>
      <c r="AH4" s="778"/>
      <c r="AI4" s="778"/>
      <c r="AJ4" s="778"/>
      <c r="AK4" s="778"/>
      <c r="AL4" s="778"/>
      <c r="AM4" s="778"/>
      <c r="AN4" s="778"/>
      <c r="AO4" s="778"/>
      <c r="AP4" s="778"/>
      <c r="AQ4" s="778"/>
      <c r="AR4" s="778"/>
      <c r="AS4" s="778"/>
      <c r="AT4" s="778"/>
      <c r="AU4" s="778"/>
      <c r="AV4" s="778"/>
      <c r="AW4" s="779"/>
      <c r="AX4" s="776" t="s">
        <v>778</v>
      </c>
      <c r="AY4" s="776"/>
    </row>
    <row r="5" spans="1:51" ht="15" customHeight="1">
      <c r="A5" s="780" t="s">
        <v>174</v>
      </c>
      <c r="B5" s="781"/>
      <c r="C5" s="781"/>
      <c r="D5" s="806"/>
      <c r="E5" s="806"/>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2"/>
      <c r="AH5" s="805" t="s">
        <v>69</v>
      </c>
      <c r="AI5" s="806"/>
      <c r="AJ5" s="806"/>
      <c r="AK5" s="806"/>
      <c r="AL5" s="806"/>
      <c r="AM5" s="806"/>
      <c r="AN5" s="806"/>
      <c r="AO5" s="806"/>
      <c r="AP5" s="806"/>
      <c r="AQ5" s="806"/>
      <c r="AR5" s="806"/>
      <c r="AS5" s="806"/>
      <c r="AT5" s="806"/>
      <c r="AU5" s="807"/>
      <c r="AV5" s="795" t="s">
        <v>409</v>
      </c>
      <c r="AW5" s="795" t="s">
        <v>410</v>
      </c>
      <c r="AX5" s="795" t="s">
        <v>298</v>
      </c>
      <c r="AY5" s="795" t="s">
        <v>299</v>
      </c>
    </row>
    <row r="6" spans="1:51" ht="15" customHeight="1">
      <c r="A6" s="814" t="s">
        <v>71</v>
      </c>
      <c r="B6" s="814"/>
      <c r="C6" s="780"/>
      <c r="D6" s="1124" t="s">
        <v>861</v>
      </c>
      <c r="E6" s="1125"/>
      <c r="F6" s="806" t="s">
        <v>67</v>
      </c>
      <c r="G6" s="807"/>
      <c r="H6" s="804" t="s">
        <v>70</v>
      </c>
      <c r="I6" s="804"/>
      <c r="J6" s="128"/>
      <c r="K6" s="805"/>
      <c r="L6" s="806"/>
      <c r="M6" s="806"/>
      <c r="N6" s="806"/>
      <c r="O6" s="806"/>
      <c r="P6" s="806"/>
      <c r="Q6" s="806"/>
      <c r="R6" s="806"/>
      <c r="S6" s="806"/>
      <c r="T6" s="806"/>
      <c r="U6" s="806"/>
      <c r="V6" s="114"/>
      <c r="W6" s="114"/>
      <c r="X6" s="114"/>
      <c r="Y6" s="114"/>
      <c r="Z6" s="114"/>
      <c r="AA6" s="114"/>
      <c r="AB6" s="114"/>
      <c r="AC6" s="114"/>
      <c r="AD6" s="114"/>
      <c r="AE6" s="114"/>
      <c r="AF6" s="114"/>
      <c r="AG6" s="115"/>
      <c r="AH6" s="808"/>
      <c r="AI6" s="809"/>
      <c r="AJ6" s="809"/>
      <c r="AK6" s="809"/>
      <c r="AL6" s="809"/>
      <c r="AM6" s="809"/>
      <c r="AN6" s="809"/>
      <c r="AO6" s="809"/>
      <c r="AP6" s="809"/>
      <c r="AQ6" s="809"/>
      <c r="AR6" s="809"/>
      <c r="AS6" s="809"/>
      <c r="AT6" s="809"/>
      <c r="AU6" s="810"/>
      <c r="AV6" s="803"/>
      <c r="AW6" s="803"/>
      <c r="AX6" s="803"/>
      <c r="AY6" s="803"/>
    </row>
    <row r="7" spans="1:51" ht="15" customHeight="1">
      <c r="A7" s="814"/>
      <c r="B7" s="814"/>
      <c r="C7" s="780"/>
      <c r="D7" s="1125"/>
      <c r="E7" s="1125"/>
      <c r="F7" s="809"/>
      <c r="G7" s="810"/>
      <c r="H7" s="804" t="s">
        <v>68</v>
      </c>
      <c r="I7" s="804"/>
      <c r="J7" s="128"/>
      <c r="K7" s="808"/>
      <c r="L7" s="809"/>
      <c r="M7" s="809"/>
      <c r="N7" s="809"/>
      <c r="O7" s="809"/>
      <c r="P7" s="809"/>
      <c r="Q7" s="809"/>
      <c r="R7" s="809"/>
      <c r="S7" s="809"/>
      <c r="T7" s="809"/>
      <c r="U7" s="809"/>
      <c r="V7" s="116"/>
      <c r="W7" s="116"/>
      <c r="X7" s="116"/>
      <c r="Y7" s="116"/>
      <c r="Z7" s="116"/>
      <c r="AA7" s="116"/>
      <c r="AB7" s="116"/>
      <c r="AC7" s="116"/>
      <c r="AD7" s="116"/>
      <c r="AE7" s="116"/>
      <c r="AF7" s="116"/>
      <c r="AG7" s="117"/>
      <c r="AH7" s="808"/>
      <c r="AI7" s="809"/>
      <c r="AJ7" s="809"/>
      <c r="AK7" s="809"/>
      <c r="AL7" s="809"/>
      <c r="AM7" s="809"/>
      <c r="AN7" s="809"/>
      <c r="AO7" s="809"/>
      <c r="AP7" s="809"/>
      <c r="AQ7" s="809"/>
      <c r="AR7" s="809"/>
      <c r="AS7" s="809"/>
      <c r="AT7" s="809"/>
      <c r="AU7" s="810"/>
      <c r="AV7" s="803"/>
      <c r="AW7" s="803"/>
      <c r="AX7" s="803"/>
      <c r="AY7" s="803"/>
    </row>
    <row r="8" spans="1:51" ht="15" customHeight="1">
      <c r="A8" s="814"/>
      <c r="B8" s="814"/>
      <c r="C8" s="780"/>
      <c r="D8" s="1125"/>
      <c r="E8" s="1125"/>
      <c r="F8" s="812"/>
      <c r="G8" s="813"/>
      <c r="H8" s="804" t="s">
        <v>69</v>
      </c>
      <c r="I8" s="804"/>
      <c r="J8" s="128" t="s">
        <v>425</v>
      </c>
      <c r="K8" s="811"/>
      <c r="L8" s="812"/>
      <c r="M8" s="812"/>
      <c r="N8" s="812"/>
      <c r="O8" s="812"/>
      <c r="P8" s="812"/>
      <c r="Q8" s="812"/>
      <c r="R8" s="812"/>
      <c r="S8" s="812"/>
      <c r="T8" s="812"/>
      <c r="U8" s="812"/>
      <c r="V8" s="118"/>
      <c r="W8" s="118"/>
      <c r="X8" s="118"/>
      <c r="Y8" s="118"/>
      <c r="Z8" s="118"/>
      <c r="AA8" s="118"/>
      <c r="AB8" s="118"/>
      <c r="AC8" s="118"/>
      <c r="AD8" s="118"/>
      <c r="AE8" s="118"/>
      <c r="AF8" s="118"/>
      <c r="AG8" s="119"/>
      <c r="AH8" s="808"/>
      <c r="AI8" s="809"/>
      <c r="AJ8" s="809"/>
      <c r="AK8" s="809"/>
      <c r="AL8" s="809"/>
      <c r="AM8" s="809"/>
      <c r="AN8" s="809"/>
      <c r="AO8" s="809"/>
      <c r="AP8" s="809"/>
      <c r="AQ8" s="809"/>
      <c r="AR8" s="809"/>
      <c r="AS8" s="809"/>
      <c r="AT8" s="809"/>
      <c r="AU8" s="810"/>
      <c r="AV8" s="803"/>
      <c r="AW8" s="803"/>
      <c r="AX8" s="803"/>
      <c r="AY8" s="803"/>
    </row>
    <row r="9" spans="1:51" ht="15" customHeight="1">
      <c r="A9" s="783" t="s">
        <v>399</v>
      </c>
      <c r="B9" s="784"/>
      <c r="C9" s="785"/>
      <c r="D9" s="819"/>
      <c r="E9" s="820"/>
      <c r="F9" s="820"/>
      <c r="G9" s="820"/>
      <c r="H9" s="820"/>
      <c r="I9" s="820"/>
      <c r="J9" s="820"/>
      <c r="K9" s="821"/>
      <c r="L9" s="821"/>
      <c r="M9" s="821"/>
      <c r="N9" s="821"/>
      <c r="O9" s="821"/>
      <c r="P9" s="821"/>
      <c r="Q9" s="821"/>
      <c r="R9" s="821"/>
      <c r="S9" s="821"/>
      <c r="T9" s="821"/>
      <c r="U9" s="821"/>
      <c r="V9" s="821"/>
      <c r="W9" s="821"/>
      <c r="X9" s="821"/>
      <c r="Y9" s="821"/>
      <c r="Z9" s="821"/>
      <c r="AA9" s="821"/>
      <c r="AB9" s="821"/>
      <c r="AC9" s="821"/>
      <c r="AD9" s="821"/>
      <c r="AE9" s="821"/>
      <c r="AF9" s="821"/>
      <c r="AG9" s="822"/>
      <c r="AH9" s="808"/>
      <c r="AI9" s="809"/>
      <c r="AJ9" s="809"/>
      <c r="AK9" s="809"/>
      <c r="AL9" s="809"/>
      <c r="AM9" s="809"/>
      <c r="AN9" s="809"/>
      <c r="AO9" s="809"/>
      <c r="AP9" s="809"/>
      <c r="AQ9" s="809"/>
      <c r="AR9" s="809"/>
      <c r="AS9" s="809"/>
      <c r="AT9" s="809"/>
      <c r="AU9" s="810"/>
      <c r="AV9" s="803"/>
      <c r="AW9" s="803"/>
      <c r="AX9" s="803"/>
      <c r="AY9" s="803"/>
    </row>
    <row r="10" spans="1:51" ht="15" customHeight="1">
      <c r="A10" s="816" t="s">
        <v>287</v>
      </c>
      <c r="B10" s="817"/>
      <c r="C10" s="818"/>
      <c r="D10" s="823" t="s">
        <v>500</v>
      </c>
      <c r="E10" s="821"/>
      <c r="F10" s="821"/>
      <c r="G10" s="821"/>
      <c r="H10" s="821"/>
      <c r="I10" s="821"/>
      <c r="J10" s="821"/>
      <c r="K10" s="821"/>
      <c r="L10" s="821"/>
      <c r="M10" s="821"/>
      <c r="N10" s="821"/>
      <c r="O10" s="821"/>
      <c r="P10" s="821"/>
      <c r="Q10" s="821"/>
      <c r="R10" s="821"/>
      <c r="S10" s="821"/>
      <c r="T10" s="821"/>
      <c r="U10" s="821"/>
      <c r="V10" s="821"/>
      <c r="W10" s="821"/>
      <c r="X10" s="821"/>
      <c r="Y10" s="821"/>
      <c r="Z10" s="821"/>
      <c r="AA10" s="821"/>
      <c r="AB10" s="821"/>
      <c r="AC10" s="821"/>
      <c r="AD10" s="821"/>
      <c r="AE10" s="821"/>
      <c r="AF10" s="821"/>
      <c r="AG10" s="822"/>
      <c r="AH10" s="811"/>
      <c r="AI10" s="812"/>
      <c r="AJ10" s="812"/>
      <c r="AK10" s="812"/>
      <c r="AL10" s="812"/>
      <c r="AM10" s="812"/>
      <c r="AN10" s="812"/>
      <c r="AO10" s="812"/>
      <c r="AP10" s="812"/>
      <c r="AQ10" s="812"/>
      <c r="AR10" s="812"/>
      <c r="AS10" s="812"/>
      <c r="AT10" s="812"/>
      <c r="AU10" s="813"/>
      <c r="AV10" s="803"/>
      <c r="AW10" s="803"/>
      <c r="AX10" s="803"/>
      <c r="AY10" s="803"/>
    </row>
    <row r="11" spans="1:51" ht="39.75" customHeight="1">
      <c r="A11" s="792" t="s">
        <v>168</v>
      </c>
      <c r="B11" s="797"/>
      <c r="C11" s="797"/>
      <c r="D11" s="797"/>
      <c r="E11" s="797"/>
      <c r="F11" s="793"/>
      <c r="G11" s="792" t="s">
        <v>278</v>
      </c>
      <c r="H11" s="793"/>
      <c r="I11" s="795" t="s">
        <v>179</v>
      </c>
      <c r="J11" s="795" t="s">
        <v>279</v>
      </c>
      <c r="K11" s="795" t="s">
        <v>323</v>
      </c>
      <c r="L11" s="795" t="s">
        <v>363</v>
      </c>
      <c r="M11" s="795" t="s">
        <v>167</v>
      </c>
      <c r="N11" s="795" t="s">
        <v>182</v>
      </c>
      <c r="O11" s="792" t="s">
        <v>284</v>
      </c>
      <c r="P11" s="797"/>
      <c r="Q11" s="797"/>
      <c r="R11" s="797"/>
      <c r="S11" s="793"/>
      <c r="T11" s="795" t="s">
        <v>173</v>
      </c>
      <c r="U11" s="795" t="s">
        <v>285</v>
      </c>
      <c r="V11" s="780" t="s">
        <v>370</v>
      </c>
      <c r="W11" s="781"/>
      <c r="X11" s="781"/>
      <c r="Y11" s="781"/>
      <c r="Z11" s="781"/>
      <c r="AA11" s="781"/>
      <c r="AB11" s="781"/>
      <c r="AC11" s="781"/>
      <c r="AD11" s="781"/>
      <c r="AE11" s="781"/>
      <c r="AF11" s="781"/>
      <c r="AG11" s="782"/>
      <c r="AH11" s="780" t="s">
        <v>87</v>
      </c>
      <c r="AI11" s="781"/>
      <c r="AJ11" s="781"/>
      <c r="AK11" s="781"/>
      <c r="AL11" s="781"/>
      <c r="AM11" s="781"/>
      <c r="AN11" s="781"/>
      <c r="AO11" s="781"/>
      <c r="AP11" s="781"/>
      <c r="AQ11" s="781"/>
      <c r="AR11" s="781"/>
      <c r="AS11" s="782"/>
      <c r="AT11" s="792" t="s">
        <v>8</v>
      </c>
      <c r="AU11" s="793"/>
      <c r="AV11" s="803"/>
      <c r="AW11" s="803"/>
      <c r="AX11" s="803"/>
      <c r="AY11" s="803"/>
    </row>
    <row r="12" spans="1:51" ht="42.75">
      <c r="A12" s="292" t="s">
        <v>169</v>
      </c>
      <c r="B12" s="292" t="s">
        <v>170</v>
      </c>
      <c r="C12" s="292" t="s">
        <v>171</v>
      </c>
      <c r="D12" s="292" t="s">
        <v>178</v>
      </c>
      <c r="E12" s="292" t="s">
        <v>185</v>
      </c>
      <c r="F12" s="292" t="s">
        <v>186</v>
      </c>
      <c r="G12" s="292" t="s">
        <v>277</v>
      </c>
      <c r="H12" s="292" t="s">
        <v>184</v>
      </c>
      <c r="I12" s="796"/>
      <c r="J12" s="796"/>
      <c r="K12" s="796"/>
      <c r="L12" s="796"/>
      <c r="M12" s="796"/>
      <c r="N12" s="796"/>
      <c r="O12" s="292">
        <v>2020</v>
      </c>
      <c r="P12" s="292">
        <v>2021</v>
      </c>
      <c r="Q12" s="292">
        <v>2022</v>
      </c>
      <c r="R12" s="292">
        <v>2023</v>
      </c>
      <c r="S12" s="292">
        <v>2024</v>
      </c>
      <c r="T12" s="796"/>
      <c r="U12" s="796"/>
      <c r="V12" s="230" t="s">
        <v>39</v>
      </c>
      <c r="W12" s="230" t="s">
        <v>40</v>
      </c>
      <c r="X12" s="230" t="s">
        <v>41</v>
      </c>
      <c r="Y12" s="230" t="s">
        <v>42</v>
      </c>
      <c r="Z12" s="230" t="s">
        <v>43</v>
      </c>
      <c r="AA12" s="230" t="s">
        <v>44</v>
      </c>
      <c r="AB12" s="230" t="s">
        <v>45</v>
      </c>
      <c r="AC12" s="230" t="s">
        <v>46</v>
      </c>
      <c r="AD12" s="230" t="s">
        <v>47</v>
      </c>
      <c r="AE12" s="230" t="s">
        <v>48</v>
      </c>
      <c r="AF12" s="230" t="s">
        <v>49</v>
      </c>
      <c r="AG12" s="230" t="s">
        <v>50</v>
      </c>
      <c r="AH12" s="230" t="s">
        <v>39</v>
      </c>
      <c r="AI12" s="230" t="s">
        <v>40</v>
      </c>
      <c r="AJ12" s="230" t="s">
        <v>41</v>
      </c>
      <c r="AK12" s="230" t="s">
        <v>42</v>
      </c>
      <c r="AL12" s="230" t="s">
        <v>43</v>
      </c>
      <c r="AM12" s="230" t="s">
        <v>44</v>
      </c>
      <c r="AN12" s="230" t="s">
        <v>45</v>
      </c>
      <c r="AO12" s="230" t="s">
        <v>46</v>
      </c>
      <c r="AP12" s="230" t="s">
        <v>47</v>
      </c>
      <c r="AQ12" s="230" t="s">
        <v>48</v>
      </c>
      <c r="AR12" s="230" t="s">
        <v>49</v>
      </c>
      <c r="AS12" s="230" t="s">
        <v>50</v>
      </c>
      <c r="AT12" s="292" t="s">
        <v>413</v>
      </c>
      <c r="AU12" s="216" t="s">
        <v>88</v>
      </c>
      <c r="AV12" s="796"/>
      <c r="AW12" s="796"/>
      <c r="AX12" s="796"/>
      <c r="AY12" s="796"/>
    </row>
    <row r="13" spans="1:51" ht="409.5" customHeight="1">
      <c r="A13" s="121">
        <v>518</v>
      </c>
      <c r="B13" s="121"/>
      <c r="C13" s="121"/>
      <c r="D13" s="121"/>
      <c r="E13" s="121"/>
      <c r="F13" s="121"/>
      <c r="G13" s="122"/>
      <c r="H13" s="121"/>
      <c r="I13" s="152" t="s">
        <v>645</v>
      </c>
      <c r="J13" s="152" t="s">
        <v>646</v>
      </c>
      <c r="K13" s="396" t="s">
        <v>430</v>
      </c>
      <c r="L13" s="121">
        <v>3</v>
      </c>
      <c r="M13" s="122" t="s">
        <v>647</v>
      </c>
      <c r="N13" s="122" t="s">
        <v>648</v>
      </c>
      <c r="O13" s="238"/>
      <c r="P13" s="238"/>
      <c r="Q13" s="238"/>
      <c r="R13" s="238">
        <v>3</v>
      </c>
      <c r="S13" s="238"/>
      <c r="T13" s="235" t="s">
        <v>433</v>
      </c>
      <c r="U13" s="235" t="s">
        <v>649</v>
      </c>
      <c r="V13" s="358"/>
      <c r="W13" s="358"/>
      <c r="X13" s="359">
        <f>(('[1]Meta 1'!D34+'[1]Meta 1'!E34+'[1]Meta 1'!F34)/'[1]Meta 1'!P34)+(('[1]Meta 2'!D34+'[1]Meta 2'!E34+'[1]Meta 2'!F34)/'[1]Meta 2'!P34)+(('[1]Meta 3'!D34+'[1]Meta 3'!E34+'[1]Meta 3'!F34)/'[1]Meta 3'!P34)</f>
        <v>0.7846666666666667</v>
      </c>
      <c r="Y13" s="358"/>
      <c r="Z13" s="360"/>
      <c r="AA13" s="359">
        <f>+(('[1]Meta 1'!G34+'[1]Meta 1'!H34+'[1]Meta 1'!I34)/'[1]Meta 1'!P34)+(('[1]Meta 2'!G34+'[1]Meta 2'!H34+'[1]Meta 2'!I34)/'[1]Meta 2'!P34)+(('[1]Meta 3'!G34+'[1]Meta 3'!H34+'[1]Meta 3'!I34)/'[1]Meta 3'!P34)</f>
        <v>0.7361666666666666</v>
      </c>
      <c r="AB13" s="492"/>
      <c r="AC13" s="492"/>
      <c r="AD13" s="359">
        <f>(('[1]Meta 1'!J34+'[1]Meta 1'!K34+'[1]Meta 1'!L34)/'[1]Meta 1'!P34)+(('[1]Meta 2'!J34+'[1]Meta 2'!K34+'[1]Meta 2'!L34)/'[1]Meta 2'!P34)+(('[1]Meta 3'!J34+'[1]Meta 3'!K34+'[1]Meta 3'!L34)/'[1]Meta 3'!P34)</f>
        <v>0.7475</v>
      </c>
      <c r="AE13" s="492"/>
      <c r="AF13" s="492"/>
      <c r="AG13" s="359">
        <f>(('[1]Meta 1'!M34+'[1]Meta 1'!N34+'[1]Meta 1'!O34)/'[1]Meta 1'!P34)+(('[1]Meta 2'!M34+'[1]Meta 2'!N34+'[1]Meta 2'!O34)/'[1]Meta 2'!P34)+(('[1]Meta 3'!M34+'[1]Meta 3'!N34+'[1]Meta 3'!O34)/'[1]Meta 3'!P34)</f>
        <v>0.7316666666666667</v>
      </c>
      <c r="AH13" s="504"/>
      <c r="AI13" s="504"/>
      <c r="AJ13" s="471">
        <v>0.78</v>
      </c>
      <c r="AK13" s="504"/>
      <c r="AL13" s="504"/>
      <c r="AM13" s="471">
        <v>0.74</v>
      </c>
      <c r="AN13" s="471"/>
      <c r="AO13" s="471"/>
      <c r="AP13" s="471">
        <v>0.75</v>
      </c>
      <c r="AQ13" s="124">
        <f>+AG13/3</f>
        <v>0.2438888888888889</v>
      </c>
      <c r="AR13" s="124"/>
      <c r="AS13" s="124"/>
      <c r="AT13" s="440">
        <f aca="true" t="shared" si="0" ref="AT13:AT18">SUM(AH13:AS13)</f>
        <v>2.513888888888889</v>
      </c>
      <c r="AU13" s="127">
        <f aca="true" t="shared" si="1" ref="AU13:AU18">+AT13/R13</f>
        <v>0.8379629629629629</v>
      </c>
      <c r="AV13" s="473" t="s">
        <v>869</v>
      </c>
      <c r="AW13" s="473" t="s">
        <v>870</v>
      </c>
      <c r="AX13" s="467"/>
      <c r="AY13" s="467"/>
    </row>
    <row r="14" spans="1:51" ht="237.75" customHeight="1">
      <c r="A14" s="121"/>
      <c r="B14" s="121"/>
      <c r="C14" s="121"/>
      <c r="D14" s="121"/>
      <c r="E14" s="121" t="s">
        <v>425</v>
      </c>
      <c r="F14" s="121"/>
      <c r="G14" s="122" t="s">
        <v>650</v>
      </c>
      <c r="H14" s="121"/>
      <c r="I14" s="152" t="s">
        <v>651</v>
      </c>
      <c r="J14" s="152" t="s">
        <v>652</v>
      </c>
      <c r="K14" s="122" t="s">
        <v>430</v>
      </c>
      <c r="L14" s="121"/>
      <c r="M14" s="122" t="s">
        <v>437</v>
      </c>
      <c r="N14" s="122" t="s">
        <v>653</v>
      </c>
      <c r="O14" s="238"/>
      <c r="P14" s="238"/>
      <c r="Q14" s="238"/>
      <c r="R14" s="238">
        <v>11</v>
      </c>
      <c r="S14" s="238"/>
      <c r="T14" s="235" t="s">
        <v>439</v>
      </c>
      <c r="U14" s="235" t="s">
        <v>654</v>
      </c>
      <c r="V14" s="358"/>
      <c r="W14" s="358"/>
      <c r="X14" s="361">
        <v>11</v>
      </c>
      <c r="Y14" s="358"/>
      <c r="Z14" s="360"/>
      <c r="AA14" s="359"/>
      <c r="AB14" s="492"/>
      <c r="AC14" s="492"/>
      <c r="AD14" s="359"/>
      <c r="AE14" s="492"/>
      <c r="AF14" s="492"/>
      <c r="AG14" s="359"/>
      <c r="AH14" s="471">
        <v>11</v>
      </c>
      <c r="AI14" s="471"/>
      <c r="AJ14" s="471"/>
      <c r="AK14" s="471"/>
      <c r="AL14" s="471"/>
      <c r="AM14" s="471"/>
      <c r="AN14" s="471"/>
      <c r="AO14" s="471"/>
      <c r="AP14" s="471"/>
      <c r="AQ14" s="124"/>
      <c r="AR14" s="124"/>
      <c r="AS14" s="124"/>
      <c r="AT14" s="124">
        <f t="shared" si="0"/>
        <v>11</v>
      </c>
      <c r="AU14" s="127">
        <f t="shared" si="1"/>
        <v>1</v>
      </c>
      <c r="AV14" s="473" t="s">
        <v>901</v>
      </c>
      <c r="AW14" s="490" t="s">
        <v>902</v>
      </c>
      <c r="AX14" s="412" t="s">
        <v>450</v>
      </c>
      <c r="AY14" s="412" t="s">
        <v>450</v>
      </c>
    </row>
    <row r="15" spans="1:51" ht="242.25" customHeight="1">
      <c r="A15" s="121"/>
      <c r="B15" s="121"/>
      <c r="C15" s="121"/>
      <c r="D15" s="121"/>
      <c r="E15" s="121" t="s">
        <v>425</v>
      </c>
      <c r="F15" s="121"/>
      <c r="G15" s="122" t="s">
        <v>650</v>
      </c>
      <c r="H15" s="121"/>
      <c r="I15" s="362" t="s">
        <v>655</v>
      </c>
      <c r="J15" s="362" t="s">
        <v>656</v>
      </c>
      <c r="K15" s="363" t="s">
        <v>430</v>
      </c>
      <c r="L15" s="121"/>
      <c r="M15" s="363" t="s">
        <v>437</v>
      </c>
      <c r="N15" s="122" t="s">
        <v>657</v>
      </c>
      <c r="O15" s="238"/>
      <c r="P15" s="238"/>
      <c r="Q15" s="238"/>
      <c r="R15" s="238">
        <v>132</v>
      </c>
      <c r="S15" s="238"/>
      <c r="T15" s="235" t="s">
        <v>460</v>
      </c>
      <c r="U15" s="235" t="s">
        <v>658</v>
      </c>
      <c r="V15" s="418">
        <v>11</v>
      </c>
      <c r="W15" s="418">
        <v>11</v>
      </c>
      <c r="X15" s="418">
        <v>11</v>
      </c>
      <c r="Y15" s="418">
        <v>11</v>
      </c>
      <c r="Z15" s="418">
        <v>11</v>
      </c>
      <c r="AA15" s="418">
        <v>11</v>
      </c>
      <c r="AB15" s="418">
        <v>11</v>
      </c>
      <c r="AC15" s="418">
        <v>11</v>
      </c>
      <c r="AD15" s="418">
        <v>11</v>
      </c>
      <c r="AE15" s="418">
        <v>11</v>
      </c>
      <c r="AF15" s="418">
        <v>11</v>
      </c>
      <c r="AG15" s="418">
        <v>11</v>
      </c>
      <c r="AH15" s="465">
        <v>11</v>
      </c>
      <c r="AI15" s="471">
        <v>11</v>
      </c>
      <c r="AJ15" s="471">
        <v>11</v>
      </c>
      <c r="AK15" s="471">
        <v>11</v>
      </c>
      <c r="AL15" s="471">
        <v>11</v>
      </c>
      <c r="AM15" s="471">
        <v>11</v>
      </c>
      <c r="AN15" s="471">
        <v>11</v>
      </c>
      <c r="AO15" s="471">
        <v>11</v>
      </c>
      <c r="AP15" s="471">
        <v>11</v>
      </c>
      <c r="AQ15" s="124">
        <v>11</v>
      </c>
      <c r="AR15" s="124"/>
      <c r="AS15" s="124"/>
      <c r="AT15" s="124">
        <f t="shared" si="0"/>
        <v>110</v>
      </c>
      <c r="AU15" s="127">
        <f t="shared" si="1"/>
        <v>0.8333333333333334</v>
      </c>
      <c r="AV15" s="474" t="s">
        <v>904</v>
      </c>
      <c r="AW15" s="474" t="s">
        <v>905</v>
      </c>
      <c r="AX15" s="467" t="s">
        <v>903</v>
      </c>
      <c r="AY15" s="467" t="s">
        <v>450</v>
      </c>
    </row>
    <row r="16" spans="1:51" ht="184.5" customHeight="1">
      <c r="A16" s="121"/>
      <c r="B16" s="121"/>
      <c r="C16" s="121"/>
      <c r="D16" s="121"/>
      <c r="E16" s="121" t="s">
        <v>425</v>
      </c>
      <c r="F16" s="121"/>
      <c r="G16" s="122" t="s">
        <v>650</v>
      </c>
      <c r="H16" s="121"/>
      <c r="I16" s="152" t="s">
        <v>659</v>
      </c>
      <c r="J16" s="152" t="s">
        <v>660</v>
      </c>
      <c r="K16" s="122" t="s">
        <v>430</v>
      </c>
      <c r="L16" s="121"/>
      <c r="M16" s="122" t="s">
        <v>437</v>
      </c>
      <c r="N16" s="122" t="s">
        <v>815</v>
      </c>
      <c r="O16" s="238"/>
      <c r="P16" s="238"/>
      <c r="Q16" s="238"/>
      <c r="R16" s="238">
        <v>2</v>
      </c>
      <c r="S16" s="238"/>
      <c r="T16" s="235" t="s">
        <v>455</v>
      </c>
      <c r="U16" s="235" t="s">
        <v>661</v>
      </c>
      <c r="V16" s="418">
        <v>1</v>
      </c>
      <c r="W16" s="418"/>
      <c r="X16" s="418"/>
      <c r="Y16" s="418"/>
      <c r="Z16" s="418"/>
      <c r="AA16" s="418"/>
      <c r="AB16" s="418">
        <v>1</v>
      </c>
      <c r="AC16" s="505"/>
      <c r="AD16" s="419"/>
      <c r="AE16" s="505"/>
      <c r="AF16" s="505"/>
      <c r="AG16" s="419"/>
      <c r="AH16" s="465">
        <v>1</v>
      </c>
      <c r="AI16" s="471"/>
      <c r="AJ16" s="471"/>
      <c r="AK16" s="471"/>
      <c r="AL16" s="471"/>
      <c r="AM16" s="471"/>
      <c r="AN16" s="471">
        <v>1</v>
      </c>
      <c r="AO16" s="471"/>
      <c r="AP16" s="471"/>
      <c r="AQ16" s="124"/>
      <c r="AR16" s="124"/>
      <c r="AS16" s="124"/>
      <c r="AT16" s="124">
        <f t="shared" si="0"/>
        <v>2</v>
      </c>
      <c r="AU16" s="127">
        <f t="shared" si="1"/>
        <v>1</v>
      </c>
      <c r="AV16" s="473" t="s">
        <v>901</v>
      </c>
      <c r="AW16" s="474" t="s">
        <v>906</v>
      </c>
      <c r="AX16" s="412" t="s">
        <v>450</v>
      </c>
      <c r="AY16" s="467" t="s">
        <v>450</v>
      </c>
    </row>
    <row r="17" spans="1:51" ht="222.75" customHeight="1">
      <c r="A17" s="121"/>
      <c r="B17" s="121"/>
      <c r="C17" s="121"/>
      <c r="D17" s="121"/>
      <c r="E17" s="121" t="s">
        <v>425</v>
      </c>
      <c r="F17" s="121"/>
      <c r="G17" s="122" t="s">
        <v>650</v>
      </c>
      <c r="H17" s="121"/>
      <c r="I17" s="152" t="s">
        <v>662</v>
      </c>
      <c r="J17" s="152" t="s">
        <v>663</v>
      </c>
      <c r="K17" s="122" t="s">
        <v>430</v>
      </c>
      <c r="L17" s="121"/>
      <c r="M17" s="122" t="s">
        <v>437</v>
      </c>
      <c r="N17" s="122" t="s">
        <v>664</v>
      </c>
      <c r="O17" s="238"/>
      <c r="P17" s="238"/>
      <c r="Q17" s="238"/>
      <c r="R17" s="238">
        <v>1</v>
      </c>
      <c r="S17" s="238"/>
      <c r="T17" s="235" t="s">
        <v>439</v>
      </c>
      <c r="U17" s="235" t="s">
        <v>665</v>
      </c>
      <c r="V17" s="358"/>
      <c r="W17" s="358"/>
      <c r="X17" s="359"/>
      <c r="Y17" s="358"/>
      <c r="Z17" s="360"/>
      <c r="AA17" s="359"/>
      <c r="AB17" s="492"/>
      <c r="AC17" s="492"/>
      <c r="AD17" s="361">
        <v>1</v>
      </c>
      <c r="AE17" s="492"/>
      <c r="AF17" s="492"/>
      <c r="AG17" s="359"/>
      <c r="AH17" s="471"/>
      <c r="AI17" s="471"/>
      <c r="AJ17" s="471"/>
      <c r="AK17" s="471"/>
      <c r="AL17" s="471"/>
      <c r="AM17" s="471"/>
      <c r="AN17" s="471"/>
      <c r="AO17" s="471"/>
      <c r="AP17" s="471">
        <v>1</v>
      </c>
      <c r="AQ17" s="124"/>
      <c r="AR17" s="124"/>
      <c r="AS17" s="124"/>
      <c r="AT17" s="124">
        <f t="shared" si="0"/>
        <v>1</v>
      </c>
      <c r="AU17" s="127">
        <f t="shared" si="1"/>
        <v>1</v>
      </c>
      <c r="AV17" s="473" t="s">
        <v>901</v>
      </c>
      <c r="AW17" s="473" t="s">
        <v>907</v>
      </c>
      <c r="AX17" s="412" t="s">
        <v>450</v>
      </c>
      <c r="AY17" s="467" t="s">
        <v>450</v>
      </c>
    </row>
    <row r="18" spans="1:51" ht="75">
      <c r="A18" s="459"/>
      <c r="B18" s="459"/>
      <c r="C18" s="459"/>
      <c r="D18" s="459"/>
      <c r="E18" s="459" t="s">
        <v>425</v>
      </c>
      <c r="F18" s="459"/>
      <c r="G18" s="460" t="s">
        <v>650</v>
      </c>
      <c r="H18" s="459"/>
      <c r="I18" s="466" t="s">
        <v>896</v>
      </c>
      <c r="J18" s="466" t="s">
        <v>897</v>
      </c>
      <c r="K18" s="460" t="s">
        <v>453</v>
      </c>
      <c r="L18" s="458">
        <v>0.9</v>
      </c>
      <c r="M18" s="460" t="s">
        <v>504</v>
      </c>
      <c r="N18" s="460" t="s">
        <v>898</v>
      </c>
      <c r="O18" s="368"/>
      <c r="P18" s="368"/>
      <c r="Q18" s="368"/>
      <c r="R18" s="537">
        <v>0.9</v>
      </c>
      <c r="S18" s="537"/>
      <c r="T18" s="314" t="s">
        <v>455</v>
      </c>
      <c r="U18" s="314" t="s">
        <v>899</v>
      </c>
      <c r="V18" s="358"/>
      <c r="W18" s="358"/>
      <c r="X18" s="538"/>
      <c r="Y18" s="358"/>
      <c r="Z18" s="360"/>
      <c r="AA18" s="538"/>
      <c r="AB18" s="358"/>
      <c r="AC18" s="358"/>
      <c r="AD18" s="539"/>
      <c r="AE18" s="358"/>
      <c r="AF18" s="358"/>
      <c r="AG18" s="458">
        <v>0.9</v>
      </c>
      <c r="AH18" s="124"/>
      <c r="AI18" s="124"/>
      <c r="AJ18" s="124"/>
      <c r="AK18" s="124"/>
      <c r="AL18" s="124"/>
      <c r="AM18" s="124"/>
      <c r="AN18" s="124"/>
      <c r="AO18" s="124"/>
      <c r="AP18" s="124"/>
      <c r="AQ18" s="124"/>
      <c r="AR18" s="124"/>
      <c r="AS18" s="124"/>
      <c r="AT18" s="124">
        <f t="shared" si="0"/>
        <v>0</v>
      </c>
      <c r="AU18" s="540">
        <f t="shared" si="1"/>
        <v>0</v>
      </c>
      <c r="AV18" s="1195"/>
      <c r="AW18" s="1195"/>
      <c r="AX18" s="1196"/>
      <c r="AY18" s="1196"/>
    </row>
    <row r="19" spans="1:51" ht="54" customHeight="1">
      <c r="A19" s="798" t="s">
        <v>64</v>
      </c>
      <c r="B19" s="798"/>
      <c r="C19" s="798"/>
      <c r="D19" s="794" t="s">
        <v>638</v>
      </c>
      <c r="E19" s="794"/>
      <c r="F19" s="794"/>
      <c r="G19" s="794"/>
      <c r="H19" s="794"/>
      <c r="I19" s="794"/>
      <c r="J19" s="799" t="s">
        <v>300</v>
      </c>
      <c r="K19" s="799"/>
      <c r="L19" s="799"/>
      <c r="M19" s="799"/>
      <c r="N19" s="799"/>
      <c r="O19" s="799"/>
      <c r="P19" s="794" t="s">
        <v>66</v>
      </c>
      <c r="Q19" s="794"/>
      <c r="R19" s="794"/>
      <c r="S19" s="794"/>
      <c r="T19" s="794"/>
      <c r="U19" s="794"/>
      <c r="V19" s="794" t="s">
        <v>66</v>
      </c>
      <c r="W19" s="794"/>
      <c r="X19" s="794"/>
      <c r="Y19" s="794"/>
      <c r="Z19" s="794"/>
      <c r="AA19" s="794"/>
      <c r="AB19" s="794"/>
      <c r="AC19" s="794"/>
      <c r="AD19" s="794" t="s">
        <v>66</v>
      </c>
      <c r="AE19" s="794"/>
      <c r="AF19" s="794"/>
      <c r="AG19" s="794"/>
      <c r="AH19" s="794"/>
      <c r="AI19" s="794"/>
      <c r="AJ19" s="794"/>
      <c r="AK19" s="794"/>
      <c r="AL19" s="794"/>
      <c r="AM19" s="794"/>
      <c r="AN19" s="794"/>
      <c r="AO19" s="794"/>
      <c r="AP19" s="799" t="s">
        <v>318</v>
      </c>
      <c r="AQ19" s="799"/>
      <c r="AR19" s="799"/>
      <c r="AS19" s="799"/>
      <c r="AT19" s="794" t="s">
        <v>13</v>
      </c>
      <c r="AU19" s="794"/>
      <c r="AV19" s="794"/>
      <c r="AW19" s="794"/>
      <c r="AX19" s="794"/>
      <c r="AY19" s="794"/>
    </row>
    <row r="20" spans="1:51" ht="30" customHeight="1">
      <c r="A20" s="798"/>
      <c r="B20" s="798"/>
      <c r="C20" s="798"/>
      <c r="D20" s="794" t="s">
        <v>846</v>
      </c>
      <c r="E20" s="794"/>
      <c r="F20" s="794"/>
      <c r="G20" s="794"/>
      <c r="H20" s="794"/>
      <c r="I20" s="794"/>
      <c r="J20" s="799"/>
      <c r="K20" s="799"/>
      <c r="L20" s="799"/>
      <c r="M20" s="799"/>
      <c r="N20" s="799"/>
      <c r="O20" s="799"/>
      <c r="P20" s="794" t="s">
        <v>641</v>
      </c>
      <c r="Q20" s="794"/>
      <c r="R20" s="794"/>
      <c r="S20" s="794"/>
      <c r="T20" s="794"/>
      <c r="U20" s="794"/>
      <c r="V20" s="794" t="s">
        <v>769</v>
      </c>
      <c r="W20" s="794"/>
      <c r="X20" s="794"/>
      <c r="Y20" s="794"/>
      <c r="Z20" s="794"/>
      <c r="AA20" s="794"/>
      <c r="AB20" s="794"/>
      <c r="AC20" s="794"/>
      <c r="AD20" s="794" t="s">
        <v>65</v>
      </c>
      <c r="AE20" s="794"/>
      <c r="AF20" s="794"/>
      <c r="AG20" s="794"/>
      <c r="AH20" s="794"/>
      <c r="AI20" s="794"/>
      <c r="AJ20" s="794"/>
      <c r="AK20" s="794"/>
      <c r="AL20" s="794"/>
      <c r="AM20" s="794"/>
      <c r="AN20" s="794"/>
      <c r="AO20" s="794"/>
      <c r="AP20" s="799"/>
      <c r="AQ20" s="799"/>
      <c r="AR20" s="799"/>
      <c r="AS20" s="799"/>
      <c r="AT20" s="794" t="s">
        <v>769</v>
      </c>
      <c r="AU20" s="794"/>
      <c r="AV20" s="794"/>
      <c r="AW20" s="794"/>
      <c r="AX20" s="794"/>
      <c r="AY20" s="794"/>
    </row>
    <row r="21" spans="1:51" ht="30" customHeight="1">
      <c r="A21" s="798"/>
      <c r="B21" s="798"/>
      <c r="C21" s="798"/>
      <c r="D21" s="794" t="s">
        <v>847</v>
      </c>
      <c r="E21" s="794"/>
      <c r="F21" s="794"/>
      <c r="G21" s="794"/>
      <c r="H21" s="794"/>
      <c r="I21" s="794"/>
      <c r="J21" s="799"/>
      <c r="K21" s="799"/>
      <c r="L21" s="799"/>
      <c r="M21" s="799"/>
      <c r="N21" s="799"/>
      <c r="O21" s="799"/>
      <c r="P21" s="794" t="s">
        <v>772</v>
      </c>
      <c r="Q21" s="794"/>
      <c r="R21" s="794"/>
      <c r="S21" s="794"/>
      <c r="T21" s="794"/>
      <c r="U21" s="794"/>
      <c r="V21" s="794" t="s">
        <v>643</v>
      </c>
      <c r="W21" s="794"/>
      <c r="X21" s="794"/>
      <c r="Y21" s="794"/>
      <c r="Z21" s="794"/>
      <c r="AA21" s="794"/>
      <c r="AB21" s="794"/>
      <c r="AC21" s="794"/>
      <c r="AD21" s="794" t="s">
        <v>297</v>
      </c>
      <c r="AE21" s="794"/>
      <c r="AF21" s="794"/>
      <c r="AG21" s="794"/>
      <c r="AH21" s="794"/>
      <c r="AI21" s="794"/>
      <c r="AJ21" s="794"/>
      <c r="AK21" s="794"/>
      <c r="AL21" s="794"/>
      <c r="AM21" s="794"/>
      <c r="AN21" s="794"/>
      <c r="AO21" s="794"/>
      <c r="AP21" s="799"/>
      <c r="AQ21" s="799"/>
      <c r="AR21" s="799"/>
      <c r="AS21" s="799"/>
      <c r="AT21" s="794" t="s">
        <v>75</v>
      </c>
      <c r="AU21" s="794"/>
      <c r="AV21" s="794"/>
      <c r="AW21" s="794"/>
      <c r="AX21" s="794"/>
      <c r="AY21" s="794"/>
    </row>
  </sheetData>
  <sheetProtection/>
  <mergeCells count="56">
    <mergeCell ref="D21:I21"/>
    <mergeCell ref="P21:U21"/>
    <mergeCell ref="V21:AC21"/>
    <mergeCell ref="AD21:AO21"/>
    <mergeCell ref="AT21:AY21"/>
    <mergeCell ref="AT19:AY19"/>
    <mergeCell ref="D20:I20"/>
    <mergeCell ref="P20:U20"/>
    <mergeCell ref="V20:AC20"/>
    <mergeCell ref="AD20:AO20"/>
    <mergeCell ref="AT20:AY20"/>
    <mergeCell ref="AH11:AS11"/>
    <mergeCell ref="AT11:AU11"/>
    <mergeCell ref="A19:C21"/>
    <mergeCell ref="D19:I19"/>
    <mergeCell ref="J19:O21"/>
    <mergeCell ref="P19:U19"/>
    <mergeCell ref="V19:AC19"/>
    <mergeCell ref="AD19:AO19"/>
    <mergeCell ref="AP19:AS21"/>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1" fitToWidth="1" horizontalDpi="600" verticalDpi="600" orientation="landscape" scale="14" r:id="rId4"/>
  <drawing r:id="rId3"/>
  <legacyDrawing r:id="rId2"/>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AY23"/>
  <sheetViews>
    <sheetView view="pageBreakPreview" zoomScale="60" zoomScaleNormal="80" zoomScalePageLayoutView="0" workbookViewId="0" topLeftCell="Z14">
      <selection activeCell="AV19" sqref="AV19"/>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33.57421875" style="113" customWidth="1"/>
    <col min="15" max="19" width="8.7109375" style="113" customWidth="1"/>
    <col min="20" max="20" width="22.28125" style="113" customWidth="1"/>
    <col min="21" max="21" width="17.00390625" style="113" customWidth="1"/>
    <col min="22" max="23" width="7.421875" style="113" customWidth="1"/>
    <col min="24" max="24" width="8.57421875" style="113" customWidth="1"/>
    <col min="25" max="35" width="7.421875" style="113" customWidth="1"/>
    <col min="36" max="36" width="8.57421875" style="113" customWidth="1"/>
    <col min="37" max="45" width="7.421875" style="113" customWidth="1"/>
    <col min="46" max="46" width="17.140625" style="113" customWidth="1"/>
    <col min="47" max="47" width="15.8515625" style="217" customWidth="1"/>
    <col min="48" max="49" width="84.00390625" style="113" customWidth="1"/>
    <col min="50" max="50" width="57.57421875" style="113" customWidth="1"/>
    <col min="51" max="51" width="42.57421875" style="113" customWidth="1"/>
    <col min="52" max="16384" width="10.8515625" style="113" customWidth="1"/>
  </cols>
  <sheetData>
    <row r="1" spans="1:51" ht="15.75" customHeight="1">
      <c r="A1" s="777" t="s">
        <v>16</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M1" s="778"/>
      <c r="AN1" s="778"/>
      <c r="AO1" s="778"/>
      <c r="AP1" s="778"/>
      <c r="AQ1" s="778"/>
      <c r="AR1" s="778"/>
      <c r="AS1" s="778"/>
      <c r="AT1" s="778"/>
      <c r="AU1" s="778"/>
      <c r="AV1" s="778"/>
      <c r="AW1" s="779"/>
      <c r="AX1" s="1126" t="s">
        <v>423</v>
      </c>
      <c r="AY1" s="1127"/>
    </row>
    <row r="2" spans="1:51" ht="15.75" customHeight="1">
      <c r="A2" s="1152" t="s">
        <v>17</v>
      </c>
      <c r="B2" s="1153"/>
      <c r="C2" s="1153"/>
      <c r="D2" s="1153"/>
      <c r="E2" s="1153"/>
      <c r="F2" s="1153"/>
      <c r="G2" s="1153"/>
      <c r="H2" s="1153"/>
      <c r="I2" s="1153"/>
      <c r="J2" s="1153"/>
      <c r="K2" s="1153"/>
      <c r="L2" s="1153"/>
      <c r="M2" s="1153"/>
      <c r="N2" s="1153"/>
      <c r="O2" s="1153"/>
      <c r="P2" s="1153"/>
      <c r="Q2" s="1153"/>
      <c r="R2" s="1153"/>
      <c r="S2" s="1153"/>
      <c r="T2" s="1153"/>
      <c r="U2" s="1153"/>
      <c r="V2" s="1153"/>
      <c r="W2" s="1153"/>
      <c r="X2" s="1153"/>
      <c r="Y2" s="1153"/>
      <c r="Z2" s="1153"/>
      <c r="AA2" s="1153"/>
      <c r="AB2" s="1153"/>
      <c r="AC2" s="1153"/>
      <c r="AD2" s="1153"/>
      <c r="AE2" s="1153"/>
      <c r="AF2" s="1153"/>
      <c r="AG2" s="1153"/>
      <c r="AH2" s="1153"/>
      <c r="AI2" s="1153"/>
      <c r="AJ2" s="1153"/>
      <c r="AK2" s="1153"/>
      <c r="AL2" s="1153"/>
      <c r="AM2" s="1153"/>
      <c r="AN2" s="1153"/>
      <c r="AO2" s="1153"/>
      <c r="AP2" s="1153"/>
      <c r="AQ2" s="1153"/>
      <c r="AR2" s="1153"/>
      <c r="AS2" s="1153"/>
      <c r="AT2" s="1153"/>
      <c r="AU2" s="1153"/>
      <c r="AV2" s="1153"/>
      <c r="AW2" s="1154"/>
      <c r="AX2" s="1150" t="s">
        <v>418</v>
      </c>
      <c r="AY2" s="1151"/>
    </row>
    <row r="3" spans="1:51" ht="15" customHeight="1">
      <c r="A3" s="789" t="s">
        <v>195</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c r="AM3" s="790"/>
      <c r="AN3" s="790"/>
      <c r="AO3" s="790"/>
      <c r="AP3" s="790"/>
      <c r="AQ3" s="790"/>
      <c r="AR3" s="790"/>
      <c r="AS3" s="790"/>
      <c r="AT3" s="790"/>
      <c r="AU3" s="790"/>
      <c r="AV3" s="790"/>
      <c r="AW3" s="791"/>
      <c r="AX3" s="1150" t="s">
        <v>424</v>
      </c>
      <c r="AY3" s="1151"/>
    </row>
    <row r="4" spans="1:51" ht="15.75" customHeight="1">
      <c r="A4" s="777"/>
      <c r="B4" s="778"/>
      <c r="C4" s="778"/>
      <c r="D4" s="778"/>
      <c r="E4" s="778"/>
      <c r="F4" s="778"/>
      <c r="G4" s="778"/>
      <c r="H4" s="778"/>
      <c r="I4" s="778"/>
      <c r="J4" s="778"/>
      <c r="K4" s="778"/>
      <c r="L4" s="778"/>
      <c r="M4" s="778"/>
      <c r="N4" s="778"/>
      <c r="O4" s="778"/>
      <c r="P4" s="778"/>
      <c r="Q4" s="778"/>
      <c r="R4" s="778"/>
      <c r="S4" s="778"/>
      <c r="T4" s="778"/>
      <c r="U4" s="778"/>
      <c r="V4" s="778"/>
      <c r="W4" s="778"/>
      <c r="X4" s="778"/>
      <c r="Y4" s="778"/>
      <c r="Z4" s="778"/>
      <c r="AA4" s="778"/>
      <c r="AB4" s="778"/>
      <c r="AC4" s="778"/>
      <c r="AD4" s="778"/>
      <c r="AE4" s="778"/>
      <c r="AF4" s="778"/>
      <c r="AG4" s="778"/>
      <c r="AH4" s="778"/>
      <c r="AI4" s="778"/>
      <c r="AJ4" s="778"/>
      <c r="AK4" s="778"/>
      <c r="AL4" s="778"/>
      <c r="AM4" s="778"/>
      <c r="AN4" s="778"/>
      <c r="AO4" s="778"/>
      <c r="AP4" s="778"/>
      <c r="AQ4" s="778"/>
      <c r="AR4" s="778"/>
      <c r="AS4" s="778"/>
      <c r="AT4" s="778"/>
      <c r="AU4" s="778"/>
      <c r="AV4" s="778"/>
      <c r="AW4" s="779"/>
      <c r="AX4" s="1148" t="s">
        <v>779</v>
      </c>
      <c r="AY4" s="1149"/>
    </row>
    <row r="5" spans="1:51" ht="15" customHeight="1" thickBot="1">
      <c r="A5" s="780" t="s">
        <v>174</v>
      </c>
      <c r="B5" s="781"/>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2"/>
      <c r="AH5" s="805" t="s">
        <v>69</v>
      </c>
      <c r="AI5" s="806"/>
      <c r="AJ5" s="806"/>
      <c r="AK5" s="806"/>
      <c r="AL5" s="806"/>
      <c r="AM5" s="806"/>
      <c r="AN5" s="806"/>
      <c r="AO5" s="806"/>
      <c r="AP5" s="806"/>
      <c r="AQ5" s="806"/>
      <c r="AR5" s="806"/>
      <c r="AS5" s="806"/>
      <c r="AT5" s="806"/>
      <c r="AU5" s="807"/>
      <c r="AV5" s="795" t="s">
        <v>409</v>
      </c>
      <c r="AW5" s="795" t="s">
        <v>410</v>
      </c>
      <c r="AX5" s="795" t="s">
        <v>298</v>
      </c>
      <c r="AY5" s="795" t="s">
        <v>299</v>
      </c>
    </row>
    <row r="6" spans="1:51" ht="15" customHeight="1">
      <c r="A6" s="805" t="s">
        <v>71</v>
      </c>
      <c r="B6" s="806"/>
      <c r="C6" s="807"/>
      <c r="D6" s="864" t="s">
        <v>861</v>
      </c>
      <c r="E6" s="865"/>
      <c r="F6" s="805" t="s">
        <v>67</v>
      </c>
      <c r="G6" s="807"/>
      <c r="H6" s="1128" t="s">
        <v>70</v>
      </c>
      <c r="I6" s="1129"/>
      <c r="J6" s="121"/>
      <c r="K6" s="805"/>
      <c r="L6" s="806"/>
      <c r="M6" s="806"/>
      <c r="N6" s="806"/>
      <c r="O6" s="806"/>
      <c r="P6" s="806"/>
      <c r="Q6" s="806"/>
      <c r="R6" s="806"/>
      <c r="S6" s="806"/>
      <c r="T6" s="806"/>
      <c r="U6" s="806"/>
      <c r="V6" s="114"/>
      <c r="W6" s="114"/>
      <c r="X6" s="114"/>
      <c r="Y6" s="114"/>
      <c r="Z6" s="114"/>
      <c r="AA6" s="114"/>
      <c r="AB6" s="114"/>
      <c r="AC6" s="114"/>
      <c r="AD6" s="114"/>
      <c r="AE6" s="114"/>
      <c r="AF6" s="114"/>
      <c r="AG6" s="115"/>
      <c r="AH6" s="808"/>
      <c r="AI6" s="809"/>
      <c r="AJ6" s="809"/>
      <c r="AK6" s="809"/>
      <c r="AL6" s="809"/>
      <c r="AM6" s="809"/>
      <c r="AN6" s="809"/>
      <c r="AO6" s="809"/>
      <c r="AP6" s="809"/>
      <c r="AQ6" s="809"/>
      <c r="AR6" s="809"/>
      <c r="AS6" s="809"/>
      <c r="AT6" s="809"/>
      <c r="AU6" s="810"/>
      <c r="AV6" s="803"/>
      <c r="AW6" s="803"/>
      <c r="AX6" s="803"/>
      <c r="AY6" s="803"/>
    </row>
    <row r="7" spans="1:51" ht="15" customHeight="1">
      <c r="A7" s="808"/>
      <c r="B7" s="809"/>
      <c r="C7" s="810"/>
      <c r="D7" s="866"/>
      <c r="E7" s="867"/>
      <c r="F7" s="808"/>
      <c r="G7" s="810"/>
      <c r="H7" s="1128" t="s">
        <v>68</v>
      </c>
      <c r="I7" s="1129"/>
      <c r="J7" s="121"/>
      <c r="K7" s="808"/>
      <c r="L7" s="809"/>
      <c r="M7" s="809"/>
      <c r="N7" s="809"/>
      <c r="O7" s="809"/>
      <c r="P7" s="809"/>
      <c r="Q7" s="809"/>
      <c r="R7" s="809"/>
      <c r="S7" s="809"/>
      <c r="T7" s="809"/>
      <c r="U7" s="809"/>
      <c r="V7" s="231"/>
      <c r="W7" s="231"/>
      <c r="X7" s="231"/>
      <c r="Y7" s="231"/>
      <c r="Z7" s="231"/>
      <c r="AA7" s="231"/>
      <c r="AB7" s="231"/>
      <c r="AC7" s="231"/>
      <c r="AD7" s="231"/>
      <c r="AE7" s="231"/>
      <c r="AF7" s="231"/>
      <c r="AG7" s="117"/>
      <c r="AH7" s="808"/>
      <c r="AI7" s="809"/>
      <c r="AJ7" s="809"/>
      <c r="AK7" s="809"/>
      <c r="AL7" s="809"/>
      <c r="AM7" s="809"/>
      <c r="AN7" s="809"/>
      <c r="AO7" s="809"/>
      <c r="AP7" s="809"/>
      <c r="AQ7" s="809"/>
      <c r="AR7" s="809"/>
      <c r="AS7" s="809"/>
      <c r="AT7" s="809"/>
      <c r="AU7" s="810"/>
      <c r="AV7" s="803"/>
      <c r="AW7" s="803"/>
      <c r="AX7" s="803"/>
      <c r="AY7" s="803"/>
    </row>
    <row r="8" spans="1:51" ht="15" customHeight="1" thickBot="1">
      <c r="A8" s="811"/>
      <c r="B8" s="812"/>
      <c r="C8" s="813"/>
      <c r="D8" s="868"/>
      <c r="E8" s="869"/>
      <c r="F8" s="811"/>
      <c r="G8" s="813"/>
      <c r="H8" s="1128" t="s">
        <v>69</v>
      </c>
      <c r="I8" s="1129"/>
      <c r="J8" s="121" t="s">
        <v>425</v>
      </c>
      <c r="K8" s="811"/>
      <c r="L8" s="812"/>
      <c r="M8" s="812"/>
      <c r="N8" s="812"/>
      <c r="O8" s="812"/>
      <c r="P8" s="812"/>
      <c r="Q8" s="812"/>
      <c r="R8" s="812"/>
      <c r="S8" s="812"/>
      <c r="T8" s="812"/>
      <c r="U8" s="812"/>
      <c r="V8" s="118"/>
      <c r="W8" s="118"/>
      <c r="X8" s="118"/>
      <c r="Y8" s="118"/>
      <c r="Z8" s="118"/>
      <c r="AA8" s="118"/>
      <c r="AB8" s="118"/>
      <c r="AC8" s="118"/>
      <c r="AD8" s="118"/>
      <c r="AE8" s="118"/>
      <c r="AF8" s="118"/>
      <c r="AG8" s="119"/>
      <c r="AH8" s="808"/>
      <c r="AI8" s="809"/>
      <c r="AJ8" s="809"/>
      <c r="AK8" s="809"/>
      <c r="AL8" s="809"/>
      <c r="AM8" s="809"/>
      <c r="AN8" s="809"/>
      <c r="AO8" s="809"/>
      <c r="AP8" s="809"/>
      <c r="AQ8" s="809"/>
      <c r="AR8" s="809"/>
      <c r="AS8" s="809"/>
      <c r="AT8" s="809"/>
      <c r="AU8" s="810"/>
      <c r="AV8" s="803"/>
      <c r="AW8" s="803"/>
      <c r="AX8" s="803"/>
      <c r="AY8" s="803"/>
    </row>
    <row r="9" spans="1:51" ht="15" customHeight="1">
      <c r="A9" s="816" t="s">
        <v>399</v>
      </c>
      <c r="B9" s="817"/>
      <c r="C9" s="818"/>
      <c r="D9" s="823"/>
      <c r="E9" s="821"/>
      <c r="F9" s="821"/>
      <c r="G9" s="821"/>
      <c r="H9" s="821"/>
      <c r="I9" s="821"/>
      <c r="J9" s="821"/>
      <c r="K9" s="821"/>
      <c r="L9" s="821"/>
      <c r="M9" s="821"/>
      <c r="N9" s="821"/>
      <c r="O9" s="821"/>
      <c r="P9" s="821"/>
      <c r="Q9" s="821"/>
      <c r="R9" s="821"/>
      <c r="S9" s="821"/>
      <c r="T9" s="821"/>
      <c r="U9" s="821"/>
      <c r="V9" s="821"/>
      <c r="W9" s="821"/>
      <c r="X9" s="821"/>
      <c r="Y9" s="821"/>
      <c r="Z9" s="821"/>
      <c r="AA9" s="821"/>
      <c r="AB9" s="821"/>
      <c r="AC9" s="821"/>
      <c r="AD9" s="821"/>
      <c r="AE9" s="821"/>
      <c r="AF9" s="821"/>
      <c r="AG9" s="822"/>
      <c r="AH9" s="808"/>
      <c r="AI9" s="809"/>
      <c r="AJ9" s="809"/>
      <c r="AK9" s="809"/>
      <c r="AL9" s="809"/>
      <c r="AM9" s="809"/>
      <c r="AN9" s="809"/>
      <c r="AO9" s="809"/>
      <c r="AP9" s="809"/>
      <c r="AQ9" s="809"/>
      <c r="AR9" s="809"/>
      <c r="AS9" s="809"/>
      <c r="AT9" s="809"/>
      <c r="AU9" s="810"/>
      <c r="AV9" s="803"/>
      <c r="AW9" s="803"/>
      <c r="AX9" s="803"/>
      <c r="AY9" s="803"/>
    </row>
    <row r="10" spans="1:51" ht="15" customHeight="1">
      <c r="A10" s="816" t="s">
        <v>287</v>
      </c>
      <c r="B10" s="817"/>
      <c r="C10" s="818"/>
      <c r="D10" s="823" t="s">
        <v>500</v>
      </c>
      <c r="E10" s="821"/>
      <c r="F10" s="821"/>
      <c r="G10" s="821"/>
      <c r="H10" s="821"/>
      <c r="I10" s="821"/>
      <c r="J10" s="821"/>
      <c r="K10" s="821"/>
      <c r="L10" s="821"/>
      <c r="M10" s="821"/>
      <c r="N10" s="821"/>
      <c r="O10" s="821"/>
      <c r="P10" s="821"/>
      <c r="Q10" s="821"/>
      <c r="R10" s="821"/>
      <c r="S10" s="821"/>
      <c r="T10" s="821"/>
      <c r="U10" s="821"/>
      <c r="V10" s="821"/>
      <c r="W10" s="821"/>
      <c r="X10" s="821"/>
      <c r="Y10" s="821"/>
      <c r="Z10" s="821"/>
      <c r="AA10" s="821"/>
      <c r="AB10" s="821"/>
      <c r="AC10" s="821"/>
      <c r="AD10" s="821"/>
      <c r="AE10" s="821"/>
      <c r="AF10" s="821"/>
      <c r="AG10" s="822"/>
      <c r="AH10" s="811"/>
      <c r="AI10" s="812"/>
      <c r="AJ10" s="812"/>
      <c r="AK10" s="812"/>
      <c r="AL10" s="812"/>
      <c r="AM10" s="812"/>
      <c r="AN10" s="812"/>
      <c r="AO10" s="812"/>
      <c r="AP10" s="812"/>
      <c r="AQ10" s="812"/>
      <c r="AR10" s="812"/>
      <c r="AS10" s="812"/>
      <c r="AT10" s="812"/>
      <c r="AU10" s="813"/>
      <c r="AV10" s="803"/>
      <c r="AW10" s="803"/>
      <c r="AX10" s="803"/>
      <c r="AY10" s="803"/>
    </row>
    <row r="11" spans="1:51" ht="70.5" customHeight="1">
      <c r="A11" s="792" t="s">
        <v>168</v>
      </c>
      <c r="B11" s="797"/>
      <c r="C11" s="797"/>
      <c r="D11" s="797"/>
      <c r="E11" s="797"/>
      <c r="F11" s="793"/>
      <c r="G11" s="792" t="s">
        <v>278</v>
      </c>
      <c r="H11" s="793"/>
      <c r="I11" s="795" t="s">
        <v>179</v>
      </c>
      <c r="J11" s="795" t="s">
        <v>279</v>
      </c>
      <c r="K11" s="795" t="s">
        <v>323</v>
      </c>
      <c r="L11" s="795" t="s">
        <v>363</v>
      </c>
      <c r="M11" s="795" t="s">
        <v>167</v>
      </c>
      <c r="N11" s="795" t="s">
        <v>182</v>
      </c>
      <c r="O11" s="792" t="s">
        <v>284</v>
      </c>
      <c r="P11" s="797"/>
      <c r="Q11" s="797"/>
      <c r="R11" s="797"/>
      <c r="S11" s="793"/>
      <c r="T11" s="795" t="s">
        <v>173</v>
      </c>
      <c r="U11" s="795" t="s">
        <v>285</v>
      </c>
      <c r="V11" s="780" t="s">
        <v>370</v>
      </c>
      <c r="W11" s="781"/>
      <c r="X11" s="781"/>
      <c r="Y11" s="781"/>
      <c r="Z11" s="781"/>
      <c r="AA11" s="781"/>
      <c r="AB11" s="781"/>
      <c r="AC11" s="781"/>
      <c r="AD11" s="781"/>
      <c r="AE11" s="781"/>
      <c r="AF11" s="781"/>
      <c r="AG11" s="782"/>
      <c r="AH11" s="780" t="s">
        <v>87</v>
      </c>
      <c r="AI11" s="781"/>
      <c r="AJ11" s="781"/>
      <c r="AK11" s="781"/>
      <c r="AL11" s="781"/>
      <c r="AM11" s="781"/>
      <c r="AN11" s="781"/>
      <c r="AO11" s="781"/>
      <c r="AP11" s="781"/>
      <c r="AQ11" s="781"/>
      <c r="AR11" s="781"/>
      <c r="AS11" s="782"/>
      <c r="AT11" s="792" t="s">
        <v>8</v>
      </c>
      <c r="AU11" s="793"/>
      <c r="AV11" s="803"/>
      <c r="AW11" s="803"/>
      <c r="AX11" s="803"/>
      <c r="AY11" s="803"/>
    </row>
    <row r="12" spans="1:51" ht="42.75">
      <c r="A12" s="409" t="s">
        <v>169</v>
      </c>
      <c r="B12" s="409" t="s">
        <v>170</v>
      </c>
      <c r="C12" s="409" t="s">
        <v>171</v>
      </c>
      <c r="D12" s="409" t="s">
        <v>178</v>
      </c>
      <c r="E12" s="409" t="s">
        <v>185</v>
      </c>
      <c r="F12" s="409" t="s">
        <v>186</v>
      </c>
      <c r="G12" s="409" t="s">
        <v>277</v>
      </c>
      <c r="H12" s="409" t="s">
        <v>184</v>
      </c>
      <c r="I12" s="796"/>
      <c r="J12" s="796"/>
      <c r="K12" s="796"/>
      <c r="L12" s="796"/>
      <c r="M12" s="796"/>
      <c r="N12" s="796"/>
      <c r="O12" s="409">
        <v>2020</v>
      </c>
      <c r="P12" s="409">
        <v>2021</v>
      </c>
      <c r="Q12" s="409">
        <v>2022</v>
      </c>
      <c r="R12" s="409">
        <v>2023</v>
      </c>
      <c r="S12" s="409">
        <v>2024</v>
      </c>
      <c r="T12" s="796"/>
      <c r="U12" s="796"/>
      <c r="V12" s="408" t="s">
        <v>39</v>
      </c>
      <c r="W12" s="408" t="s">
        <v>40</v>
      </c>
      <c r="X12" s="408" t="s">
        <v>41</v>
      </c>
      <c r="Y12" s="408" t="s">
        <v>42</v>
      </c>
      <c r="Z12" s="408" t="s">
        <v>43</v>
      </c>
      <c r="AA12" s="408" t="s">
        <v>44</v>
      </c>
      <c r="AB12" s="408" t="s">
        <v>45</v>
      </c>
      <c r="AC12" s="408" t="s">
        <v>46</v>
      </c>
      <c r="AD12" s="408" t="s">
        <v>47</v>
      </c>
      <c r="AE12" s="408" t="s">
        <v>48</v>
      </c>
      <c r="AF12" s="408" t="s">
        <v>49</v>
      </c>
      <c r="AG12" s="408" t="s">
        <v>50</v>
      </c>
      <c r="AH12" s="408" t="s">
        <v>39</v>
      </c>
      <c r="AI12" s="408" t="s">
        <v>40</v>
      </c>
      <c r="AJ12" s="408" t="s">
        <v>41</v>
      </c>
      <c r="AK12" s="408" t="s">
        <v>42</v>
      </c>
      <c r="AL12" s="408" t="s">
        <v>43</v>
      </c>
      <c r="AM12" s="408" t="s">
        <v>44</v>
      </c>
      <c r="AN12" s="408" t="s">
        <v>45</v>
      </c>
      <c r="AO12" s="408" t="s">
        <v>46</v>
      </c>
      <c r="AP12" s="408" t="s">
        <v>47</v>
      </c>
      <c r="AQ12" s="408" t="s">
        <v>48</v>
      </c>
      <c r="AR12" s="408" t="s">
        <v>49</v>
      </c>
      <c r="AS12" s="408" t="s">
        <v>50</v>
      </c>
      <c r="AT12" s="409" t="s">
        <v>413</v>
      </c>
      <c r="AU12" s="216" t="s">
        <v>88</v>
      </c>
      <c r="AV12" s="796"/>
      <c r="AW12" s="796"/>
      <c r="AX12" s="796"/>
      <c r="AY12" s="796"/>
    </row>
    <row r="13" spans="1:51" ht="323.25" customHeight="1">
      <c r="A13" s="121"/>
      <c r="B13" s="121"/>
      <c r="C13" s="121"/>
      <c r="D13" s="121"/>
      <c r="E13" s="121" t="s">
        <v>425</v>
      </c>
      <c r="F13" s="121"/>
      <c r="G13" s="122" t="s">
        <v>666</v>
      </c>
      <c r="H13" s="122" t="s">
        <v>837</v>
      </c>
      <c r="I13" s="364" t="s">
        <v>859</v>
      </c>
      <c r="J13" s="152" t="s">
        <v>668</v>
      </c>
      <c r="K13" s="122" t="s">
        <v>430</v>
      </c>
      <c r="L13" s="122"/>
      <c r="M13" s="122" t="s">
        <v>431</v>
      </c>
      <c r="N13" s="122" t="s">
        <v>669</v>
      </c>
      <c r="O13" s="123"/>
      <c r="P13" s="123"/>
      <c r="Q13" s="123"/>
      <c r="R13" s="293">
        <v>0.85</v>
      </c>
      <c r="S13" s="123"/>
      <c r="T13" s="235" t="s">
        <v>433</v>
      </c>
      <c r="U13" s="235" t="s">
        <v>670</v>
      </c>
      <c r="V13" s="124"/>
      <c r="W13" s="124"/>
      <c r="X13" s="358">
        <v>0.2</v>
      </c>
      <c r="Y13" s="358"/>
      <c r="Z13" s="358"/>
      <c r="AA13" s="358">
        <v>0.2</v>
      </c>
      <c r="AB13" s="492"/>
      <c r="AC13" s="492"/>
      <c r="AD13" s="492">
        <v>0.2</v>
      </c>
      <c r="AE13" s="492"/>
      <c r="AF13" s="492"/>
      <c r="AG13" s="492">
        <v>0.25</v>
      </c>
      <c r="AH13" s="471"/>
      <c r="AI13" s="471"/>
      <c r="AJ13" s="469">
        <v>0</v>
      </c>
      <c r="AK13" s="471"/>
      <c r="AL13" s="471"/>
      <c r="AM13" s="469">
        <v>0</v>
      </c>
      <c r="AN13" s="471"/>
      <c r="AO13" s="471"/>
      <c r="AP13" s="470">
        <v>0.4</v>
      </c>
      <c r="AQ13" s="124"/>
      <c r="AR13" s="124"/>
      <c r="AS13" s="124"/>
      <c r="AT13" s="464">
        <f>SUM(AH13:AS13)</f>
        <v>0.4</v>
      </c>
      <c r="AU13" s="127">
        <f>+AT13/R13</f>
        <v>0.4705882352941177</v>
      </c>
      <c r="AV13" s="491" t="s">
        <v>908</v>
      </c>
      <c r="AW13" s="1197" t="s">
        <v>909</v>
      </c>
      <c r="AX13" s="412" t="s">
        <v>450</v>
      </c>
      <c r="AY13" s="412" t="s">
        <v>450</v>
      </c>
    </row>
    <row r="14" spans="1:51" ht="285.75" customHeight="1">
      <c r="A14" s="121"/>
      <c r="B14" s="121"/>
      <c r="C14" s="121"/>
      <c r="D14" s="121"/>
      <c r="E14" s="451" t="s">
        <v>425</v>
      </c>
      <c r="F14" s="121"/>
      <c r="G14" s="122" t="s">
        <v>666</v>
      </c>
      <c r="H14" s="122" t="s">
        <v>838</v>
      </c>
      <c r="I14" s="364" t="s">
        <v>667</v>
      </c>
      <c r="J14" s="152" t="s">
        <v>671</v>
      </c>
      <c r="K14" s="122" t="s">
        <v>430</v>
      </c>
      <c r="L14" s="124"/>
      <c r="M14" s="122" t="s">
        <v>431</v>
      </c>
      <c r="N14" s="122" t="s">
        <v>672</v>
      </c>
      <c r="O14" s="124"/>
      <c r="P14" s="124"/>
      <c r="Q14" s="124"/>
      <c r="R14" s="293">
        <v>0.85</v>
      </c>
      <c r="S14" s="124"/>
      <c r="T14" s="235" t="s">
        <v>455</v>
      </c>
      <c r="U14" s="235" t="s">
        <v>673</v>
      </c>
      <c r="V14" s="124"/>
      <c r="W14" s="124"/>
      <c r="X14" s="124"/>
      <c r="Y14" s="124"/>
      <c r="Z14" s="124"/>
      <c r="AA14" s="358">
        <v>0.4</v>
      </c>
      <c r="AB14" s="492"/>
      <c r="AC14" s="492"/>
      <c r="AD14" s="492"/>
      <c r="AE14" s="492"/>
      <c r="AF14" s="492"/>
      <c r="AG14" s="492">
        <v>0.45</v>
      </c>
      <c r="AH14" s="471"/>
      <c r="AI14" s="471"/>
      <c r="AJ14" s="471"/>
      <c r="AK14" s="471"/>
      <c r="AL14" s="471"/>
      <c r="AM14" s="492">
        <v>0</v>
      </c>
      <c r="AN14" s="471"/>
      <c r="AO14" s="471"/>
      <c r="AP14" s="470"/>
      <c r="AQ14" s="124"/>
      <c r="AR14" s="124"/>
      <c r="AS14" s="124"/>
      <c r="AT14" s="464">
        <f aca="true" t="shared" si="0" ref="AT14:AT20">SUM(AH14:AS14)</f>
        <v>0</v>
      </c>
      <c r="AU14" s="127">
        <f aca="true" t="shared" si="1" ref="AU14:AU20">+AT14/R14</f>
        <v>0</v>
      </c>
      <c r="AV14" s="491" t="s">
        <v>910</v>
      </c>
      <c r="AW14" s="1198" t="s">
        <v>911</v>
      </c>
      <c r="AX14" s="1199" t="s">
        <v>912</v>
      </c>
      <c r="AY14" s="1200" t="s">
        <v>913</v>
      </c>
    </row>
    <row r="15" spans="1:51" ht="168.75" customHeight="1">
      <c r="A15" s="121"/>
      <c r="B15" s="121"/>
      <c r="C15" s="121"/>
      <c r="D15" s="121"/>
      <c r="E15" s="451" t="s">
        <v>425</v>
      </c>
      <c r="F15" s="121"/>
      <c r="G15" s="122" t="s">
        <v>666</v>
      </c>
      <c r="H15" s="122" t="s">
        <v>837</v>
      </c>
      <c r="I15" s="308" t="s">
        <v>674</v>
      </c>
      <c r="J15" s="308" t="s">
        <v>675</v>
      </c>
      <c r="K15" s="122" t="s">
        <v>453</v>
      </c>
      <c r="L15" s="124"/>
      <c r="M15" s="122" t="s">
        <v>431</v>
      </c>
      <c r="N15" s="122" t="s">
        <v>676</v>
      </c>
      <c r="O15" s="124"/>
      <c r="P15" s="124"/>
      <c r="Q15" s="124"/>
      <c r="R15" s="244">
        <v>1</v>
      </c>
      <c r="S15" s="124"/>
      <c r="T15" s="235" t="s">
        <v>433</v>
      </c>
      <c r="U15" s="122" t="s">
        <v>677</v>
      </c>
      <c r="V15" s="358"/>
      <c r="W15" s="358"/>
      <c r="X15" s="358">
        <v>1</v>
      </c>
      <c r="Y15" s="358"/>
      <c r="Z15" s="358"/>
      <c r="AA15" s="358">
        <v>1</v>
      </c>
      <c r="AB15" s="492"/>
      <c r="AC15" s="492"/>
      <c r="AD15" s="492">
        <v>1</v>
      </c>
      <c r="AE15" s="492"/>
      <c r="AF15" s="492"/>
      <c r="AG15" s="492">
        <v>1</v>
      </c>
      <c r="AH15" s="471"/>
      <c r="AI15" s="471"/>
      <c r="AJ15" s="469">
        <v>1</v>
      </c>
      <c r="AK15" s="471"/>
      <c r="AL15" s="471"/>
      <c r="AM15" s="469">
        <v>1</v>
      </c>
      <c r="AN15" s="471"/>
      <c r="AO15" s="471"/>
      <c r="AP15" s="470">
        <v>1</v>
      </c>
      <c r="AQ15" s="124"/>
      <c r="AR15" s="124"/>
      <c r="AS15" s="124"/>
      <c r="AT15" s="127">
        <f>+AM15</f>
        <v>1</v>
      </c>
      <c r="AU15" s="127">
        <f>+(SUM(AH15:AS15)/+SUM(V15:AG15))</f>
        <v>0.75</v>
      </c>
      <c r="AV15" s="491" t="s">
        <v>901</v>
      </c>
      <c r="AW15" s="506" t="s">
        <v>914</v>
      </c>
      <c r="AX15" s="412" t="s">
        <v>450</v>
      </c>
      <c r="AY15" s="412" t="s">
        <v>450</v>
      </c>
    </row>
    <row r="16" spans="1:51" ht="255" customHeight="1">
      <c r="A16" s="121"/>
      <c r="B16" s="121"/>
      <c r="C16" s="121"/>
      <c r="D16" s="121"/>
      <c r="E16" s="451" t="s">
        <v>425</v>
      </c>
      <c r="F16" s="121"/>
      <c r="G16" s="122" t="s">
        <v>666</v>
      </c>
      <c r="H16" s="122" t="s">
        <v>837</v>
      </c>
      <c r="I16" s="308" t="s">
        <v>678</v>
      </c>
      <c r="J16" s="308" t="s">
        <v>679</v>
      </c>
      <c r="K16" s="121" t="s">
        <v>430</v>
      </c>
      <c r="L16" s="124"/>
      <c r="M16" s="122" t="s">
        <v>431</v>
      </c>
      <c r="N16" s="122" t="s">
        <v>680</v>
      </c>
      <c r="O16" s="124"/>
      <c r="P16" s="124"/>
      <c r="Q16" s="124"/>
      <c r="R16" s="244">
        <v>1</v>
      </c>
      <c r="S16" s="124"/>
      <c r="T16" s="235" t="s">
        <v>433</v>
      </c>
      <c r="U16" s="122" t="s">
        <v>681</v>
      </c>
      <c r="V16" s="358"/>
      <c r="W16" s="358"/>
      <c r="X16" s="358">
        <v>0.25</v>
      </c>
      <c r="Y16" s="358"/>
      <c r="Z16" s="358"/>
      <c r="AA16" s="358">
        <v>0.25</v>
      </c>
      <c r="AB16" s="492"/>
      <c r="AC16" s="492"/>
      <c r="AD16" s="492">
        <v>0.25</v>
      </c>
      <c r="AE16" s="492"/>
      <c r="AF16" s="492"/>
      <c r="AG16" s="492">
        <v>0.25</v>
      </c>
      <c r="AH16" s="471"/>
      <c r="AI16" s="471"/>
      <c r="AJ16" s="469">
        <v>0.25</v>
      </c>
      <c r="AK16" s="471"/>
      <c r="AL16" s="471"/>
      <c r="AM16" s="469">
        <v>0.25</v>
      </c>
      <c r="AN16" s="471"/>
      <c r="AO16" s="471"/>
      <c r="AP16" s="470">
        <v>0.25</v>
      </c>
      <c r="AQ16" s="124"/>
      <c r="AR16" s="124"/>
      <c r="AS16" s="124"/>
      <c r="AT16" s="127">
        <f t="shared" si="0"/>
        <v>0.75</v>
      </c>
      <c r="AU16" s="127">
        <f>+AT16/R16</f>
        <v>0.75</v>
      </c>
      <c r="AV16" s="491" t="s">
        <v>901</v>
      </c>
      <c r="AW16" s="1201" t="s">
        <v>915</v>
      </c>
      <c r="AX16" s="507" t="s">
        <v>916</v>
      </c>
      <c r="AY16" s="508" t="s">
        <v>917</v>
      </c>
    </row>
    <row r="17" spans="1:51" ht="168.75" customHeight="1">
      <c r="A17" s="121"/>
      <c r="B17" s="121"/>
      <c r="C17" s="121"/>
      <c r="D17" s="121"/>
      <c r="E17" s="451" t="s">
        <v>425</v>
      </c>
      <c r="F17" s="121"/>
      <c r="G17" s="122" t="s">
        <v>666</v>
      </c>
      <c r="H17" s="122" t="s">
        <v>837</v>
      </c>
      <c r="I17" s="308" t="s">
        <v>682</v>
      </c>
      <c r="J17" s="308" t="s">
        <v>683</v>
      </c>
      <c r="K17" s="121" t="s">
        <v>453</v>
      </c>
      <c r="L17" s="124"/>
      <c r="M17" s="122" t="s">
        <v>431</v>
      </c>
      <c r="N17" s="308" t="s">
        <v>684</v>
      </c>
      <c r="O17" s="124"/>
      <c r="P17" s="124"/>
      <c r="Q17" s="124"/>
      <c r="R17" s="244">
        <v>1</v>
      </c>
      <c r="S17" s="124"/>
      <c r="T17" s="235" t="s">
        <v>460</v>
      </c>
      <c r="U17" s="122" t="s">
        <v>685</v>
      </c>
      <c r="V17" s="358">
        <f>(100/100)*100%</f>
        <v>1</v>
      </c>
      <c r="W17" s="358">
        <f aca="true" t="shared" si="2" ref="W17:AG17">(100/100)*100%</f>
        <v>1</v>
      </c>
      <c r="X17" s="358">
        <f t="shared" si="2"/>
        <v>1</v>
      </c>
      <c r="Y17" s="358">
        <f t="shared" si="2"/>
        <v>1</v>
      </c>
      <c r="Z17" s="358">
        <f t="shared" si="2"/>
        <v>1</v>
      </c>
      <c r="AA17" s="358">
        <f t="shared" si="2"/>
        <v>1</v>
      </c>
      <c r="AB17" s="492">
        <f t="shared" si="2"/>
        <v>1</v>
      </c>
      <c r="AC17" s="492">
        <f t="shared" si="2"/>
        <v>1</v>
      </c>
      <c r="AD17" s="492">
        <f t="shared" si="2"/>
        <v>1</v>
      </c>
      <c r="AE17" s="492">
        <f t="shared" si="2"/>
        <v>1</v>
      </c>
      <c r="AF17" s="492">
        <f t="shared" si="2"/>
        <v>1</v>
      </c>
      <c r="AG17" s="492">
        <f t="shared" si="2"/>
        <v>1</v>
      </c>
      <c r="AH17" s="469">
        <v>0.71</v>
      </c>
      <c r="AI17" s="469">
        <v>0.8212634822804314</v>
      </c>
      <c r="AJ17" s="469">
        <v>0.823394495412844</v>
      </c>
      <c r="AK17" s="469">
        <v>0.84</v>
      </c>
      <c r="AL17" s="469">
        <v>0.7701149425287356</v>
      </c>
      <c r="AM17" s="469">
        <v>0.8154859967051071</v>
      </c>
      <c r="AN17" s="469">
        <v>0.7202680067001676</v>
      </c>
      <c r="AO17" s="469">
        <v>0.87</v>
      </c>
      <c r="AP17" s="469">
        <f>570/692</f>
        <v>0.8236994219653179</v>
      </c>
      <c r="AQ17" s="469">
        <v>0.73</v>
      </c>
      <c r="AR17" s="124"/>
      <c r="AS17" s="124"/>
      <c r="AT17" s="127">
        <f>AVERAGE(AH17:AS17)</f>
        <v>0.7924226345592602</v>
      </c>
      <c r="AU17" s="127">
        <f>+(SUM(AH17:AS17)/+SUM(V17:AG17))</f>
        <v>0.6603521954660502</v>
      </c>
      <c r="AV17" s="474" t="s">
        <v>918</v>
      </c>
      <c r="AW17" s="506" t="s">
        <v>919</v>
      </c>
      <c r="AX17" s="507" t="s">
        <v>920</v>
      </c>
      <c r="AY17" s="508" t="s">
        <v>921</v>
      </c>
    </row>
    <row r="18" spans="1:51" ht="168.75" customHeight="1">
      <c r="A18" s="121"/>
      <c r="B18" s="121"/>
      <c r="C18" s="121"/>
      <c r="D18" s="121"/>
      <c r="E18" s="451" t="s">
        <v>425</v>
      </c>
      <c r="F18" s="121"/>
      <c r="G18" s="122" t="s">
        <v>666</v>
      </c>
      <c r="H18" s="122" t="s">
        <v>837</v>
      </c>
      <c r="I18" s="308" t="s">
        <v>686</v>
      </c>
      <c r="J18" s="308" t="s">
        <v>687</v>
      </c>
      <c r="K18" s="121" t="s">
        <v>430</v>
      </c>
      <c r="L18" s="124"/>
      <c r="M18" s="122" t="s">
        <v>431</v>
      </c>
      <c r="N18" s="308" t="s">
        <v>688</v>
      </c>
      <c r="O18" s="124"/>
      <c r="P18" s="124"/>
      <c r="Q18" s="124"/>
      <c r="R18" s="244">
        <v>1</v>
      </c>
      <c r="S18" s="124"/>
      <c r="T18" s="235" t="s">
        <v>455</v>
      </c>
      <c r="U18" s="122" t="s">
        <v>689</v>
      </c>
      <c r="V18" s="358"/>
      <c r="W18" s="358"/>
      <c r="X18" s="358"/>
      <c r="Y18" s="358"/>
      <c r="Z18" s="358"/>
      <c r="AA18" s="358">
        <v>0.5</v>
      </c>
      <c r="AB18" s="492"/>
      <c r="AC18" s="492"/>
      <c r="AD18" s="492"/>
      <c r="AE18" s="492"/>
      <c r="AF18" s="492"/>
      <c r="AG18" s="492">
        <v>0.5</v>
      </c>
      <c r="AH18" s="471"/>
      <c r="AI18" s="471"/>
      <c r="AJ18" s="471"/>
      <c r="AK18" s="471"/>
      <c r="AL18" s="471"/>
      <c r="AM18" s="492">
        <v>0.5</v>
      </c>
      <c r="AN18" s="471"/>
      <c r="AO18" s="471"/>
      <c r="AP18" s="471"/>
      <c r="AQ18" s="124"/>
      <c r="AR18" s="124"/>
      <c r="AS18" s="124"/>
      <c r="AT18" s="464">
        <f t="shared" si="0"/>
        <v>0.5</v>
      </c>
      <c r="AU18" s="127">
        <f t="shared" si="1"/>
        <v>0.5</v>
      </c>
      <c r="AV18" s="473" t="s">
        <v>901</v>
      </c>
      <c r="AW18" s="1202" t="s">
        <v>922</v>
      </c>
      <c r="AX18" s="412" t="s">
        <v>450</v>
      </c>
      <c r="AY18" s="412" t="s">
        <v>450</v>
      </c>
    </row>
    <row r="19" spans="1:51" ht="212.25" customHeight="1">
      <c r="A19" s="121"/>
      <c r="B19" s="121"/>
      <c r="C19" s="121"/>
      <c r="D19" s="121"/>
      <c r="E19" s="451" t="s">
        <v>425</v>
      </c>
      <c r="F19" s="121"/>
      <c r="G19" s="122" t="s">
        <v>666</v>
      </c>
      <c r="H19" s="122" t="s">
        <v>837</v>
      </c>
      <c r="I19" s="308" t="s">
        <v>690</v>
      </c>
      <c r="J19" s="308" t="s">
        <v>691</v>
      </c>
      <c r="K19" s="121" t="s">
        <v>430</v>
      </c>
      <c r="L19" s="124"/>
      <c r="M19" s="122" t="s">
        <v>431</v>
      </c>
      <c r="N19" s="308" t="s">
        <v>688</v>
      </c>
      <c r="O19" s="124"/>
      <c r="P19" s="124"/>
      <c r="Q19" s="124"/>
      <c r="R19" s="244">
        <v>1</v>
      </c>
      <c r="S19" s="124"/>
      <c r="T19" s="235" t="s">
        <v>455</v>
      </c>
      <c r="U19" s="122" t="s">
        <v>692</v>
      </c>
      <c r="V19" s="358"/>
      <c r="W19" s="358"/>
      <c r="X19" s="358"/>
      <c r="Y19" s="358"/>
      <c r="Z19" s="358"/>
      <c r="AA19" s="358">
        <v>0.5</v>
      </c>
      <c r="AB19" s="492"/>
      <c r="AC19" s="492"/>
      <c r="AD19" s="492"/>
      <c r="AE19" s="492"/>
      <c r="AF19" s="492"/>
      <c r="AG19" s="492">
        <v>0.5</v>
      </c>
      <c r="AH19" s="471"/>
      <c r="AI19" s="471"/>
      <c r="AJ19" s="471"/>
      <c r="AK19" s="471"/>
      <c r="AL19" s="471"/>
      <c r="AM19" s="492">
        <v>0.5</v>
      </c>
      <c r="AN19" s="471"/>
      <c r="AO19" s="471"/>
      <c r="AP19" s="471"/>
      <c r="AQ19" s="124"/>
      <c r="AR19" s="124"/>
      <c r="AS19" s="124"/>
      <c r="AT19" s="464">
        <f t="shared" si="0"/>
        <v>0.5</v>
      </c>
      <c r="AU19" s="127">
        <f t="shared" si="1"/>
        <v>0.5</v>
      </c>
      <c r="AV19" s="473" t="s">
        <v>901</v>
      </c>
      <c r="AW19" s="1203" t="s">
        <v>923</v>
      </c>
      <c r="AX19" s="412" t="s">
        <v>450</v>
      </c>
      <c r="AY19" s="412" t="s">
        <v>450</v>
      </c>
    </row>
    <row r="20" spans="1:51" ht="219.75" customHeight="1">
      <c r="A20" s="121"/>
      <c r="B20" s="121"/>
      <c r="C20" s="121"/>
      <c r="D20" s="121"/>
      <c r="E20" s="451" t="s">
        <v>425</v>
      </c>
      <c r="F20" s="121"/>
      <c r="G20" s="122" t="s">
        <v>666</v>
      </c>
      <c r="H20" s="122" t="s">
        <v>837</v>
      </c>
      <c r="I20" s="308" t="s">
        <v>693</v>
      </c>
      <c r="J20" s="308" t="s">
        <v>694</v>
      </c>
      <c r="K20" s="121" t="s">
        <v>453</v>
      </c>
      <c r="L20" s="124"/>
      <c r="M20" s="122" t="s">
        <v>431</v>
      </c>
      <c r="N20" s="365" t="s">
        <v>695</v>
      </c>
      <c r="O20" s="124"/>
      <c r="P20" s="124"/>
      <c r="Q20" s="124"/>
      <c r="R20" s="244">
        <v>1</v>
      </c>
      <c r="S20" s="124"/>
      <c r="T20" s="235" t="s">
        <v>455</v>
      </c>
      <c r="U20" s="122" t="s">
        <v>696</v>
      </c>
      <c r="V20" s="358"/>
      <c r="W20" s="358"/>
      <c r="X20" s="358"/>
      <c r="Y20" s="358"/>
      <c r="Z20" s="358"/>
      <c r="AA20" s="358">
        <v>1</v>
      </c>
      <c r="AB20" s="492"/>
      <c r="AC20" s="492"/>
      <c r="AD20" s="492"/>
      <c r="AE20" s="492"/>
      <c r="AF20" s="492"/>
      <c r="AG20" s="492">
        <v>1</v>
      </c>
      <c r="AH20" s="471"/>
      <c r="AI20" s="471"/>
      <c r="AJ20" s="471"/>
      <c r="AK20" s="471"/>
      <c r="AL20" s="471"/>
      <c r="AM20" s="492">
        <v>1</v>
      </c>
      <c r="AN20" s="471"/>
      <c r="AO20" s="471"/>
      <c r="AP20" s="471"/>
      <c r="AQ20" s="124"/>
      <c r="AR20" s="124"/>
      <c r="AS20" s="124"/>
      <c r="AT20" s="464">
        <f t="shared" si="0"/>
        <v>1</v>
      </c>
      <c r="AU20" s="127">
        <f t="shared" si="1"/>
        <v>1</v>
      </c>
      <c r="AV20" s="473" t="s">
        <v>901</v>
      </c>
      <c r="AW20" s="473" t="s">
        <v>924</v>
      </c>
      <c r="AX20" s="412" t="s">
        <v>450</v>
      </c>
      <c r="AY20" s="412" t="s">
        <v>450</v>
      </c>
    </row>
    <row r="21" spans="1:51" ht="54" customHeight="1">
      <c r="A21" s="1130" t="s">
        <v>64</v>
      </c>
      <c r="B21" s="1131"/>
      <c r="C21" s="1132"/>
      <c r="D21" s="1109" t="s">
        <v>66</v>
      </c>
      <c r="E21" s="1110"/>
      <c r="F21" s="1110"/>
      <c r="G21" s="1110"/>
      <c r="H21" s="1110"/>
      <c r="I21" s="1111"/>
      <c r="J21" s="1139" t="s">
        <v>300</v>
      </c>
      <c r="K21" s="1140"/>
      <c r="L21" s="1140"/>
      <c r="M21" s="1140"/>
      <c r="N21" s="1140"/>
      <c r="O21" s="1141"/>
      <c r="P21" s="1109" t="s">
        <v>66</v>
      </c>
      <c r="Q21" s="1110"/>
      <c r="R21" s="1110"/>
      <c r="S21" s="1110"/>
      <c r="T21" s="1110"/>
      <c r="U21" s="1111"/>
      <c r="V21" s="1109" t="s">
        <v>66</v>
      </c>
      <c r="W21" s="1110"/>
      <c r="X21" s="1110"/>
      <c r="Y21" s="1110"/>
      <c r="Z21" s="1110"/>
      <c r="AA21" s="1110"/>
      <c r="AB21" s="1110"/>
      <c r="AC21" s="1111"/>
      <c r="AD21" s="1109" t="s">
        <v>66</v>
      </c>
      <c r="AE21" s="1110"/>
      <c r="AF21" s="1110"/>
      <c r="AG21" s="1110"/>
      <c r="AH21" s="1110"/>
      <c r="AI21" s="1110"/>
      <c r="AJ21" s="1110"/>
      <c r="AK21" s="1110"/>
      <c r="AL21" s="1110"/>
      <c r="AM21" s="1110"/>
      <c r="AN21" s="1110"/>
      <c r="AO21" s="1111"/>
      <c r="AP21" s="1139" t="s">
        <v>318</v>
      </c>
      <c r="AQ21" s="1140"/>
      <c r="AR21" s="1140"/>
      <c r="AS21" s="1141"/>
      <c r="AT21" s="1109" t="s">
        <v>13</v>
      </c>
      <c r="AU21" s="1110"/>
      <c r="AV21" s="1110"/>
      <c r="AW21" s="1110"/>
      <c r="AX21" s="1110"/>
      <c r="AY21" s="1111"/>
    </row>
    <row r="22" spans="1:51" ht="30" customHeight="1">
      <c r="A22" s="1133"/>
      <c r="B22" s="1134"/>
      <c r="C22" s="1135"/>
      <c r="D22" s="1109" t="s">
        <v>770</v>
      </c>
      <c r="E22" s="1110"/>
      <c r="F22" s="1110"/>
      <c r="G22" s="1110"/>
      <c r="H22" s="1110"/>
      <c r="I22" s="1111"/>
      <c r="J22" s="1142"/>
      <c r="K22" s="1143"/>
      <c r="L22" s="1143"/>
      <c r="M22" s="1143"/>
      <c r="N22" s="1143"/>
      <c r="O22" s="1144"/>
      <c r="P22" s="1109" t="s">
        <v>769</v>
      </c>
      <c r="Q22" s="1110"/>
      <c r="R22" s="1110"/>
      <c r="S22" s="1110"/>
      <c r="T22" s="1110"/>
      <c r="U22" s="1111"/>
      <c r="V22" s="1109" t="s">
        <v>65</v>
      </c>
      <c r="W22" s="1110"/>
      <c r="X22" s="1110"/>
      <c r="Y22" s="1110"/>
      <c r="Z22" s="1110"/>
      <c r="AA22" s="1110"/>
      <c r="AB22" s="1110"/>
      <c r="AC22" s="1111"/>
      <c r="AD22" s="1109" t="s">
        <v>65</v>
      </c>
      <c r="AE22" s="1110"/>
      <c r="AF22" s="1110"/>
      <c r="AG22" s="1110"/>
      <c r="AH22" s="1110"/>
      <c r="AI22" s="1110"/>
      <c r="AJ22" s="1110"/>
      <c r="AK22" s="1110"/>
      <c r="AL22" s="1110"/>
      <c r="AM22" s="1110"/>
      <c r="AN22" s="1110"/>
      <c r="AO22" s="1111"/>
      <c r="AP22" s="1142"/>
      <c r="AQ22" s="1143"/>
      <c r="AR22" s="1143"/>
      <c r="AS22" s="1144"/>
      <c r="AT22" s="1109" t="s">
        <v>769</v>
      </c>
      <c r="AU22" s="1110"/>
      <c r="AV22" s="1110"/>
      <c r="AW22" s="1110"/>
      <c r="AX22" s="1110"/>
      <c r="AY22" s="1111"/>
    </row>
    <row r="23" spans="1:51" ht="30" customHeight="1">
      <c r="A23" s="1136"/>
      <c r="B23" s="1137"/>
      <c r="C23" s="1138"/>
      <c r="D23" s="1109" t="s">
        <v>771</v>
      </c>
      <c r="E23" s="1110"/>
      <c r="F23" s="1110"/>
      <c r="G23" s="1110"/>
      <c r="H23" s="1110"/>
      <c r="I23" s="1111"/>
      <c r="J23" s="1145"/>
      <c r="K23" s="1146"/>
      <c r="L23" s="1146"/>
      <c r="M23" s="1146"/>
      <c r="N23" s="1146"/>
      <c r="O23" s="1147"/>
      <c r="P23" s="1109" t="s">
        <v>773</v>
      </c>
      <c r="Q23" s="1110"/>
      <c r="R23" s="1110"/>
      <c r="S23" s="1110"/>
      <c r="T23" s="1110"/>
      <c r="U23" s="1111"/>
      <c r="V23" s="1109" t="s">
        <v>297</v>
      </c>
      <c r="W23" s="1110"/>
      <c r="X23" s="1110"/>
      <c r="Y23" s="1110"/>
      <c r="Z23" s="1110"/>
      <c r="AA23" s="1110"/>
      <c r="AB23" s="1110"/>
      <c r="AC23" s="1111"/>
      <c r="AD23" s="1109" t="s">
        <v>297</v>
      </c>
      <c r="AE23" s="1110"/>
      <c r="AF23" s="1110"/>
      <c r="AG23" s="1110"/>
      <c r="AH23" s="1110"/>
      <c r="AI23" s="1110"/>
      <c r="AJ23" s="1110"/>
      <c r="AK23" s="1110"/>
      <c r="AL23" s="1110"/>
      <c r="AM23" s="1110"/>
      <c r="AN23" s="1110"/>
      <c r="AO23" s="1111"/>
      <c r="AP23" s="1145"/>
      <c r="AQ23" s="1146"/>
      <c r="AR23" s="1146"/>
      <c r="AS23" s="1147"/>
      <c r="AT23" s="1109" t="s">
        <v>75</v>
      </c>
      <c r="AU23" s="1110"/>
      <c r="AV23" s="1110"/>
      <c r="AW23" s="1110"/>
      <c r="AX23" s="1110"/>
      <c r="AY23" s="1111"/>
    </row>
  </sheetData>
  <sheetProtection/>
  <mergeCells count="56">
    <mergeCell ref="AX4:AY4"/>
    <mergeCell ref="AX3:AY3"/>
    <mergeCell ref="A3:AW4"/>
    <mergeCell ref="AX2:AY2"/>
    <mergeCell ref="A2:AW2"/>
    <mergeCell ref="D23:I23"/>
    <mergeCell ref="P23:U23"/>
    <mergeCell ref="V23:AC23"/>
    <mergeCell ref="AD23:AO23"/>
    <mergeCell ref="AT23:AY23"/>
    <mergeCell ref="AT21:AY21"/>
    <mergeCell ref="D22:I22"/>
    <mergeCell ref="P22:U22"/>
    <mergeCell ref="V22:AC22"/>
    <mergeCell ref="AD22:AO22"/>
    <mergeCell ref="AT22:AY22"/>
    <mergeCell ref="AH11:AS11"/>
    <mergeCell ref="AT11:AU11"/>
    <mergeCell ref="A21:C23"/>
    <mergeCell ref="D21:I21"/>
    <mergeCell ref="J21:O23"/>
    <mergeCell ref="P21:U21"/>
    <mergeCell ref="V21:AC21"/>
    <mergeCell ref="AD21:AO21"/>
    <mergeCell ref="AP21:AS23"/>
    <mergeCell ref="M11:M12"/>
    <mergeCell ref="A9:C9"/>
    <mergeCell ref="D9:AG9"/>
    <mergeCell ref="A10:C10"/>
    <mergeCell ref="D10:AG10"/>
    <mergeCell ref="N11:N12"/>
    <mergeCell ref="O11:S11"/>
    <mergeCell ref="T11:T12"/>
    <mergeCell ref="U11:U12"/>
    <mergeCell ref="V11:AG11"/>
    <mergeCell ref="A11:F11"/>
    <mergeCell ref="F6:G8"/>
    <mergeCell ref="H6:I6"/>
    <mergeCell ref="L11:L12"/>
    <mergeCell ref="K6:U8"/>
    <mergeCell ref="H7:I7"/>
    <mergeCell ref="H8:I8"/>
    <mergeCell ref="G11:H11"/>
    <mergeCell ref="I11:I12"/>
    <mergeCell ref="J11:J12"/>
    <mergeCell ref="K11:K12"/>
    <mergeCell ref="A1:AW1"/>
    <mergeCell ref="AX1:AY1"/>
    <mergeCell ref="A5:AG5"/>
    <mergeCell ref="AH5:AU10"/>
    <mergeCell ref="AV5:AV12"/>
    <mergeCell ref="AW5:AW12"/>
    <mergeCell ref="AX5:AX12"/>
    <mergeCell ref="AY5:AY12"/>
    <mergeCell ref="A6:C8"/>
    <mergeCell ref="D6:E8"/>
  </mergeCells>
  <printOptions/>
  <pageMargins left="0.7" right="0.7" top="0.75" bottom="0.75" header="0.3" footer="0.3"/>
  <pageSetup fitToHeight="1" fitToWidth="1" horizontalDpi="600" verticalDpi="600" orientation="landscape" scale="15" r:id="rId4"/>
  <drawing r:id="rId3"/>
  <legacyDrawing r:id="rId2"/>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AY21"/>
  <sheetViews>
    <sheetView view="pageBreakPreview" zoomScale="60" zoomScaleNormal="55" zoomScalePageLayoutView="0" workbookViewId="0" topLeftCell="AC18">
      <selection activeCell="AV13" sqref="AV13:AY18"/>
    </sheetView>
  </sheetViews>
  <sheetFormatPr defaultColWidth="10.8515625" defaultRowHeight="15"/>
  <cols>
    <col min="1" max="1" width="10.7109375" style="113" customWidth="1"/>
    <col min="2" max="2" width="11.421875" style="113" customWidth="1"/>
    <col min="3" max="3" width="17.28125" style="113" customWidth="1"/>
    <col min="4" max="4" width="8.28125" style="113" customWidth="1"/>
    <col min="5" max="5" width="11.7109375" style="113" customWidth="1"/>
    <col min="6" max="6" width="8.28125" style="113" customWidth="1"/>
    <col min="7" max="7" width="14.7109375" style="113" customWidth="1"/>
    <col min="8" max="8" width="15.57421875" style="113" customWidth="1"/>
    <col min="9" max="9" width="29.28125" style="113" customWidth="1"/>
    <col min="10" max="10" width="26.28125" style="113" customWidth="1"/>
    <col min="11" max="11" width="18.57421875" style="113" customWidth="1"/>
    <col min="12" max="12" width="16.57421875" style="113" customWidth="1"/>
    <col min="13" max="13" width="15.28125" style="113" customWidth="1"/>
    <col min="14" max="14" width="24.7109375" style="113" customWidth="1"/>
    <col min="15" max="19" width="8.7109375" style="113" customWidth="1"/>
    <col min="20" max="20" width="22.28125" style="113" customWidth="1"/>
    <col min="21" max="21" width="26.8515625" style="113" customWidth="1"/>
    <col min="22" max="23" width="7.7109375" style="113" customWidth="1"/>
    <col min="24" max="24" width="7.7109375" style="305" customWidth="1"/>
    <col min="25" max="26" width="7.7109375" style="131" customWidth="1"/>
    <col min="27" max="27" width="7.7109375" style="305" customWidth="1"/>
    <col min="28" max="29" width="7.7109375" style="131" customWidth="1"/>
    <col min="30" max="30" width="7.7109375" style="305" customWidth="1"/>
    <col min="31" max="32" width="7.7109375" style="131" customWidth="1"/>
    <col min="33" max="33" width="7.7109375" style="305" customWidth="1"/>
    <col min="34" max="38" width="7.7109375" style="113" customWidth="1"/>
    <col min="39" max="39" width="7.7109375" style="131" customWidth="1"/>
    <col min="40" max="45" width="7.7109375" style="113" customWidth="1"/>
    <col min="46" max="46" width="17.7109375" style="113" customWidth="1"/>
    <col min="47" max="47" width="14.140625" style="217" bestFit="1" customWidth="1"/>
    <col min="48" max="48" width="93.8515625" style="113" customWidth="1"/>
    <col min="49" max="49" width="107.7109375" style="113" customWidth="1"/>
    <col min="50" max="51" width="36.140625" style="113" customWidth="1"/>
    <col min="52" max="16384" width="10.8515625" style="113" customWidth="1"/>
  </cols>
  <sheetData>
    <row r="1" spans="1:51" ht="15.75" customHeight="1">
      <c r="A1" s="777" t="s">
        <v>16</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M1" s="778"/>
      <c r="AN1" s="778"/>
      <c r="AO1" s="778"/>
      <c r="AP1" s="778"/>
      <c r="AQ1" s="778"/>
      <c r="AR1" s="778"/>
      <c r="AS1" s="778"/>
      <c r="AT1" s="778"/>
      <c r="AU1" s="778"/>
      <c r="AV1" s="778"/>
      <c r="AW1" s="779"/>
      <c r="AX1" s="1126" t="s">
        <v>423</v>
      </c>
      <c r="AY1" s="1127"/>
    </row>
    <row r="2" spans="1:51" ht="15.75" customHeight="1">
      <c r="A2" s="1152" t="s">
        <v>17</v>
      </c>
      <c r="B2" s="1153"/>
      <c r="C2" s="1153"/>
      <c r="D2" s="1153"/>
      <c r="E2" s="1153"/>
      <c r="F2" s="1153"/>
      <c r="G2" s="1153"/>
      <c r="H2" s="1153"/>
      <c r="I2" s="1153"/>
      <c r="J2" s="1153"/>
      <c r="K2" s="1153"/>
      <c r="L2" s="1153"/>
      <c r="M2" s="1153"/>
      <c r="N2" s="1153"/>
      <c r="O2" s="1153"/>
      <c r="P2" s="1153"/>
      <c r="Q2" s="1153"/>
      <c r="R2" s="1153"/>
      <c r="S2" s="1153"/>
      <c r="T2" s="1153"/>
      <c r="U2" s="1153"/>
      <c r="V2" s="1153"/>
      <c r="W2" s="1153"/>
      <c r="X2" s="1153"/>
      <c r="Y2" s="1153"/>
      <c r="Z2" s="1153"/>
      <c r="AA2" s="1153"/>
      <c r="AB2" s="1153"/>
      <c r="AC2" s="1153"/>
      <c r="AD2" s="1153"/>
      <c r="AE2" s="1153"/>
      <c r="AF2" s="1153"/>
      <c r="AG2" s="1153"/>
      <c r="AH2" s="1153"/>
      <c r="AI2" s="1153"/>
      <c r="AJ2" s="1153"/>
      <c r="AK2" s="1153"/>
      <c r="AL2" s="1153"/>
      <c r="AM2" s="1153"/>
      <c r="AN2" s="1153"/>
      <c r="AO2" s="1153"/>
      <c r="AP2" s="1153"/>
      <c r="AQ2" s="1153"/>
      <c r="AR2" s="1153"/>
      <c r="AS2" s="1153"/>
      <c r="AT2" s="1153"/>
      <c r="AU2" s="1153"/>
      <c r="AV2" s="1153"/>
      <c r="AW2" s="1154"/>
      <c r="AX2" s="1151" t="s">
        <v>418</v>
      </c>
      <c r="AY2" s="1172"/>
    </row>
    <row r="3" spans="1:51" ht="15" customHeight="1">
      <c r="A3" s="789" t="s">
        <v>195</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c r="AM3" s="790"/>
      <c r="AN3" s="790"/>
      <c r="AO3" s="790"/>
      <c r="AP3" s="790"/>
      <c r="AQ3" s="790"/>
      <c r="AR3" s="790"/>
      <c r="AS3" s="790"/>
      <c r="AT3" s="790"/>
      <c r="AU3" s="790"/>
      <c r="AV3" s="790"/>
      <c r="AW3" s="791"/>
      <c r="AX3" s="1151" t="s">
        <v>424</v>
      </c>
      <c r="AY3" s="1172"/>
    </row>
    <row r="4" spans="1:51" ht="15.75" customHeight="1">
      <c r="A4" s="777"/>
      <c r="B4" s="778"/>
      <c r="C4" s="778"/>
      <c r="D4" s="778"/>
      <c r="E4" s="778"/>
      <c r="F4" s="778"/>
      <c r="G4" s="778"/>
      <c r="H4" s="778"/>
      <c r="I4" s="778"/>
      <c r="J4" s="778"/>
      <c r="K4" s="778"/>
      <c r="L4" s="778"/>
      <c r="M4" s="778"/>
      <c r="N4" s="778"/>
      <c r="O4" s="778"/>
      <c r="P4" s="778"/>
      <c r="Q4" s="778"/>
      <c r="R4" s="778"/>
      <c r="S4" s="778"/>
      <c r="T4" s="778"/>
      <c r="U4" s="778"/>
      <c r="V4" s="778"/>
      <c r="W4" s="778"/>
      <c r="X4" s="778"/>
      <c r="Y4" s="778"/>
      <c r="Z4" s="778"/>
      <c r="AA4" s="778"/>
      <c r="AB4" s="778"/>
      <c r="AC4" s="778"/>
      <c r="AD4" s="778"/>
      <c r="AE4" s="778"/>
      <c r="AF4" s="778"/>
      <c r="AG4" s="778"/>
      <c r="AH4" s="778"/>
      <c r="AI4" s="778"/>
      <c r="AJ4" s="778"/>
      <c r="AK4" s="778"/>
      <c r="AL4" s="778"/>
      <c r="AM4" s="778"/>
      <c r="AN4" s="778"/>
      <c r="AO4" s="778"/>
      <c r="AP4" s="778"/>
      <c r="AQ4" s="778"/>
      <c r="AR4" s="778"/>
      <c r="AS4" s="778"/>
      <c r="AT4" s="778"/>
      <c r="AU4" s="778"/>
      <c r="AV4" s="778"/>
      <c r="AW4" s="779"/>
      <c r="AX4" s="776" t="s">
        <v>780</v>
      </c>
      <c r="AY4" s="776"/>
    </row>
    <row r="5" spans="1:51" ht="15" customHeight="1" thickBot="1">
      <c r="A5" s="780" t="s">
        <v>174</v>
      </c>
      <c r="B5" s="781"/>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2"/>
      <c r="AH5" s="805" t="s">
        <v>69</v>
      </c>
      <c r="AI5" s="806"/>
      <c r="AJ5" s="806"/>
      <c r="AK5" s="806"/>
      <c r="AL5" s="806"/>
      <c r="AM5" s="806"/>
      <c r="AN5" s="806"/>
      <c r="AO5" s="806"/>
      <c r="AP5" s="806"/>
      <c r="AQ5" s="806"/>
      <c r="AR5" s="806"/>
      <c r="AS5" s="806"/>
      <c r="AT5" s="806"/>
      <c r="AU5" s="807"/>
      <c r="AV5" s="795" t="s">
        <v>409</v>
      </c>
      <c r="AW5" s="795" t="s">
        <v>410</v>
      </c>
      <c r="AX5" s="795" t="s">
        <v>298</v>
      </c>
      <c r="AY5" s="795" t="s">
        <v>299</v>
      </c>
    </row>
    <row r="6" spans="1:51" ht="15" customHeight="1">
      <c r="A6" s="814" t="s">
        <v>71</v>
      </c>
      <c r="B6" s="814"/>
      <c r="C6" s="814"/>
      <c r="D6" s="864" t="s">
        <v>861</v>
      </c>
      <c r="E6" s="865"/>
      <c r="F6" s="805" t="s">
        <v>67</v>
      </c>
      <c r="G6" s="807"/>
      <c r="H6" s="1171" t="s">
        <v>70</v>
      </c>
      <c r="I6" s="1171"/>
      <c r="J6" s="121"/>
      <c r="K6" s="805"/>
      <c r="L6" s="806"/>
      <c r="M6" s="806"/>
      <c r="N6" s="806"/>
      <c r="O6" s="806"/>
      <c r="P6" s="806"/>
      <c r="Q6" s="806"/>
      <c r="R6" s="806"/>
      <c r="S6" s="806"/>
      <c r="T6" s="806"/>
      <c r="U6" s="806"/>
      <c r="V6" s="114"/>
      <c r="W6" s="114"/>
      <c r="X6" s="295"/>
      <c r="Y6" s="226"/>
      <c r="Z6" s="226"/>
      <c r="AA6" s="295"/>
      <c r="AB6" s="226"/>
      <c r="AC6" s="226"/>
      <c r="AD6" s="295"/>
      <c r="AE6" s="226"/>
      <c r="AF6" s="226"/>
      <c r="AG6" s="296"/>
      <c r="AH6" s="808"/>
      <c r="AI6" s="1170"/>
      <c r="AJ6" s="1170"/>
      <c r="AK6" s="1170"/>
      <c r="AL6" s="1170"/>
      <c r="AM6" s="1170"/>
      <c r="AN6" s="1170"/>
      <c r="AO6" s="1170"/>
      <c r="AP6" s="1170"/>
      <c r="AQ6" s="1170"/>
      <c r="AR6" s="1170"/>
      <c r="AS6" s="1170"/>
      <c r="AT6" s="1170"/>
      <c r="AU6" s="810"/>
      <c r="AV6" s="803"/>
      <c r="AW6" s="803"/>
      <c r="AX6" s="803"/>
      <c r="AY6" s="803"/>
    </row>
    <row r="7" spans="1:51" ht="15" customHeight="1">
      <c r="A7" s="814"/>
      <c r="B7" s="814"/>
      <c r="C7" s="814"/>
      <c r="D7" s="866"/>
      <c r="E7" s="867"/>
      <c r="F7" s="808"/>
      <c r="G7" s="810"/>
      <c r="H7" s="1171" t="s">
        <v>68</v>
      </c>
      <c r="I7" s="1171"/>
      <c r="J7" s="121"/>
      <c r="K7" s="808"/>
      <c r="L7" s="1170"/>
      <c r="M7" s="1170"/>
      <c r="N7" s="1170"/>
      <c r="O7" s="1170"/>
      <c r="P7" s="1170"/>
      <c r="Q7" s="1170"/>
      <c r="R7" s="1170"/>
      <c r="S7" s="1170"/>
      <c r="T7" s="1170"/>
      <c r="U7" s="1170"/>
      <c r="V7" s="231"/>
      <c r="W7" s="231"/>
      <c r="X7" s="297"/>
      <c r="Y7" s="298"/>
      <c r="Z7" s="298"/>
      <c r="AA7" s="297"/>
      <c r="AB7" s="298"/>
      <c r="AC7" s="298"/>
      <c r="AD7" s="297"/>
      <c r="AE7" s="298"/>
      <c r="AF7" s="298"/>
      <c r="AG7" s="299"/>
      <c r="AH7" s="808"/>
      <c r="AI7" s="1170"/>
      <c r="AJ7" s="1170"/>
      <c r="AK7" s="1170"/>
      <c r="AL7" s="1170"/>
      <c r="AM7" s="1170"/>
      <c r="AN7" s="1170"/>
      <c r="AO7" s="1170"/>
      <c r="AP7" s="1170"/>
      <c r="AQ7" s="1170"/>
      <c r="AR7" s="1170"/>
      <c r="AS7" s="1170"/>
      <c r="AT7" s="1170"/>
      <c r="AU7" s="810"/>
      <c r="AV7" s="803"/>
      <c r="AW7" s="803"/>
      <c r="AX7" s="803"/>
      <c r="AY7" s="803"/>
    </row>
    <row r="8" spans="1:51" ht="15" customHeight="1" thickBot="1">
      <c r="A8" s="814"/>
      <c r="B8" s="814"/>
      <c r="C8" s="814"/>
      <c r="D8" s="868"/>
      <c r="E8" s="869"/>
      <c r="F8" s="811"/>
      <c r="G8" s="813"/>
      <c r="H8" s="1171" t="s">
        <v>69</v>
      </c>
      <c r="I8" s="1171"/>
      <c r="J8" s="121" t="s">
        <v>425</v>
      </c>
      <c r="K8" s="811"/>
      <c r="L8" s="812"/>
      <c r="M8" s="812"/>
      <c r="N8" s="812"/>
      <c r="O8" s="812"/>
      <c r="P8" s="812"/>
      <c r="Q8" s="812"/>
      <c r="R8" s="812"/>
      <c r="S8" s="812"/>
      <c r="T8" s="812"/>
      <c r="U8" s="812"/>
      <c r="V8" s="118"/>
      <c r="W8" s="118"/>
      <c r="X8" s="300"/>
      <c r="Y8" s="227"/>
      <c r="Z8" s="227"/>
      <c r="AA8" s="300"/>
      <c r="AB8" s="227"/>
      <c r="AC8" s="227"/>
      <c r="AD8" s="300"/>
      <c r="AE8" s="227"/>
      <c r="AF8" s="227"/>
      <c r="AG8" s="301"/>
      <c r="AH8" s="808"/>
      <c r="AI8" s="1170"/>
      <c r="AJ8" s="1170"/>
      <c r="AK8" s="1170"/>
      <c r="AL8" s="1170"/>
      <c r="AM8" s="1170"/>
      <c r="AN8" s="1170"/>
      <c r="AO8" s="1170"/>
      <c r="AP8" s="1170"/>
      <c r="AQ8" s="1170"/>
      <c r="AR8" s="1170"/>
      <c r="AS8" s="1170"/>
      <c r="AT8" s="1170"/>
      <c r="AU8" s="810"/>
      <c r="AV8" s="803"/>
      <c r="AW8" s="803"/>
      <c r="AX8" s="803"/>
      <c r="AY8" s="803"/>
    </row>
    <row r="9" spans="1:51" ht="15" customHeight="1">
      <c r="A9" s="816" t="s">
        <v>399</v>
      </c>
      <c r="B9" s="817"/>
      <c r="C9" s="818"/>
      <c r="D9" s="819"/>
      <c r="E9" s="820"/>
      <c r="F9" s="820"/>
      <c r="G9" s="820"/>
      <c r="H9" s="820"/>
      <c r="I9" s="820"/>
      <c r="J9" s="820"/>
      <c r="K9" s="821"/>
      <c r="L9" s="821"/>
      <c r="M9" s="821"/>
      <c r="N9" s="821"/>
      <c r="O9" s="821"/>
      <c r="P9" s="821"/>
      <c r="Q9" s="821"/>
      <c r="R9" s="821"/>
      <c r="S9" s="821"/>
      <c r="T9" s="821"/>
      <c r="U9" s="821"/>
      <c r="V9" s="821"/>
      <c r="W9" s="821"/>
      <c r="X9" s="821"/>
      <c r="Y9" s="821"/>
      <c r="Z9" s="821"/>
      <c r="AA9" s="821"/>
      <c r="AB9" s="821"/>
      <c r="AC9" s="821"/>
      <c r="AD9" s="821"/>
      <c r="AE9" s="821"/>
      <c r="AF9" s="821"/>
      <c r="AG9" s="822"/>
      <c r="AH9" s="808"/>
      <c r="AI9" s="1170"/>
      <c r="AJ9" s="1170"/>
      <c r="AK9" s="1170"/>
      <c r="AL9" s="1170"/>
      <c r="AM9" s="1170"/>
      <c r="AN9" s="1170"/>
      <c r="AO9" s="1170"/>
      <c r="AP9" s="1170"/>
      <c r="AQ9" s="1170"/>
      <c r="AR9" s="1170"/>
      <c r="AS9" s="1170"/>
      <c r="AT9" s="1170"/>
      <c r="AU9" s="810"/>
      <c r="AV9" s="803"/>
      <c r="AW9" s="803"/>
      <c r="AX9" s="803"/>
      <c r="AY9" s="803"/>
    </row>
    <row r="10" spans="1:51" ht="15" customHeight="1">
      <c r="A10" s="816" t="s">
        <v>287</v>
      </c>
      <c r="B10" s="817"/>
      <c r="C10" s="818"/>
      <c r="D10" s="823" t="s">
        <v>500</v>
      </c>
      <c r="E10" s="821"/>
      <c r="F10" s="821"/>
      <c r="G10" s="821"/>
      <c r="H10" s="821"/>
      <c r="I10" s="821"/>
      <c r="J10" s="821"/>
      <c r="K10" s="821"/>
      <c r="L10" s="821"/>
      <c r="M10" s="821"/>
      <c r="N10" s="821"/>
      <c r="O10" s="821"/>
      <c r="P10" s="821"/>
      <c r="Q10" s="821"/>
      <c r="R10" s="821"/>
      <c r="S10" s="821"/>
      <c r="T10" s="821"/>
      <c r="U10" s="821"/>
      <c r="V10" s="821"/>
      <c r="W10" s="821"/>
      <c r="X10" s="821"/>
      <c r="Y10" s="821"/>
      <c r="Z10" s="821"/>
      <c r="AA10" s="821"/>
      <c r="AB10" s="821"/>
      <c r="AC10" s="821"/>
      <c r="AD10" s="821"/>
      <c r="AE10" s="821"/>
      <c r="AF10" s="821"/>
      <c r="AG10" s="822"/>
      <c r="AH10" s="811"/>
      <c r="AI10" s="812"/>
      <c r="AJ10" s="812"/>
      <c r="AK10" s="812"/>
      <c r="AL10" s="812"/>
      <c r="AM10" s="812"/>
      <c r="AN10" s="812"/>
      <c r="AO10" s="812"/>
      <c r="AP10" s="812"/>
      <c r="AQ10" s="812"/>
      <c r="AR10" s="812"/>
      <c r="AS10" s="812"/>
      <c r="AT10" s="812"/>
      <c r="AU10" s="813"/>
      <c r="AV10" s="803"/>
      <c r="AW10" s="803"/>
      <c r="AX10" s="803"/>
      <c r="AY10" s="803"/>
    </row>
    <row r="11" spans="1:51" ht="39.75" customHeight="1">
      <c r="A11" s="792" t="s">
        <v>168</v>
      </c>
      <c r="B11" s="797"/>
      <c r="C11" s="797"/>
      <c r="D11" s="797"/>
      <c r="E11" s="797"/>
      <c r="F11" s="793"/>
      <c r="G11" s="792" t="s">
        <v>278</v>
      </c>
      <c r="H11" s="793"/>
      <c r="I11" s="795" t="s">
        <v>179</v>
      </c>
      <c r="J11" s="795" t="s">
        <v>279</v>
      </c>
      <c r="K11" s="795" t="s">
        <v>323</v>
      </c>
      <c r="L11" s="795" t="s">
        <v>363</v>
      </c>
      <c r="M11" s="795" t="s">
        <v>167</v>
      </c>
      <c r="N11" s="795" t="s">
        <v>182</v>
      </c>
      <c r="O11" s="792" t="s">
        <v>284</v>
      </c>
      <c r="P11" s="797"/>
      <c r="Q11" s="797"/>
      <c r="R11" s="797"/>
      <c r="S11" s="793"/>
      <c r="T11" s="795" t="s">
        <v>173</v>
      </c>
      <c r="U11" s="795" t="s">
        <v>285</v>
      </c>
      <c r="V11" s="780" t="s">
        <v>370</v>
      </c>
      <c r="W11" s="781"/>
      <c r="X11" s="781"/>
      <c r="Y11" s="781"/>
      <c r="Z11" s="781"/>
      <c r="AA11" s="781"/>
      <c r="AB11" s="781"/>
      <c r="AC11" s="781"/>
      <c r="AD11" s="781"/>
      <c r="AE11" s="781"/>
      <c r="AF11" s="781"/>
      <c r="AG11" s="782"/>
      <c r="AH11" s="780" t="s">
        <v>87</v>
      </c>
      <c r="AI11" s="781"/>
      <c r="AJ11" s="781"/>
      <c r="AK11" s="781"/>
      <c r="AL11" s="781"/>
      <c r="AM11" s="781"/>
      <c r="AN11" s="781"/>
      <c r="AO11" s="781"/>
      <c r="AP11" s="781"/>
      <c r="AQ11" s="781"/>
      <c r="AR11" s="781"/>
      <c r="AS11" s="782"/>
      <c r="AT11" s="792" t="s">
        <v>8</v>
      </c>
      <c r="AU11" s="793"/>
      <c r="AV11" s="803"/>
      <c r="AW11" s="803"/>
      <c r="AX11" s="803"/>
      <c r="AY11" s="803"/>
    </row>
    <row r="12" spans="1:51" ht="37.5" customHeight="1">
      <c r="A12" s="120" t="s">
        <v>169</v>
      </c>
      <c r="B12" s="120" t="s">
        <v>170</v>
      </c>
      <c r="C12" s="120" t="s">
        <v>171</v>
      </c>
      <c r="D12" s="120" t="s">
        <v>178</v>
      </c>
      <c r="E12" s="120" t="s">
        <v>185</v>
      </c>
      <c r="F12" s="120" t="s">
        <v>186</v>
      </c>
      <c r="G12" s="120" t="s">
        <v>277</v>
      </c>
      <c r="H12" s="120" t="s">
        <v>184</v>
      </c>
      <c r="I12" s="796"/>
      <c r="J12" s="796"/>
      <c r="K12" s="796"/>
      <c r="L12" s="796"/>
      <c r="M12" s="796"/>
      <c r="N12" s="796"/>
      <c r="O12" s="120">
        <v>2020</v>
      </c>
      <c r="P12" s="120">
        <v>2021</v>
      </c>
      <c r="Q12" s="120">
        <v>2022</v>
      </c>
      <c r="R12" s="120">
        <v>2023</v>
      </c>
      <c r="S12" s="120">
        <v>2024</v>
      </c>
      <c r="T12" s="796"/>
      <c r="U12" s="796"/>
      <c r="V12" s="229" t="s">
        <v>39</v>
      </c>
      <c r="W12" s="229" t="s">
        <v>40</v>
      </c>
      <c r="X12" s="302" t="s">
        <v>41</v>
      </c>
      <c r="Y12" s="229" t="s">
        <v>42</v>
      </c>
      <c r="Z12" s="229" t="s">
        <v>43</v>
      </c>
      <c r="AA12" s="302" t="s">
        <v>44</v>
      </c>
      <c r="AB12" s="229" t="s">
        <v>45</v>
      </c>
      <c r="AC12" s="229" t="s">
        <v>46</v>
      </c>
      <c r="AD12" s="302" t="s">
        <v>47</v>
      </c>
      <c r="AE12" s="229" t="s">
        <v>48</v>
      </c>
      <c r="AF12" s="229" t="s">
        <v>49</v>
      </c>
      <c r="AG12" s="302" t="s">
        <v>50</v>
      </c>
      <c r="AH12" s="229" t="s">
        <v>39</v>
      </c>
      <c r="AI12" s="229" t="s">
        <v>40</v>
      </c>
      <c r="AJ12" s="229" t="s">
        <v>41</v>
      </c>
      <c r="AK12" s="229" t="s">
        <v>42</v>
      </c>
      <c r="AL12" s="229" t="s">
        <v>43</v>
      </c>
      <c r="AM12" s="462" t="s">
        <v>44</v>
      </c>
      <c r="AN12" s="229" t="s">
        <v>45</v>
      </c>
      <c r="AO12" s="229" t="s">
        <v>46</v>
      </c>
      <c r="AP12" s="229" t="s">
        <v>47</v>
      </c>
      <c r="AQ12" s="229" t="s">
        <v>48</v>
      </c>
      <c r="AR12" s="229" t="s">
        <v>49</v>
      </c>
      <c r="AS12" s="229" t="s">
        <v>50</v>
      </c>
      <c r="AT12" s="120" t="s">
        <v>413</v>
      </c>
      <c r="AU12" s="216" t="s">
        <v>88</v>
      </c>
      <c r="AV12" s="796"/>
      <c r="AW12" s="796"/>
      <c r="AX12" s="796"/>
      <c r="AY12" s="796"/>
    </row>
    <row r="13" spans="1:51" ht="409.5" customHeight="1">
      <c r="A13" s="121"/>
      <c r="B13" s="121"/>
      <c r="C13" s="121"/>
      <c r="D13" s="121"/>
      <c r="E13" s="121" t="s">
        <v>425</v>
      </c>
      <c r="F13" s="121"/>
      <c r="G13" s="122" t="s">
        <v>534</v>
      </c>
      <c r="H13" s="122" t="s">
        <v>839</v>
      </c>
      <c r="I13" s="122" t="s">
        <v>535</v>
      </c>
      <c r="J13" s="122" t="s">
        <v>536</v>
      </c>
      <c r="K13" s="122" t="s">
        <v>522</v>
      </c>
      <c r="L13" s="122" t="s">
        <v>480</v>
      </c>
      <c r="M13" s="122" t="s">
        <v>431</v>
      </c>
      <c r="N13" s="122" t="s">
        <v>537</v>
      </c>
      <c r="O13" s="123"/>
      <c r="P13" s="123"/>
      <c r="Q13" s="123"/>
      <c r="R13" s="293">
        <v>0.9</v>
      </c>
      <c r="S13" s="123"/>
      <c r="T13" s="123" t="s">
        <v>538</v>
      </c>
      <c r="U13" s="303" t="s">
        <v>539</v>
      </c>
      <c r="V13" s="124"/>
      <c r="W13" s="124"/>
      <c r="X13" s="304">
        <v>0.08</v>
      </c>
      <c r="Y13" s="121"/>
      <c r="Z13" s="121"/>
      <c r="AA13" s="304">
        <v>0.25</v>
      </c>
      <c r="AB13" s="121"/>
      <c r="AC13" s="465"/>
      <c r="AD13" s="244">
        <v>0.3</v>
      </c>
      <c r="AE13" s="465"/>
      <c r="AF13" s="465"/>
      <c r="AG13" s="244">
        <v>0.27</v>
      </c>
      <c r="AH13" s="471"/>
      <c r="AI13" s="471"/>
      <c r="AJ13" s="244">
        <v>0.07</v>
      </c>
      <c r="AK13" s="471"/>
      <c r="AL13" s="471"/>
      <c r="AM13" s="244">
        <v>0.26</v>
      </c>
      <c r="AN13" s="471"/>
      <c r="AO13" s="471"/>
      <c r="AP13" s="452">
        <v>0.29</v>
      </c>
      <c r="AQ13" s="124"/>
      <c r="AR13" s="124"/>
      <c r="AS13" s="124"/>
      <c r="AT13" s="452">
        <f>SUM(AH13:AS13)</f>
        <v>0.62</v>
      </c>
      <c r="AU13" s="304">
        <f>+AT13/R13</f>
        <v>0.6888888888888889</v>
      </c>
      <c r="AV13" s="491" t="s">
        <v>925</v>
      </c>
      <c r="AW13" s="527" t="s">
        <v>926</v>
      </c>
      <c r="AX13" s="493"/>
      <c r="AY13" s="493"/>
    </row>
    <row r="14" spans="1:51" ht="277.5" customHeight="1">
      <c r="A14" s="1155"/>
      <c r="B14" s="1155"/>
      <c r="C14" s="1155"/>
      <c r="D14" s="1155"/>
      <c r="E14" s="1155" t="s">
        <v>425</v>
      </c>
      <c r="F14" s="1155"/>
      <c r="G14" s="1155" t="s">
        <v>534</v>
      </c>
      <c r="H14" s="1155" t="s">
        <v>540</v>
      </c>
      <c r="I14" s="1155" t="s">
        <v>541</v>
      </c>
      <c r="J14" s="1155" t="s">
        <v>542</v>
      </c>
      <c r="K14" s="1155" t="s">
        <v>522</v>
      </c>
      <c r="L14" s="1155" t="s">
        <v>480</v>
      </c>
      <c r="M14" s="1155" t="s">
        <v>431</v>
      </c>
      <c r="N14" s="1155" t="s">
        <v>543</v>
      </c>
      <c r="O14" s="1155"/>
      <c r="P14" s="1155"/>
      <c r="Q14" s="1155"/>
      <c r="R14" s="1159">
        <v>0.9</v>
      </c>
      <c r="S14" s="1155"/>
      <c r="T14" s="1155" t="s">
        <v>538</v>
      </c>
      <c r="U14" s="1155" t="s">
        <v>539</v>
      </c>
      <c r="V14" s="1161"/>
      <c r="W14" s="1161"/>
      <c r="X14" s="1161">
        <v>0.2</v>
      </c>
      <c r="Y14" s="1161"/>
      <c r="Z14" s="1161"/>
      <c r="AA14" s="1161">
        <v>0.35</v>
      </c>
      <c r="AB14" s="1161"/>
      <c r="AC14" s="1163"/>
      <c r="AD14" s="1163">
        <v>0.25</v>
      </c>
      <c r="AE14" s="1163"/>
      <c r="AF14" s="1163"/>
      <c r="AG14" s="1163">
        <v>0.1</v>
      </c>
      <c r="AH14" s="1163"/>
      <c r="AI14" s="1163"/>
      <c r="AJ14" s="1163">
        <v>0.2</v>
      </c>
      <c r="AK14" s="1163"/>
      <c r="AL14" s="1163"/>
      <c r="AM14" s="1163">
        <v>0.34</v>
      </c>
      <c r="AN14" s="1163"/>
      <c r="AO14" s="1163"/>
      <c r="AP14" s="1163">
        <v>0.26</v>
      </c>
      <c r="AQ14" s="1161"/>
      <c r="AR14" s="1161"/>
      <c r="AS14" s="1161"/>
      <c r="AT14" s="1161">
        <f>SUM(AH14:AS14)</f>
        <v>0.8</v>
      </c>
      <c r="AU14" s="1161">
        <f>+AT14/R14</f>
        <v>0.888888888888889</v>
      </c>
      <c r="AV14" s="1165" t="s">
        <v>925</v>
      </c>
      <c r="AW14" s="1165" t="s">
        <v>927</v>
      </c>
      <c r="AX14" s="1167"/>
      <c r="AY14" s="1167"/>
    </row>
    <row r="15" spans="1:51" ht="409.5" customHeight="1">
      <c r="A15" s="1156"/>
      <c r="B15" s="1156"/>
      <c r="C15" s="1156"/>
      <c r="D15" s="1156"/>
      <c r="E15" s="1156"/>
      <c r="F15" s="1156"/>
      <c r="G15" s="1156"/>
      <c r="H15" s="1156"/>
      <c r="I15" s="1156"/>
      <c r="J15" s="1156"/>
      <c r="K15" s="1156"/>
      <c r="L15" s="1156"/>
      <c r="M15" s="1156"/>
      <c r="N15" s="1156"/>
      <c r="O15" s="1156"/>
      <c r="P15" s="1156"/>
      <c r="Q15" s="1156"/>
      <c r="R15" s="1160"/>
      <c r="S15" s="1156"/>
      <c r="T15" s="1156"/>
      <c r="U15" s="1156"/>
      <c r="V15" s="1162"/>
      <c r="W15" s="1162"/>
      <c r="X15" s="1162"/>
      <c r="Y15" s="1162"/>
      <c r="Z15" s="1162"/>
      <c r="AA15" s="1162"/>
      <c r="AB15" s="1162"/>
      <c r="AC15" s="1164"/>
      <c r="AD15" s="1164"/>
      <c r="AE15" s="1164"/>
      <c r="AF15" s="1164"/>
      <c r="AG15" s="1164"/>
      <c r="AH15" s="1164"/>
      <c r="AI15" s="1164"/>
      <c r="AJ15" s="1164"/>
      <c r="AK15" s="1164"/>
      <c r="AL15" s="1164"/>
      <c r="AM15" s="1164"/>
      <c r="AN15" s="1164"/>
      <c r="AO15" s="1164"/>
      <c r="AP15" s="1164"/>
      <c r="AQ15" s="1162"/>
      <c r="AR15" s="1162"/>
      <c r="AS15" s="1162"/>
      <c r="AT15" s="1162"/>
      <c r="AU15" s="1162"/>
      <c r="AV15" s="1166"/>
      <c r="AW15" s="1166"/>
      <c r="AX15" s="1169"/>
      <c r="AY15" s="1169"/>
    </row>
    <row r="16" spans="1:51" ht="264.75" customHeight="1">
      <c r="A16" s="1155"/>
      <c r="B16" s="1155"/>
      <c r="C16" s="1155"/>
      <c r="D16" s="1155"/>
      <c r="E16" s="1155" t="s">
        <v>425</v>
      </c>
      <c r="F16" s="1155"/>
      <c r="G16" s="1155" t="s">
        <v>534</v>
      </c>
      <c r="H16" s="1155" t="s">
        <v>544</v>
      </c>
      <c r="I16" s="1155" t="s">
        <v>545</v>
      </c>
      <c r="J16" s="1155" t="s">
        <v>546</v>
      </c>
      <c r="K16" s="1155" t="s">
        <v>522</v>
      </c>
      <c r="L16" s="1155" t="s">
        <v>480</v>
      </c>
      <c r="M16" s="1155" t="s">
        <v>431</v>
      </c>
      <c r="N16" s="1155" t="s">
        <v>547</v>
      </c>
      <c r="O16" s="1155"/>
      <c r="P16" s="1155"/>
      <c r="Q16" s="1155"/>
      <c r="R16" s="1159">
        <v>0.9</v>
      </c>
      <c r="S16" s="1155"/>
      <c r="T16" s="1157" t="s">
        <v>538</v>
      </c>
      <c r="U16" s="1155" t="s">
        <v>539</v>
      </c>
      <c r="V16" s="1161"/>
      <c r="W16" s="1161"/>
      <c r="X16" s="1161">
        <v>0.17</v>
      </c>
      <c r="Y16" s="1161"/>
      <c r="Z16" s="1161"/>
      <c r="AA16" s="1161">
        <v>0.25</v>
      </c>
      <c r="AB16" s="1161"/>
      <c r="AC16" s="1163"/>
      <c r="AD16" s="1163">
        <v>0.28</v>
      </c>
      <c r="AE16" s="1163"/>
      <c r="AF16" s="1163"/>
      <c r="AG16" s="1163">
        <v>0.2</v>
      </c>
      <c r="AH16" s="1163"/>
      <c r="AI16" s="1163"/>
      <c r="AJ16" s="1163">
        <v>0.16</v>
      </c>
      <c r="AK16" s="1163"/>
      <c r="AL16" s="1163"/>
      <c r="AM16" s="1163">
        <v>0.24</v>
      </c>
      <c r="AN16" s="1163"/>
      <c r="AO16" s="1163"/>
      <c r="AP16" s="1161">
        <v>0.27</v>
      </c>
      <c r="AQ16" s="1161"/>
      <c r="AR16" s="1161"/>
      <c r="AS16" s="1161"/>
      <c r="AT16" s="1161">
        <f>SUM(AH16:AS16)</f>
        <v>0.67</v>
      </c>
      <c r="AU16" s="1161">
        <f>+AT16/R16</f>
        <v>0.7444444444444445</v>
      </c>
      <c r="AV16" s="1165" t="s">
        <v>925</v>
      </c>
      <c r="AW16" s="1165" t="s">
        <v>928</v>
      </c>
      <c r="AX16" s="1167"/>
      <c r="AY16" s="1167"/>
    </row>
    <row r="17" spans="1:51" ht="303.75" customHeight="1">
      <c r="A17" s="1156"/>
      <c r="B17" s="1156"/>
      <c r="C17" s="1156"/>
      <c r="D17" s="1156"/>
      <c r="E17" s="1156"/>
      <c r="F17" s="1156"/>
      <c r="G17" s="1156"/>
      <c r="H17" s="1156"/>
      <c r="I17" s="1156"/>
      <c r="J17" s="1156"/>
      <c r="K17" s="1156"/>
      <c r="L17" s="1156"/>
      <c r="M17" s="1156"/>
      <c r="N17" s="1156"/>
      <c r="O17" s="1156"/>
      <c r="P17" s="1156"/>
      <c r="Q17" s="1156"/>
      <c r="R17" s="1160"/>
      <c r="S17" s="1156"/>
      <c r="T17" s="1158"/>
      <c r="U17" s="1156"/>
      <c r="V17" s="1162"/>
      <c r="W17" s="1162"/>
      <c r="X17" s="1162"/>
      <c r="Y17" s="1162"/>
      <c r="Z17" s="1162"/>
      <c r="AA17" s="1162"/>
      <c r="AB17" s="1162"/>
      <c r="AC17" s="1164"/>
      <c r="AD17" s="1164"/>
      <c r="AE17" s="1164"/>
      <c r="AF17" s="1164"/>
      <c r="AG17" s="1164"/>
      <c r="AH17" s="1164"/>
      <c r="AI17" s="1164"/>
      <c r="AJ17" s="1164"/>
      <c r="AK17" s="1164"/>
      <c r="AL17" s="1164"/>
      <c r="AM17" s="1164"/>
      <c r="AN17" s="1164"/>
      <c r="AO17" s="1164"/>
      <c r="AP17" s="1162"/>
      <c r="AQ17" s="1162"/>
      <c r="AR17" s="1162"/>
      <c r="AS17" s="1162"/>
      <c r="AT17" s="1162"/>
      <c r="AU17" s="1162"/>
      <c r="AV17" s="1166"/>
      <c r="AW17" s="1166"/>
      <c r="AX17" s="1168"/>
      <c r="AY17" s="1168"/>
    </row>
    <row r="18" spans="1:51" ht="409.5" customHeight="1">
      <c r="A18" s="121"/>
      <c r="B18" s="121"/>
      <c r="C18" s="121"/>
      <c r="D18" s="121"/>
      <c r="E18" s="451" t="s">
        <v>425</v>
      </c>
      <c r="F18" s="121"/>
      <c r="G18" s="122" t="s">
        <v>534</v>
      </c>
      <c r="H18" s="122" t="s">
        <v>840</v>
      </c>
      <c r="I18" s="122" t="s">
        <v>548</v>
      </c>
      <c r="J18" s="122" t="s">
        <v>549</v>
      </c>
      <c r="K18" s="121" t="s">
        <v>522</v>
      </c>
      <c r="L18" s="121" t="s">
        <v>480</v>
      </c>
      <c r="M18" s="121" t="s">
        <v>431</v>
      </c>
      <c r="N18" s="122" t="s">
        <v>550</v>
      </c>
      <c r="O18" s="124"/>
      <c r="P18" s="124"/>
      <c r="Q18" s="124"/>
      <c r="R18" s="293">
        <v>1</v>
      </c>
      <c r="S18" s="124"/>
      <c r="T18" s="121" t="s">
        <v>551</v>
      </c>
      <c r="U18" s="303" t="s">
        <v>552</v>
      </c>
      <c r="V18" s="304"/>
      <c r="W18" s="304"/>
      <c r="X18" s="304"/>
      <c r="Y18" s="304">
        <v>0.3</v>
      </c>
      <c r="Z18" s="304"/>
      <c r="AA18" s="304"/>
      <c r="AB18" s="304"/>
      <c r="AC18" s="244">
        <v>0.2</v>
      </c>
      <c r="AD18" s="244"/>
      <c r="AE18" s="244"/>
      <c r="AF18" s="244"/>
      <c r="AG18" s="244">
        <v>0.5</v>
      </c>
      <c r="AH18" s="244"/>
      <c r="AI18" s="244"/>
      <c r="AJ18" s="244"/>
      <c r="AK18" s="244">
        <v>0.3</v>
      </c>
      <c r="AL18" s="244"/>
      <c r="AM18" s="244"/>
      <c r="AN18" s="244"/>
      <c r="AO18" s="244">
        <v>0.2</v>
      </c>
      <c r="AP18" s="452"/>
      <c r="AQ18" s="304"/>
      <c r="AR18" s="304"/>
      <c r="AS18" s="124"/>
      <c r="AT18" s="452">
        <f>SUM(AH18:AS18)</f>
        <v>0.5</v>
      </c>
      <c r="AU18" s="304">
        <f>+AT18/R18</f>
        <v>0.5</v>
      </c>
      <c r="AV18" s="491" t="s">
        <v>925</v>
      </c>
      <c r="AW18" s="491" t="s">
        <v>929</v>
      </c>
      <c r="AX18" s="494"/>
      <c r="AY18" s="494"/>
    </row>
    <row r="19" spans="1:51" ht="54" customHeight="1">
      <c r="A19" s="798" t="s">
        <v>64</v>
      </c>
      <c r="B19" s="798"/>
      <c r="C19" s="798"/>
      <c r="D19" s="794" t="s">
        <v>66</v>
      </c>
      <c r="E19" s="794"/>
      <c r="F19" s="794"/>
      <c r="G19" s="794"/>
      <c r="H19" s="794"/>
      <c r="I19" s="794"/>
      <c r="J19" s="799" t="s">
        <v>300</v>
      </c>
      <c r="K19" s="799"/>
      <c r="L19" s="799"/>
      <c r="M19" s="799"/>
      <c r="N19" s="799"/>
      <c r="O19" s="799"/>
      <c r="P19" s="794" t="s">
        <v>66</v>
      </c>
      <c r="Q19" s="794"/>
      <c r="R19" s="794"/>
      <c r="S19" s="794"/>
      <c r="T19" s="794"/>
      <c r="U19" s="794"/>
      <c r="V19" s="794" t="s">
        <v>66</v>
      </c>
      <c r="W19" s="794"/>
      <c r="X19" s="794"/>
      <c r="Y19" s="794"/>
      <c r="Z19" s="794"/>
      <c r="AA19" s="794"/>
      <c r="AB19" s="794"/>
      <c r="AC19" s="794"/>
      <c r="AD19" s="794" t="s">
        <v>66</v>
      </c>
      <c r="AE19" s="794"/>
      <c r="AF19" s="794"/>
      <c r="AG19" s="794"/>
      <c r="AH19" s="794"/>
      <c r="AI19" s="794"/>
      <c r="AJ19" s="794"/>
      <c r="AK19" s="794"/>
      <c r="AL19" s="794"/>
      <c r="AM19" s="794"/>
      <c r="AN19" s="794"/>
      <c r="AO19" s="794"/>
      <c r="AP19" s="799" t="s">
        <v>318</v>
      </c>
      <c r="AQ19" s="799"/>
      <c r="AR19" s="799"/>
      <c r="AS19" s="799"/>
      <c r="AT19" s="794" t="s">
        <v>13</v>
      </c>
      <c r="AU19" s="794"/>
      <c r="AV19" s="794"/>
      <c r="AW19" s="794"/>
      <c r="AX19" s="794"/>
      <c r="AY19" s="794"/>
    </row>
    <row r="20" spans="1:51" ht="30" customHeight="1">
      <c r="A20" s="798"/>
      <c r="B20" s="798"/>
      <c r="C20" s="798"/>
      <c r="D20" s="794" t="s">
        <v>843</v>
      </c>
      <c r="E20" s="794"/>
      <c r="F20" s="794"/>
      <c r="G20" s="794"/>
      <c r="H20" s="794"/>
      <c r="I20" s="794"/>
      <c r="J20" s="799"/>
      <c r="K20" s="799"/>
      <c r="L20" s="799"/>
      <c r="M20" s="799"/>
      <c r="N20" s="799"/>
      <c r="O20" s="799"/>
      <c r="P20" s="794" t="s">
        <v>810</v>
      </c>
      <c r="Q20" s="794"/>
      <c r="R20" s="794"/>
      <c r="S20" s="794"/>
      <c r="T20" s="794"/>
      <c r="U20" s="794"/>
      <c r="V20" s="794" t="s">
        <v>65</v>
      </c>
      <c r="W20" s="794"/>
      <c r="X20" s="794"/>
      <c r="Y20" s="794"/>
      <c r="Z20" s="794"/>
      <c r="AA20" s="794"/>
      <c r="AB20" s="794"/>
      <c r="AC20" s="794"/>
      <c r="AD20" s="794" t="s">
        <v>65</v>
      </c>
      <c r="AE20" s="794"/>
      <c r="AF20" s="794"/>
      <c r="AG20" s="794"/>
      <c r="AH20" s="794"/>
      <c r="AI20" s="794"/>
      <c r="AJ20" s="794"/>
      <c r="AK20" s="794"/>
      <c r="AL20" s="794"/>
      <c r="AM20" s="794"/>
      <c r="AN20" s="794"/>
      <c r="AO20" s="794"/>
      <c r="AP20" s="799"/>
      <c r="AQ20" s="799"/>
      <c r="AR20" s="799"/>
      <c r="AS20" s="799"/>
      <c r="AT20" s="794" t="s">
        <v>769</v>
      </c>
      <c r="AU20" s="794"/>
      <c r="AV20" s="794"/>
      <c r="AW20" s="794"/>
      <c r="AX20" s="794"/>
      <c r="AY20" s="794"/>
    </row>
    <row r="21" spans="1:51" ht="30" customHeight="1">
      <c r="A21" s="798"/>
      <c r="B21" s="798"/>
      <c r="C21" s="798"/>
      <c r="D21" s="794" t="s">
        <v>844</v>
      </c>
      <c r="E21" s="794"/>
      <c r="F21" s="794"/>
      <c r="G21" s="794"/>
      <c r="H21" s="794"/>
      <c r="I21" s="794"/>
      <c r="J21" s="799"/>
      <c r="K21" s="799"/>
      <c r="L21" s="799"/>
      <c r="M21" s="799"/>
      <c r="N21" s="799"/>
      <c r="O21" s="799"/>
      <c r="P21" s="794" t="s">
        <v>811</v>
      </c>
      <c r="Q21" s="794"/>
      <c r="R21" s="794"/>
      <c r="S21" s="794"/>
      <c r="T21" s="794"/>
      <c r="U21" s="794"/>
      <c r="V21" s="794" t="s">
        <v>297</v>
      </c>
      <c r="W21" s="794"/>
      <c r="X21" s="794"/>
      <c r="Y21" s="794"/>
      <c r="Z21" s="794"/>
      <c r="AA21" s="794"/>
      <c r="AB21" s="794"/>
      <c r="AC21" s="794"/>
      <c r="AD21" s="794" t="s">
        <v>297</v>
      </c>
      <c r="AE21" s="794"/>
      <c r="AF21" s="794"/>
      <c r="AG21" s="794"/>
      <c r="AH21" s="794"/>
      <c r="AI21" s="794"/>
      <c r="AJ21" s="794"/>
      <c r="AK21" s="794"/>
      <c r="AL21" s="794"/>
      <c r="AM21" s="794"/>
      <c r="AN21" s="794"/>
      <c r="AO21" s="794"/>
      <c r="AP21" s="799"/>
      <c r="AQ21" s="799"/>
      <c r="AR21" s="799"/>
      <c r="AS21" s="799"/>
      <c r="AT21" s="794" t="s">
        <v>75</v>
      </c>
      <c r="AU21" s="794"/>
      <c r="AV21" s="794"/>
      <c r="AW21" s="794"/>
      <c r="AX21" s="794"/>
      <c r="AY21" s="794"/>
    </row>
  </sheetData>
  <sheetProtection/>
  <mergeCells count="158">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T20:AY20"/>
    <mergeCell ref="AH11:AS11"/>
    <mergeCell ref="AT11:AU11"/>
    <mergeCell ref="A19:C21"/>
    <mergeCell ref="D19:I19"/>
    <mergeCell ref="J19:O21"/>
    <mergeCell ref="P19:U19"/>
    <mergeCell ref="V19:AC19"/>
    <mergeCell ref="AD19:AO19"/>
    <mergeCell ref="AP19:AS21"/>
    <mergeCell ref="D21:I21"/>
    <mergeCell ref="P21:U21"/>
    <mergeCell ref="V21:AC21"/>
    <mergeCell ref="AD21:AO21"/>
    <mergeCell ref="AT21:AY21"/>
    <mergeCell ref="AT19:AY19"/>
    <mergeCell ref="D20:I20"/>
    <mergeCell ref="P20:U20"/>
    <mergeCell ref="V20:AC20"/>
    <mergeCell ref="AD20:AO20"/>
    <mergeCell ref="AW14:AW15"/>
    <mergeCell ref="AV14:AV15"/>
    <mergeCell ref="AX14:AX15"/>
    <mergeCell ref="AY14:AY15"/>
    <mergeCell ref="AU14:A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AN14:AN15"/>
    <mergeCell ref="AO14:AO15"/>
    <mergeCell ref="AP14:AP15"/>
    <mergeCell ref="AQ14:AQ15"/>
    <mergeCell ref="AR14:AR15"/>
    <mergeCell ref="AS14:AS15"/>
    <mergeCell ref="AT14:AT15"/>
    <mergeCell ref="U14:U15"/>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AW16:AW17"/>
    <mergeCell ref="AV16:AV17"/>
    <mergeCell ref="AX16:AX17"/>
    <mergeCell ref="AY16:AY17"/>
    <mergeCell ref="AU16:A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P16:AP17"/>
    <mergeCell ref="AQ16:AQ17"/>
    <mergeCell ref="AR16:AR17"/>
    <mergeCell ref="AS16:AS17"/>
    <mergeCell ref="AT16:AT17"/>
    <mergeCell ref="U16:U17"/>
    <mergeCell ref="A16:A17"/>
    <mergeCell ref="B16:B17"/>
    <mergeCell ref="C16:C17"/>
    <mergeCell ref="D16:D17"/>
    <mergeCell ref="E16:E17"/>
    <mergeCell ref="F16:F17"/>
    <mergeCell ref="G16:G17"/>
    <mergeCell ref="H16:H17"/>
    <mergeCell ref="I16:I17"/>
    <mergeCell ref="J16:J17"/>
    <mergeCell ref="K16:K17"/>
    <mergeCell ref="L16:L17"/>
    <mergeCell ref="S16:S17"/>
    <mergeCell ref="T16:T17"/>
    <mergeCell ref="M16:M17"/>
    <mergeCell ref="N16:N17"/>
    <mergeCell ref="O16:O17"/>
    <mergeCell ref="P16:P17"/>
    <mergeCell ref="Q16:Q17"/>
    <mergeCell ref="R16:R17"/>
  </mergeCells>
  <printOptions/>
  <pageMargins left="0.7" right="0.7" top="0.75" bottom="0.75" header="0.3" footer="0.3"/>
  <pageSetup fitToHeight="0" fitToWidth="1" horizontalDpi="600" verticalDpi="600" orientation="landscape" scale="15" r:id="rId3"/>
  <legacyDrawing r:id="rId2"/>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AY22"/>
  <sheetViews>
    <sheetView view="pageBreakPreview" zoomScale="60" zoomScaleNormal="70" zoomScalePageLayoutView="0" workbookViewId="0" topLeftCell="AR18">
      <selection activeCell="AQ13" sqref="AQ13:AQ19"/>
    </sheetView>
  </sheetViews>
  <sheetFormatPr defaultColWidth="10.8515625" defaultRowHeight="15"/>
  <cols>
    <col min="1" max="1" width="16.28125" style="113" customWidth="1"/>
    <col min="2" max="2" width="15.28125" style="113" customWidth="1"/>
    <col min="3" max="3" width="17.28125" style="113" customWidth="1"/>
    <col min="4" max="4" width="8.28125" style="113" customWidth="1"/>
    <col min="5" max="5" width="12.8515625" style="113" customWidth="1"/>
    <col min="6" max="6" width="8.28125" style="113" customWidth="1"/>
    <col min="7" max="8" width="14.7109375" style="113" customWidth="1"/>
    <col min="9" max="10" width="29.28125" style="113" customWidth="1"/>
    <col min="11" max="11" width="16.8515625" style="113" customWidth="1"/>
    <col min="12" max="13" width="15.28125" style="113" customWidth="1"/>
    <col min="14" max="14" width="28.7109375" style="113" customWidth="1"/>
    <col min="15" max="19" width="8.7109375" style="113" customWidth="1"/>
    <col min="20" max="20" width="22.28125" style="113" customWidth="1"/>
    <col min="21" max="21" width="27.28125" style="113" customWidth="1"/>
    <col min="22" max="45" width="7.7109375" style="113" customWidth="1"/>
    <col min="46" max="46" width="17.140625" style="113" customWidth="1"/>
    <col min="47" max="47" width="15.8515625" style="217" customWidth="1"/>
    <col min="48" max="48" width="102.57421875" style="113" customWidth="1"/>
    <col min="49" max="49" width="93.57421875" style="113" customWidth="1"/>
    <col min="50" max="51" width="33.57421875" style="113" customWidth="1"/>
    <col min="52" max="16384" width="10.8515625" style="113" customWidth="1"/>
  </cols>
  <sheetData>
    <row r="1" spans="1:51" ht="15.75" customHeight="1">
      <c r="A1" s="777" t="s">
        <v>16</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M1" s="778"/>
      <c r="AN1" s="778"/>
      <c r="AO1" s="778"/>
      <c r="AP1" s="778"/>
      <c r="AQ1" s="778"/>
      <c r="AR1" s="778"/>
      <c r="AS1" s="778"/>
      <c r="AT1" s="778"/>
      <c r="AU1" s="778"/>
      <c r="AV1" s="778"/>
      <c r="AW1" s="779"/>
      <c r="AX1" s="1126" t="s">
        <v>18</v>
      </c>
      <c r="AY1" s="1127"/>
    </row>
    <row r="2" spans="1:51" ht="15.75" customHeight="1">
      <c r="A2" s="1152" t="s">
        <v>17</v>
      </c>
      <c r="B2" s="1153"/>
      <c r="C2" s="1153"/>
      <c r="D2" s="1153"/>
      <c r="E2" s="1153"/>
      <c r="F2" s="1153"/>
      <c r="G2" s="1153"/>
      <c r="H2" s="1153"/>
      <c r="I2" s="1153"/>
      <c r="J2" s="1153"/>
      <c r="K2" s="1153"/>
      <c r="L2" s="1153"/>
      <c r="M2" s="1153"/>
      <c r="N2" s="1153"/>
      <c r="O2" s="1153"/>
      <c r="P2" s="1153"/>
      <c r="Q2" s="1153"/>
      <c r="R2" s="1153"/>
      <c r="S2" s="1153"/>
      <c r="T2" s="1153"/>
      <c r="U2" s="1153"/>
      <c r="V2" s="1153"/>
      <c r="W2" s="1153"/>
      <c r="X2" s="1153"/>
      <c r="Y2" s="1153"/>
      <c r="Z2" s="1153"/>
      <c r="AA2" s="1153"/>
      <c r="AB2" s="1153"/>
      <c r="AC2" s="1153"/>
      <c r="AD2" s="1153"/>
      <c r="AE2" s="1153"/>
      <c r="AF2" s="1153"/>
      <c r="AG2" s="1153"/>
      <c r="AH2" s="1153"/>
      <c r="AI2" s="1153"/>
      <c r="AJ2" s="1153"/>
      <c r="AK2" s="1153"/>
      <c r="AL2" s="1153"/>
      <c r="AM2" s="1153"/>
      <c r="AN2" s="1153"/>
      <c r="AO2" s="1153"/>
      <c r="AP2" s="1153"/>
      <c r="AQ2" s="1153"/>
      <c r="AR2" s="1153"/>
      <c r="AS2" s="1153"/>
      <c r="AT2" s="1153"/>
      <c r="AU2" s="1153"/>
      <c r="AV2" s="1153"/>
      <c r="AW2" s="1154"/>
      <c r="AX2" s="1151" t="s">
        <v>418</v>
      </c>
      <c r="AY2" s="1172"/>
    </row>
    <row r="3" spans="1:51" ht="15" customHeight="1">
      <c r="A3" s="789" t="s">
        <v>195</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c r="AM3" s="790"/>
      <c r="AN3" s="790"/>
      <c r="AO3" s="790"/>
      <c r="AP3" s="790"/>
      <c r="AQ3" s="790"/>
      <c r="AR3" s="790"/>
      <c r="AS3" s="790"/>
      <c r="AT3" s="790"/>
      <c r="AU3" s="790"/>
      <c r="AV3" s="790"/>
      <c r="AW3" s="791"/>
      <c r="AX3" s="1151" t="s">
        <v>478</v>
      </c>
      <c r="AY3" s="1172"/>
    </row>
    <row r="4" spans="1:51" ht="15.75" customHeight="1">
      <c r="A4" s="777"/>
      <c r="B4" s="778"/>
      <c r="C4" s="778"/>
      <c r="D4" s="778"/>
      <c r="E4" s="778"/>
      <c r="F4" s="778"/>
      <c r="G4" s="778"/>
      <c r="H4" s="778"/>
      <c r="I4" s="778"/>
      <c r="J4" s="778"/>
      <c r="K4" s="778"/>
      <c r="L4" s="778"/>
      <c r="M4" s="778"/>
      <c r="N4" s="778"/>
      <c r="O4" s="778"/>
      <c r="P4" s="778"/>
      <c r="Q4" s="778"/>
      <c r="R4" s="778"/>
      <c r="S4" s="778"/>
      <c r="T4" s="778"/>
      <c r="U4" s="778"/>
      <c r="V4" s="778"/>
      <c r="W4" s="778"/>
      <c r="X4" s="778"/>
      <c r="Y4" s="778"/>
      <c r="Z4" s="778"/>
      <c r="AA4" s="778"/>
      <c r="AB4" s="778"/>
      <c r="AC4" s="778"/>
      <c r="AD4" s="778"/>
      <c r="AE4" s="778"/>
      <c r="AF4" s="778"/>
      <c r="AG4" s="778"/>
      <c r="AH4" s="778"/>
      <c r="AI4" s="778"/>
      <c r="AJ4" s="778"/>
      <c r="AK4" s="778"/>
      <c r="AL4" s="778"/>
      <c r="AM4" s="778"/>
      <c r="AN4" s="778"/>
      <c r="AO4" s="778"/>
      <c r="AP4" s="778"/>
      <c r="AQ4" s="778"/>
      <c r="AR4" s="778"/>
      <c r="AS4" s="778"/>
      <c r="AT4" s="778"/>
      <c r="AU4" s="778"/>
      <c r="AV4" s="778"/>
      <c r="AW4" s="779"/>
      <c r="AX4" s="776" t="s">
        <v>781</v>
      </c>
      <c r="AY4" s="776"/>
    </row>
    <row r="5" spans="1:51" ht="15" customHeight="1" thickBot="1">
      <c r="A5" s="780" t="s">
        <v>174</v>
      </c>
      <c r="B5" s="781"/>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2"/>
      <c r="AH5" s="805" t="s">
        <v>69</v>
      </c>
      <c r="AI5" s="806"/>
      <c r="AJ5" s="806"/>
      <c r="AK5" s="806"/>
      <c r="AL5" s="806"/>
      <c r="AM5" s="806"/>
      <c r="AN5" s="806"/>
      <c r="AO5" s="806"/>
      <c r="AP5" s="806"/>
      <c r="AQ5" s="806"/>
      <c r="AR5" s="806"/>
      <c r="AS5" s="806"/>
      <c r="AT5" s="806"/>
      <c r="AU5" s="807"/>
      <c r="AV5" s="795" t="s">
        <v>409</v>
      </c>
      <c r="AW5" s="795" t="s">
        <v>410</v>
      </c>
      <c r="AX5" s="795" t="s">
        <v>298</v>
      </c>
      <c r="AY5" s="795" t="s">
        <v>299</v>
      </c>
    </row>
    <row r="6" spans="1:51" ht="15" customHeight="1">
      <c r="A6" s="814" t="s">
        <v>71</v>
      </c>
      <c r="B6" s="814"/>
      <c r="C6" s="814"/>
      <c r="D6" s="864" t="s">
        <v>861</v>
      </c>
      <c r="E6" s="865"/>
      <c r="F6" s="805" t="s">
        <v>67</v>
      </c>
      <c r="G6" s="807"/>
      <c r="H6" s="1171" t="s">
        <v>70</v>
      </c>
      <c r="I6" s="1171"/>
      <c r="J6" s="228"/>
      <c r="K6" s="805"/>
      <c r="L6" s="806"/>
      <c r="M6" s="806"/>
      <c r="N6" s="806"/>
      <c r="O6" s="806"/>
      <c r="P6" s="806"/>
      <c r="Q6" s="806"/>
      <c r="R6" s="806"/>
      <c r="S6" s="806"/>
      <c r="T6" s="806"/>
      <c r="U6" s="806"/>
      <c r="V6" s="114"/>
      <c r="W6" s="114"/>
      <c r="X6" s="114"/>
      <c r="Y6" s="114"/>
      <c r="Z6" s="114"/>
      <c r="AA6" s="114"/>
      <c r="AB6" s="114"/>
      <c r="AC6" s="114"/>
      <c r="AD6" s="114"/>
      <c r="AE6" s="114"/>
      <c r="AF6" s="114"/>
      <c r="AG6" s="115"/>
      <c r="AH6" s="808"/>
      <c r="AI6" s="1170"/>
      <c r="AJ6" s="1170"/>
      <c r="AK6" s="1170"/>
      <c r="AL6" s="1170"/>
      <c r="AM6" s="1170"/>
      <c r="AN6" s="1170"/>
      <c r="AO6" s="1170"/>
      <c r="AP6" s="1170"/>
      <c r="AQ6" s="1170"/>
      <c r="AR6" s="1170"/>
      <c r="AS6" s="1170"/>
      <c r="AT6" s="1170"/>
      <c r="AU6" s="810"/>
      <c r="AV6" s="803"/>
      <c r="AW6" s="803"/>
      <c r="AX6" s="803"/>
      <c r="AY6" s="803"/>
    </row>
    <row r="7" spans="1:51" ht="15" customHeight="1">
      <c r="A7" s="814"/>
      <c r="B7" s="814"/>
      <c r="C7" s="814"/>
      <c r="D7" s="866"/>
      <c r="E7" s="867"/>
      <c r="F7" s="808"/>
      <c r="G7" s="810"/>
      <c r="H7" s="1171" t="s">
        <v>68</v>
      </c>
      <c r="I7" s="1171"/>
      <c r="J7" s="121"/>
      <c r="K7" s="808"/>
      <c r="L7" s="1170"/>
      <c r="M7" s="1170"/>
      <c r="N7" s="1170"/>
      <c r="O7" s="1170"/>
      <c r="P7" s="1170"/>
      <c r="Q7" s="1170"/>
      <c r="R7" s="1170"/>
      <c r="S7" s="1170"/>
      <c r="T7" s="1170"/>
      <c r="U7" s="1170"/>
      <c r="V7" s="231"/>
      <c r="W7" s="231"/>
      <c r="X7" s="231"/>
      <c r="Y7" s="231"/>
      <c r="Z7" s="231"/>
      <c r="AA7" s="231"/>
      <c r="AB7" s="231"/>
      <c r="AC7" s="231"/>
      <c r="AD7" s="231"/>
      <c r="AE7" s="231"/>
      <c r="AF7" s="231"/>
      <c r="AG7" s="117"/>
      <c r="AH7" s="808"/>
      <c r="AI7" s="1170"/>
      <c r="AJ7" s="1170"/>
      <c r="AK7" s="1170"/>
      <c r="AL7" s="1170"/>
      <c r="AM7" s="1170"/>
      <c r="AN7" s="1170"/>
      <c r="AO7" s="1170"/>
      <c r="AP7" s="1170"/>
      <c r="AQ7" s="1170"/>
      <c r="AR7" s="1170"/>
      <c r="AS7" s="1170"/>
      <c r="AT7" s="1170"/>
      <c r="AU7" s="810"/>
      <c r="AV7" s="803"/>
      <c r="AW7" s="803"/>
      <c r="AX7" s="803"/>
      <c r="AY7" s="803"/>
    </row>
    <row r="8" spans="1:51" ht="15" customHeight="1" thickBot="1">
      <c r="A8" s="814"/>
      <c r="B8" s="814"/>
      <c r="C8" s="814"/>
      <c r="D8" s="868"/>
      <c r="E8" s="869"/>
      <c r="F8" s="811"/>
      <c r="G8" s="813"/>
      <c r="H8" s="1171" t="s">
        <v>69</v>
      </c>
      <c r="I8" s="1171"/>
      <c r="J8" s="121" t="s">
        <v>425</v>
      </c>
      <c r="K8" s="811"/>
      <c r="L8" s="812"/>
      <c r="M8" s="812"/>
      <c r="N8" s="812"/>
      <c r="O8" s="812"/>
      <c r="P8" s="812"/>
      <c r="Q8" s="812"/>
      <c r="R8" s="812"/>
      <c r="S8" s="812"/>
      <c r="T8" s="812"/>
      <c r="U8" s="812"/>
      <c r="V8" s="118"/>
      <c r="W8" s="118"/>
      <c r="X8" s="118"/>
      <c r="Y8" s="118"/>
      <c r="Z8" s="118"/>
      <c r="AA8" s="118"/>
      <c r="AB8" s="118"/>
      <c r="AC8" s="118"/>
      <c r="AD8" s="118"/>
      <c r="AE8" s="118"/>
      <c r="AF8" s="118"/>
      <c r="AG8" s="119"/>
      <c r="AH8" s="808"/>
      <c r="AI8" s="1170"/>
      <c r="AJ8" s="1170"/>
      <c r="AK8" s="1170"/>
      <c r="AL8" s="1170"/>
      <c r="AM8" s="1170"/>
      <c r="AN8" s="1170"/>
      <c r="AO8" s="1170"/>
      <c r="AP8" s="1170"/>
      <c r="AQ8" s="1170"/>
      <c r="AR8" s="1170"/>
      <c r="AS8" s="1170"/>
      <c r="AT8" s="1170"/>
      <c r="AU8" s="810"/>
      <c r="AV8" s="803"/>
      <c r="AW8" s="803"/>
      <c r="AX8" s="803"/>
      <c r="AY8" s="803"/>
    </row>
    <row r="9" spans="1:51" ht="15" customHeight="1">
      <c r="A9" s="783" t="s">
        <v>399</v>
      </c>
      <c r="B9" s="784"/>
      <c r="C9" s="785"/>
      <c r="D9" s="777"/>
      <c r="E9" s="778"/>
      <c r="F9" s="778"/>
      <c r="G9" s="778"/>
      <c r="H9" s="778"/>
      <c r="I9" s="778"/>
      <c r="J9" s="778"/>
      <c r="K9" s="1153"/>
      <c r="L9" s="1153"/>
      <c r="M9" s="1153"/>
      <c r="N9" s="1153"/>
      <c r="O9" s="1153"/>
      <c r="P9" s="1153"/>
      <c r="Q9" s="1153"/>
      <c r="R9" s="1153"/>
      <c r="S9" s="1153"/>
      <c r="T9" s="1153"/>
      <c r="U9" s="1153"/>
      <c r="V9" s="1153"/>
      <c r="W9" s="1153"/>
      <c r="X9" s="1153"/>
      <c r="Y9" s="1153"/>
      <c r="Z9" s="1153"/>
      <c r="AA9" s="1153"/>
      <c r="AB9" s="1153"/>
      <c r="AC9" s="1153"/>
      <c r="AD9" s="1153"/>
      <c r="AE9" s="1153"/>
      <c r="AF9" s="1153"/>
      <c r="AG9" s="1154"/>
      <c r="AH9" s="808"/>
      <c r="AI9" s="1170"/>
      <c r="AJ9" s="1170"/>
      <c r="AK9" s="1170"/>
      <c r="AL9" s="1170"/>
      <c r="AM9" s="1170"/>
      <c r="AN9" s="1170"/>
      <c r="AO9" s="1170"/>
      <c r="AP9" s="1170"/>
      <c r="AQ9" s="1170"/>
      <c r="AR9" s="1170"/>
      <c r="AS9" s="1170"/>
      <c r="AT9" s="1170"/>
      <c r="AU9" s="810"/>
      <c r="AV9" s="803"/>
      <c r="AW9" s="803"/>
      <c r="AX9" s="803"/>
      <c r="AY9" s="803"/>
    </row>
    <row r="10" spans="1:51" ht="15" customHeight="1">
      <c r="A10" s="816" t="s">
        <v>287</v>
      </c>
      <c r="B10" s="817"/>
      <c r="C10" s="818"/>
      <c r="D10" s="1152" t="s">
        <v>500</v>
      </c>
      <c r="E10" s="1153"/>
      <c r="F10" s="1153"/>
      <c r="G10" s="1153"/>
      <c r="H10" s="1153"/>
      <c r="I10" s="1153"/>
      <c r="J10" s="1153"/>
      <c r="K10" s="1153"/>
      <c r="L10" s="1153"/>
      <c r="M10" s="1153"/>
      <c r="N10" s="1153"/>
      <c r="O10" s="1153"/>
      <c r="P10" s="1153"/>
      <c r="Q10" s="1153"/>
      <c r="R10" s="1153"/>
      <c r="S10" s="1153"/>
      <c r="T10" s="1153"/>
      <c r="U10" s="1153"/>
      <c r="V10" s="1153"/>
      <c r="W10" s="1153"/>
      <c r="X10" s="1153"/>
      <c r="Y10" s="1153"/>
      <c r="Z10" s="1153"/>
      <c r="AA10" s="1153"/>
      <c r="AB10" s="1153"/>
      <c r="AC10" s="1153"/>
      <c r="AD10" s="1153"/>
      <c r="AE10" s="1153"/>
      <c r="AF10" s="1153"/>
      <c r="AG10" s="1154"/>
      <c r="AH10" s="811"/>
      <c r="AI10" s="812"/>
      <c r="AJ10" s="812"/>
      <c r="AK10" s="812"/>
      <c r="AL10" s="812"/>
      <c r="AM10" s="812"/>
      <c r="AN10" s="812"/>
      <c r="AO10" s="812"/>
      <c r="AP10" s="812"/>
      <c r="AQ10" s="812"/>
      <c r="AR10" s="812"/>
      <c r="AS10" s="812"/>
      <c r="AT10" s="812"/>
      <c r="AU10" s="813"/>
      <c r="AV10" s="803"/>
      <c r="AW10" s="803"/>
      <c r="AX10" s="803"/>
      <c r="AY10" s="803"/>
    </row>
    <row r="11" spans="1:51" ht="39.75" customHeight="1">
      <c r="A11" s="792" t="s">
        <v>168</v>
      </c>
      <c r="B11" s="797"/>
      <c r="C11" s="797"/>
      <c r="D11" s="797"/>
      <c r="E11" s="797"/>
      <c r="F11" s="793"/>
      <c r="G11" s="792" t="s">
        <v>278</v>
      </c>
      <c r="H11" s="793"/>
      <c r="I11" s="795" t="s">
        <v>179</v>
      </c>
      <c r="J11" s="795" t="s">
        <v>279</v>
      </c>
      <c r="K11" s="795" t="s">
        <v>323</v>
      </c>
      <c r="L11" s="795" t="s">
        <v>363</v>
      </c>
      <c r="M11" s="795" t="s">
        <v>167</v>
      </c>
      <c r="N11" s="795" t="s">
        <v>182</v>
      </c>
      <c r="O11" s="792" t="s">
        <v>284</v>
      </c>
      <c r="P11" s="797"/>
      <c r="Q11" s="797"/>
      <c r="R11" s="797"/>
      <c r="S11" s="793"/>
      <c r="T11" s="795" t="s">
        <v>173</v>
      </c>
      <c r="U11" s="795" t="s">
        <v>285</v>
      </c>
      <c r="V11" s="780" t="s">
        <v>370</v>
      </c>
      <c r="W11" s="781"/>
      <c r="X11" s="781"/>
      <c r="Y11" s="781"/>
      <c r="Z11" s="781"/>
      <c r="AA11" s="781"/>
      <c r="AB11" s="781"/>
      <c r="AC11" s="781"/>
      <c r="AD11" s="781"/>
      <c r="AE11" s="781"/>
      <c r="AF11" s="781"/>
      <c r="AG11" s="782"/>
      <c r="AH11" s="780" t="s">
        <v>87</v>
      </c>
      <c r="AI11" s="781"/>
      <c r="AJ11" s="781"/>
      <c r="AK11" s="781"/>
      <c r="AL11" s="781"/>
      <c r="AM11" s="781"/>
      <c r="AN11" s="781"/>
      <c r="AO11" s="781"/>
      <c r="AP11" s="781"/>
      <c r="AQ11" s="781"/>
      <c r="AR11" s="781"/>
      <c r="AS11" s="782"/>
      <c r="AT11" s="792" t="s">
        <v>8</v>
      </c>
      <c r="AU11" s="793"/>
      <c r="AV11" s="803"/>
      <c r="AW11" s="803"/>
      <c r="AX11" s="803"/>
      <c r="AY11" s="803"/>
    </row>
    <row r="12" spans="1:51" ht="42.75">
      <c r="A12" s="120" t="s">
        <v>169</v>
      </c>
      <c r="B12" s="120" t="s">
        <v>170</v>
      </c>
      <c r="C12" s="120" t="s">
        <v>171</v>
      </c>
      <c r="D12" s="120" t="s">
        <v>178</v>
      </c>
      <c r="E12" s="120" t="s">
        <v>185</v>
      </c>
      <c r="F12" s="120" t="s">
        <v>186</v>
      </c>
      <c r="G12" s="120" t="s">
        <v>277</v>
      </c>
      <c r="H12" s="120" t="s">
        <v>184</v>
      </c>
      <c r="I12" s="796"/>
      <c r="J12" s="796"/>
      <c r="K12" s="796"/>
      <c r="L12" s="796"/>
      <c r="M12" s="796"/>
      <c r="N12" s="796"/>
      <c r="O12" s="120">
        <v>2020</v>
      </c>
      <c r="P12" s="120">
        <v>2021</v>
      </c>
      <c r="Q12" s="120">
        <v>2022</v>
      </c>
      <c r="R12" s="120">
        <v>2023</v>
      </c>
      <c r="S12" s="120">
        <v>2024</v>
      </c>
      <c r="T12" s="796"/>
      <c r="U12" s="796"/>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96"/>
      <c r="AW12" s="796"/>
      <c r="AX12" s="796"/>
      <c r="AY12" s="796"/>
    </row>
    <row r="13" spans="1:51" ht="136.5" customHeight="1">
      <c r="A13" s="128"/>
      <c r="B13" s="121"/>
      <c r="C13" s="121"/>
      <c r="D13" s="121"/>
      <c r="E13" s="121" t="s">
        <v>425</v>
      </c>
      <c r="F13" s="121"/>
      <c r="G13" s="242" t="s">
        <v>479</v>
      </c>
      <c r="H13" s="121" t="s">
        <v>480</v>
      </c>
      <c r="I13" s="122" t="s">
        <v>481</v>
      </c>
      <c r="J13" s="122" t="s">
        <v>758</v>
      </c>
      <c r="K13" s="122" t="s">
        <v>430</v>
      </c>
      <c r="L13" s="121"/>
      <c r="M13" s="243" t="s">
        <v>431</v>
      </c>
      <c r="N13" s="122" t="s">
        <v>482</v>
      </c>
      <c r="O13" s="123"/>
      <c r="P13" s="123"/>
      <c r="Q13" s="123"/>
      <c r="R13" s="244">
        <v>1</v>
      </c>
      <c r="S13" s="244"/>
      <c r="T13" s="235" t="s">
        <v>433</v>
      </c>
      <c r="U13" s="235" t="s">
        <v>483</v>
      </c>
      <c r="V13" s="124"/>
      <c r="W13" s="124"/>
      <c r="X13" s="366">
        <v>0.21</v>
      </c>
      <c r="Y13" s="366"/>
      <c r="Z13" s="366"/>
      <c r="AA13" s="366">
        <v>0.26</v>
      </c>
      <c r="AB13" s="495"/>
      <c r="AC13" s="495"/>
      <c r="AD13" s="495">
        <v>0.28</v>
      </c>
      <c r="AE13" s="495"/>
      <c r="AF13" s="495"/>
      <c r="AG13" s="495">
        <v>0.25</v>
      </c>
      <c r="AH13" s="471"/>
      <c r="AI13" s="471"/>
      <c r="AJ13" s="470">
        <v>0.21</v>
      </c>
      <c r="AK13" s="471"/>
      <c r="AL13" s="471"/>
      <c r="AM13" s="470">
        <v>0.24</v>
      </c>
      <c r="AN13" s="471"/>
      <c r="AO13" s="471"/>
      <c r="AP13" s="464">
        <v>0.3</v>
      </c>
      <c r="AQ13" s="124"/>
      <c r="AR13" s="124"/>
      <c r="AS13" s="124"/>
      <c r="AT13" s="127">
        <f>SUM(AH13:AS13)</f>
        <v>0.75</v>
      </c>
      <c r="AU13" s="127">
        <f aca="true" t="shared" si="0" ref="AU13:AU18">+AT13/R13</f>
        <v>0.75</v>
      </c>
      <c r="AV13" s="509" t="s">
        <v>930</v>
      </c>
      <c r="AW13" s="509" t="s">
        <v>930</v>
      </c>
      <c r="AX13" s="509" t="s">
        <v>930</v>
      </c>
      <c r="AY13" s="509" t="s">
        <v>930</v>
      </c>
    </row>
    <row r="14" spans="1:51" ht="76.5" customHeight="1">
      <c r="A14" s="128"/>
      <c r="B14" s="121"/>
      <c r="C14" s="121"/>
      <c r="D14" s="121"/>
      <c r="E14" s="450" t="s">
        <v>425</v>
      </c>
      <c r="F14" s="121"/>
      <c r="G14" s="242" t="s">
        <v>479</v>
      </c>
      <c r="H14" s="121" t="s">
        <v>480</v>
      </c>
      <c r="I14" s="122" t="s">
        <v>484</v>
      </c>
      <c r="J14" s="122" t="s">
        <v>759</v>
      </c>
      <c r="K14" s="121" t="s">
        <v>453</v>
      </c>
      <c r="L14" s="121"/>
      <c r="M14" s="243" t="s">
        <v>431</v>
      </c>
      <c r="N14" s="122" t="s">
        <v>485</v>
      </c>
      <c r="O14" s="124"/>
      <c r="P14" s="124"/>
      <c r="Q14" s="124"/>
      <c r="R14" s="244">
        <v>1</v>
      </c>
      <c r="S14" s="244"/>
      <c r="T14" s="121" t="s">
        <v>460</v>
      </c>
      <c r="U14" s="122" t="s">
        <v>697</v>
      </c>
      <c r="V14" s="366">
        <v>1</v>
      </c>
      <c r="W14" s="366">
        <v>1</v>
      </c>
      <c r="X14" s="366">
        <v>1</v>
      </c>
      <c r="Y14" s="366">
        <v>1</v>
      </c>
      <c r="Z14" s="366">
        <v>1</v>
      </c>
      <c r="AA14" s="366">
        <v>1</v>
      </c>
      <c r="AB14" s="495">
        <v>1</v>
      </c>
      <c r="AC14" s="495">
        <v>1</v>
      </c>
      <c r="AD14" s="495">
        <v>1</v>
      </c>
      <c r="AE14" s="495">
        <v>1</v>
      </c>
      <c r="AF14" s="495">
        <v>1</v>
      </c>
      <c r="AG14" s="495">
        <v>1</v>
      </c>
      <c r="AH14" s="470">
        <v>1</v>
      </c>
      <c r="AI14" s="470">
        <v>1</v>
      </c>
      <c r="AJ14" s="470">
        <v>1</v>
      </c>
      <c r="AK14" s="470">
        <v>1</v>
      </c>
      <c r="AL14" s="470">
        <v>1</v>
      </c>
      <c r="AM14" s="470">
        <v>1</v>
      </c>
      <c r="AN14" s="470">
        <v>1</v>
      </c>
      <c r="AO14" s="495">
        <v>1</v>
      </c>
      <c r="AP14" s="495">
        <v>1</v>
      </c>
      <c r="AQ14" s="468">
        <v>1</v>
      </c>
      <c r="AR14" s="124"/>
      <c r="AS14" s="124"/>
      <c r="AT14" s="307">
        <f>AVERAGE(AH14:AS14)</f>
        <v>1</v>
      </c>
      <c r="AU14" s="127">
        <f t="shared" si="0"/>
        <v>1</v>
      </c>
      <c r="AV14" s="321" t="s">
        <v>931</v>
      </c>
      <c r="AW14" s="321" t="s">
        <v>932</v>
      </c>
      <c r="AX14" s="232" t="s">
        <v>903</v>
      </c>
      <c r="AY14" s="232" t="s">
        <v>450</v>
      </c>
    </row>
    <row r="15" spans="1:51" ht="117" customHeight="1">
      <c r="A15" s="121"/>
      <c r="B15" s="121"/>
      <c r="C15" s="121"/>
      <c r="D15" s="121"/>
      <c r="E15" s="450" t="s">
        <v>425</v>
      </c>
      <c r="F15" s="121"/>
      <c r="G15" s="242" t="s">
        <v>479</v>
      </c>
      <c r="H15" s="121" t="s">
        <v>480</v>
      </c>
      <c r="I15" s="122" t="s">
        <v>486</v>
      </c>
      <c r="J15" s="122" t="s">
        <v>760</v>
      </c>
      <c r="K15" s="121" t="s">
        <v>453</v>
      </c>
      <c r="L15" s="121"/>
      <c r="M15" s="243" t="s">
        <v>431</v>
      </c>
      <c r="N15" s="122" t="s">
        <v>487</v>
      </c>
      <c r="O15" s="124"/>
      <c r="P15" s="124"/>
      <c r="Q15" s="124"/>
      <c r="R15" s="244">
        <v>1</v>
      </c>
      <c r="S15" s="244"/>
      <c r="T15" s="121" t="s">
        <v>460</v>
      </c>
      <c r="U15" s="122" t="s">
        <v>697</v>
      </c>
      <c r="V15" s="366">
        <v>1</v>
      </c>
      <c r="W15" s="366">
        <v>1</v>
      </c>
      <c r="X15" s="366">
        <v>1</v>
      </c>
      <c r="Y15" s="366">
        <v>1</v>
      </c>
      <c r="Z15" s="366">
        <v>1</v>
      </c>
      <c r="AA15" s="366">
        <v>1</v>
      </c>
      <c r="AB15" s="495">
        <v>1</v>
      </c>
      <c r="AC15" s="495">
        <v>1</v>
      </c>
      <c r="AD15" s="495">
        <v>1</v>
      </c>
      <c r="AE15" s="495">
        <v>1</v>
      </c>
      <c r="AF15" s="495">
        <v>1</v>
      </c>
      <c r="AG15" s="495">
        <v>1</v>
      </c>
      <c r="AH15" s="470">
        <v>1</v>
      </c>
      <c r="AI15" s="470">
        <v>1</v>
      </c>
      <c r="AJ15" s="470">
        <v>1</v>
      </c>
      <c r="AK15" s="470">
        <v>1</v>
      </c>
      <c r="AL15" s="470">
        <v>1</v>
      </c>
      <c r="AM15" s="470">
        <v>1</v>
      </c>
      <c r="AN15" s="470">
        <v>1</v>
      </c>
      <c r="AO15" s="495">
        <v>1</v>
      </c>
      <c r="AP15" s="495">
        <v>1</v>
      </c>
      <c r="AQ15" s="468">
        <v>1</v>
      </c>
      <c r="AR15" s="124"/>
      <c r="AS15" s="124"/>
      <c r="AT15" s="307">
        <f>AVERAGE(AH15:AS15)</f>
        <v>1</v>
      </c>
      <c r="AU15" s="127">
        <f t="shared" si="0"/>
        <v>1</v>
      </c>
      <c r="AV15" s="321" t="s">
        <v>933</v>
      </c>
      <c r="AW15" s="321" t="s">
        <v>934</v>
      </c>
      <c r="AX15" s="232" t="s">
        <v>903</v>
      </c>
      <c r="AY15" s="232" t="s">
        <v>450</v>
      </c>
    </row>
    <row r="16" spans="1:51" ht="273.75" customHeight="1">
      <c r="A16" s="121"/>
      <c r="B16" s="121"/>
      <c r="C16" s="121"/>
      <c r="D16" s="121"/>
      <c r="E16" s="450" t="s">
        <v>425</v>
      </c>
      <c r="F16" s="121"/>
      <c r="G16" s="242" t="s">
        <v>479</v>
      </c>
      <c r="H16" s="121" t="s">
        <v>480</v>
      </c>
      <c r="I16" s="122" t="s">
        <v>488</v>
      </c>
      <c r="J16" s="122" t="s">
        <v>761</v>
      </c>
      <c r="K16" s="121" t="s">
        <v>430</v>
      </c>
      <c r="L16" s="124"/>
      <c r="M16" s="243" t="s">
        <v>431</v>
      </c>
      <c r="N16" s="122" t="s">
        <v>489</v>
      </c>
      <c r="O16" s="124"/>
      <c r="P16" s="124"/>
      <c r="Q16" s="124"/>
      <c r="R16" s="244">
        <v>1</v>
      </c>
      <c r="S16" s="244"/>
      <c r="T16" s="121" t="s">
        <v>460</v>
      </c>
      <c r="U16" s="122" t="s">
        <v>490</v>
      </c>
      <c r="V16" s="366">
        <v>1</v>
      </c>
      <c r="W16" s="366">
        <v>1</v>
      </c>
      <c r="X16" s="366">
        <v>1</v>
      </c>
      <c r="Y16" s="366">
        <v>1</v>
      </c>
      <c r="Z16" s="366">
        <v>1</v>
      </c>
      <c r="AA16" s="366">
        <v>1</v>
      </c>
      <c r="AB16" s="495">
        <v>1</v>
      </c>
      <c r="AC16" s="495">
        <v>1</v>
      </c>
      <c r="AD16" s="495">
        <v>1</v>
      </c>
      <c r="AE16" s="495">
        <v>1</v>
      </c>
      <c r="AF16" s="495">
        <v>1</v>
      </c>
      <c r="AG16" s="495">
        <v>1</v>
      </c>
      <c r="AH16" s="470">
        <v>1</v>
      </c>
      <c r="AI16" s="470">
        <v>1</v>
      </c>
      <c r="AJ16" s="470">
        <v>1</v>
      </c>
      <c r="AK16" s="470">
        <v>1</v>
      </c>
      <c r="AL16" s="470">
        <v>1</v>
      </c>
      <c r="AM16" s="470">
        <v>1</v>
      </c>
      <c r="AN16" s="470">
        <v>1</v>
      </c>
      <c r="AO16" s="495">
        <v>1</v>
      </c>
      <c r="AP16" s="495">
        <v>1</v>
      </c>
      <c r="AQ16" s="468">
        <v>1</v>
      </c>
      <c r="AR16" s="124"/>
      <c r="AS16" s="124"/>
      <c r="AT16" s="307">
        <f>AVERAGE(AH16:AS16)</f>
        <v>1</v>
      </c>
      <c r="AU16" s="127">
        <f t="shared" si="0"/>
        <v>1</v>
      </c>
      <c r="AV16" s="509" t="s">
        <v>935</v>
      </c>
      <c r="AW16" s="509" t="s">
        <v>936</v>
      </c>
      <c r="AX16" s="445" t="s">
        <v>937</v>
      </c>
      <c r="AY16" s="445" t="s">
        <v>938</v>
      </c>
    </row>
    <row r="17" spans="1:51" ht="93" customHeight="1">
      <c r="A17" s="121"/>
      <c r="B17" s="121"/>
      <c r="C17" s="121"/>
      <c r="D17" s="121"/>
      <c r="E17" s="450" t="s">
        <v>425</v>
      </c>
      <c r="F17" s="121"/>
      <c r="G17" s="242" t="s">
        <v>479</v>
      </c>
      <c r="H17" s="122" t="s">
        <v>841</v>
      </c>
      <c r="I17" s="122" t="s">
        <v>491</v>
      </c>
      <c r="J17" s="122" t="s">
        <v>762</v>
      </c>
      <c r="K17" s="121" t="s">
        <v>453</v>
      </c>
      <c r="L17" s="124"/>
      <c r="M17" s="243" t="s">
        <v>431</v>
      </c>
      <c r="N17" s="122" t="s">
        <v>492</v>
      </c>
      <c r="O17" s="124"/>
      <c r="P17" s="124"/>
      <c r="Q17" s="124"/>
      <c r="R17" s="244">
        <v>1</v>
      </c>
      <c r="S17" s="244"/>
      <c r="T17" s="121" t="s">
        <v>444</v>
      </c>
      <c r="U17" s="122" t="s">
        <v>493</v>
      </c>
      <c r="V17" s="366"/>
      <c r="W17" s="366"/>
      <c r="X17" s="366"/>
      <c r="Y17" s="366">
        <v>1</v>
      </c>
      <c r="Z17" s="366"/>
      <c r="AA17" s="366"/>
      <c r="AB17" s="495"/>
      <c r="AC17" s="495">
        <v>1</v>
      </c>
      <c r="AD17" s="495"/>
      <c r="AE17" s="495"/>
      <c r="AF17" s="495"/>
      <c r="AG17" s="495">
        <v>1</v>
      </c>
      <c r="AH17" s="495"/>
      <c r="AI17" s="471"/>
      <c r="AJ17" s="471"/>
      <c r="AK17" s="470">
        <v>1</v>
      </c>
      <c r="AL17" s="471"/>
      <c r="AM17" s="471"/>
      <c r="AN17" s="471"/>
      <c r="AO17" s="495">
        <v>1</v>
      </c>
      <c r="AP17" s="124"/>
      <c r="AQ17" s="124"/>
      <c r="AR17" s="124"/>
      <c r="AS17" s="124"/>
      <c r="AT17" s="307">
        <f>AVERAGE(AH17:AS17)</f>
        <v>1</v>
      </c>
      <c r="AU17" s="127">
        <f t="shared" si="0"/>
        <v>1</v>
      </c>
      <c r="AV17" s="509" t="s">
        <v>930</v>
      </c>
      <c r="AW17" s="509" t="s">
        <v>930</v>
      </c>
      <c r="AX17" s="509" t="s">
        <v>930</v>
      </c>
      <c r="AY17" s="509" t="s">
        <v>930</v>
      </c>
    </row>
    <row r="18" spans="1:51" ht="309" customHeight="1">
      <c r="A18" s="1157"/>
      <c r="B18" s="1157"/>
      <c r="C18" s="1157"/>
      <c r="D18" s="1157"/>
      <c r="E18" s="1157" t="s">
        <v>425</v>
      </c>
      <c r="F18" s="1157"/>
      <c r="G18" s="1175" t="s">
        <v>479</v>
      </c>
      <c r="H18" s="1175" t="s">
        <v>841</v>
      </c>
      <c r="I18" s="1175" t="s">
        <v>494</v>
      </c>
      <c r="J18" s="1175" t="s">
        <v>763</v>
      </c>
      <c r="K18" s="1175" t="s">
        <v>453</v>
      </c>
      <c r="L18" s="1175"/>
      <c r="M18" s="1175" t="s">
        <v>431</v>
      </c>
      <c r="N18" s="1175" t="s">
        <v>495</v>
      </c>
      <c r="O18" s="1157"/>
      <c r="P18" s="1157"/>
      <c r="Q18" s="1157"/>
      <c r="R18" s="1161">
        <v>1</v>
      </c>
      <c r="S18" s="1157"/>
      <c r="T18" s="1157" t="s">
        <v>460</v>
      </c>
      <c r="U18" s="1175" t="s">
        <v>496</v>
      </c>
      <c r="V18" s="1035">
        <v>1</v>
      </c>
      <c r="W18" s="1035">
        <v>1</v>
      </c>
      <c r="X18" s="1035">
        <v>1</v>
      </c>
      <c r="Y18" s="1035">
        <v>1</v>
      </c>
      <c r="Z18" s="1035">
        <v>1</v>
      </c>
      <c r="AA18" s="1035">
        <v>1</v>
      </c>
      <c r="AB18" s="1180">
        <v>1</v>
      </c>
      <c r="AC18" s="1180">
        <v>1</v>
      </c>
      <c r="AD18" s="1180">
        <v>1</v>
      </c>
      <c r="AE18" s="1180">
        <v>1</v>
      </c>
      <c r="AF18" s="1180">
        <v>1</v>
      </c>
      <c r="AG18" s="1180">
        <v>1</v>
      </c>
      <c r="AH18" s="1180">
        <v>1</v>
      </c>
      <c r="AI18" s="1180">
        <v>1</v>
      </c>
      <c r="AJ18" s="1180">
        <v>1</v>
      </c>
      <c r="AK18" s="1180">
        <v>1</v>
      </c>
      <c r="AL18" s="1180">
        <v>1</v>
      </c>
      <c r="AM18" s="1180">
        <v>1</v>
      </c>
      <c r="AN18" s="1180">
        <v>1</v>
      </c>
      <c r="AO18" s="1180">
        <v>1</v>
      </c>
      <c r="AP18" s="1180">
        <v>1</v>
      </c>
      <c r="AQ18" s="1035">
        <v>1</v>
      </c>
      <c r="AR18" s="1035"/>
      <c r="AS18" s="1035"/>
      <c r="AT18" s="1177">
        <f>AVERAGE(AH18:AS18)</f>
        <v>1</v>
      </c>
      <c r="AU18" s="1161">
        <f t="shared" si="0"/>
        <v>1</v>
      </c>
      <c r="AV18" s="1173" t="s">
        <v>939</v>
      </c>
      <c r="AW18" s="1173" t="s">
        <v>940</v>
      </c>
      <c r="AX18" s="1046" t="s">
        <v>903</v>
      </c>
      <c r="AY18" s="1046" t="s">
        <v>450</v>
      </c>
    </row>
    <row r="19" spans="1:51" ht="409.5" customHeight="1">
      <c r="A19" s="1158"/>
      <c r="B19" s="1158"/>
      <c r="C19" s="1158"/>
      <c r="D19" s="1158"/>
      <c r="E19" s="1158"/>
      <c r="F19" s="1158"/>
      <c r="G19" s="1176"/>
      <c r="H19" s="1176"/>
      <c r="I19" s="1176"/>
      <c r="J19" s="1176"/>
      <c r="K19" s="1176"/>
      <c r="L19" s="1176"/>
      <c r="M19" s="1176"/>
      <c r="N19" s="1176"/>
      <c r="O19" s="1158"/>
      <c r="P19" s="1158"/>
      <c r="Q19" s="1158"/>
      <c r="R19" s="1162"/>
      <c r="S19" s="1158"/>
      <c r="T19" s="1158"/>
      <c r="U19" s="1176"/>
      <c r="V19" s="1179"/>
      <c r="W19" s="1179"/>
      <c r="X19" s="1179"/>
      <c r="Y19" s="1179"/>
      <c r="Z19" s="1179"/>
      <c r="AA19" s="1179"/>
      <c r="AB19" s="1181"/>
      <c r="AC19" s="1181"/>
      <c r="AD19" s="1181"/>
      <c r="AE19" s="1181"/>
      <c r="AF19" s="1181"/>
      <c r="AG19" s="1181"/>
      <c r="AH19" s="1181"/>
      <c r="AI19" s="1181"/>
      <c r="AJ19" s="1181"/>
      <c r="AK19" s="1181"/>
      <c r="AL19" s="1181"/>
      <c r="AM19" s="1181"/>
      <c r="AN19" s="1181"/>
      <c r="AO19" s="1181"/>
      <c r="AP19" s="1181"/>
      <c r="AQ19" s="1179"/>
      <c r="AR19" s="1179"/>
      <c r="AS19" s="1179"/>
      <c r="AT19" s="1178"/>
      <c r="AU19" s="1162"/>
      <c r="AV19" s="1174"/>
      <c r="AW19" s="1174"/>
      <c r="AX19" s="1033"/>
      <c r="AY19" s="1033"/>
    </row>
    <row r="20" spans="1:51" ht="54" customHeight="1">
      <c r="A20" s="798" t="s">
        <v>64</v>
      </c>
      <c r="B20" s="798"/>
      <c r="C20" s="798"/>
      <c r="D20" s="794" t="s">
        <v>66</v>
      </c>
      <c r="E20" s="794"/>
      <c r="F20" s="794"/>
      <c r="G20" s="794"/>
      <c r="H20" s="794"/>
      <c r="I20" s="794"/>
      <c r="J20" s="799" t="s">
        <v>300</v>
      </c>
      <c r="K20" s="799"/>
      <c r="L20" s="799"/>
      <c r="M20" s="799"/>
      <c r="N20" s="799"/>
      <c r="O20" s="799"/>
      <c r="P20" s="794" t="s">
        <v>66</v>
      </c>
      <c r="Q20" s="794"/>
      <c r="R20" s="794"/>
      <c r="S20" s="794"/>
      <c r="T20" s="794"/>
      <c r="U20" s="794"/>
      <c r="V20" s="794" t="s">
        <v>66</v>
      </c>
      <c r="W20" s="794"/>
      <c r="X20" s="794"/>
      <c r="Y20" s="794"/>
      <c r="Z20" s="794"/>
      <c r="AA20" s="794"/>
      <c r="AB20" s="794"/>
      <c r="AC20" s="794"/>
      <c r="AD20" s="794" t="s">
        <v>66</v>
      </c>
      <c r="AE20" s="794"/>
      <c r="AF20" s="794"/>
      <c r="AG20" s="794"/>
      <c r="AH20" s="794"/>
      <c r="AI20" s="794"/>
      <c r="AJ20" s="794"/>
      <c r="AK20" s="794"/>
      <c r="AL20" s="794"/>
      <c r="AM20" s="794"/>
      <c r="AN20" s="794"/>
      <c r="AO20" s="794"/>
      <c r="AP20" s="799" t="s">
        <v>318</v>
      </c>
      <c r="AQ20" s="799"/>
      <c r="AR20" s="799"/>
      <c r="AS20" s="799"/>
      <c r="AT20" s="794" t="s">
        <v>13</v>
      </c>
      <c r="AU20" s="794"/>
      <c r="AV20" s="794"/>
      <c r="AW20" s="794"/>
      <c r="AX20" s="794"/>
      <c r="AY20" s="794"/>
    </row>
    <row r="21" spans="1:51" ht="30" customHeight="1">
      <c r="A21" s="798"/>
      <c r="B21" s="798"/>
      <c r="C21" s="798"/>
      <c r="D21" s="794" t="s">
        <v>860</v>
      </c>
      <c r="E21" s="794"/>
      <c r="F21" s="794"/>
      <c r="G21" s="794"/>
      <c r="H21" s="794"/>
      <c r="I21" s="794"/>
      <c r="J21" s="799"/>
      <c r="K21" s="799"/>
      <c r="L21" s="799"/>
      <c r="M21" s="799"/>
      <c r="N21" s="799"/>
      <c r="O21" s="799"/>
      <c r="P21" s="794" t="s">
        <v>769</v>
      </c>
      <c r="Q21" s="794"/>
      <c r="R21" s="794"/>
      <c r="S21" s="794"/>
      <c r="T21" s="794"/>
      <c r="U21" s="794"/>
      <c r="V21" s="794" t="s">
        <v>65</v>
      </c>
      <c r="W21" s="794"/>
      <c r="X21" s="794"/>
      <c r="Y21" s="794"/>
      <c r="Z21" s="794"/>
      <c r="AA21" s="794"/>
      <c r="AB21" s="794"/>
      <c r="AC21" s="794"/>
      <c r="AD21" s="794" t="s">
        <v>65</v>
      </c>
      <c r="AE21" s="794"/>
      <c r="AF21" s="794"/>
      <c r="AG21" s="794"/>
      <c r="AH21" s="794"/>
      <c r="AI21" s="794"/>
      <c r="AJ21" s="794"/>
      <c r="AK21" s="794"/>
      <c r="AL21" s="794"/>
      <c r="AM21" s="794"/>
      <c r="AN21" s="794"/>
      <c r="AO21" s="794"/>
      <c r="AP21" s="799"/>
      <c r="AQ21" s="799"/>
      <c r="AR21" s="799"/>
      <c r="AS21" s="799"/>
      <c r="AT21" s="794" t="s">
        <v>769</v>
      </c>
      <c r="AU21" s="794"/>
      <c r="AV21" s="794"/>
      <c r="AW21" s="794"/>
      <c r="AX21" s="794"/>
      <c r="AY21" s="794"/>
    </row>
    <row r="22" spans="1:51" ht="30" customHeight="1">
      <c r="A22" s="798"/>
      <c r="B22" s="798"/>
      <c r="C22" s="798"/>
      <c r="D22" s="794" t="s">
        <v>805</v>
      </c>
      <c r="E22" s="794"/>
      <c r="F22" s="794"/>
      <c r="G22" s="794"/>
      <c r="H22" s="794"/>
      <c r="I22" s="794"/>
      <c r="J22" s="799"/>
      <c r="K22" s="799"/>
      <c r="L22" s="799"/>
      <c r="M22" s="799"/>
      <c r="N22" s="799"/>
      <c r="O22" s="799"/>
      <c r="P22" s="794" t="s">
        <v>773</v>
      </c>
      <c r="Q22" s="794"/>
      <c r="R22" s="794"/>
      <c r="S22" s="794"/>
      <c r="T22" s="794"/>
      <c r="U22" s="794"/>
      <c r="V22" s="794" t="s">
        <v>297</v>
      </c>
      <c r="W22" s="794"/>
      <c r="X22" s="794"/>
      <c r="Y22" s="794"/>
      <c r="Z22" s="794"/>
      <c r="AA22" s="794"/>
      <c r="AB22" s="794"/>
      <c r="AC22" s="794"/>
      <c r="AD22" s="794" t="s">
        <v>297</v>
      </c>
      <c r="AE22" s="794"/>
      <c r="AF22" s="794"/>
      <c r="AG22" s="794"/>
      <c r="AH22" s="794"/>
      <c r="AI22" s="794"/>
      <c r="AJ22" s="794"/>
      <c r="AK22" s="794"/>
      <c r="AL22" s="794"/>
      <c r="AM22" s="794"/>
      <c r="AN22" s="794"/>
      <c r="AO22" s="794"/>
      <c r="AP22" s="799"/>
      <c r="AQ22" s="799"/>
      <c r="AR22" s="799"/>
      <c r="AS22" s="799"/>
      <c r="AT22" s="794" t="s">
        <v>75</v>
      </c>
      <c r="AU22" s="794"/>
      <c r="AV22" s="794"/>
      <c r="AW22" s="794"/>
      <c r="AX22" s="794"/>
      <c r="AY22" s="794"/>
    </row>
  </sheetData>
  <sheetProtection/>
  <mergeCells count="107">
    <mergeCell ref="AS18:AS19"/>
    <mergeCell ref="AM18:AM19"/>
    <mergeCell ref="AN18:AN19"/>
    <mergeCell ref="AO18:AO19"/>
    <mergeCell ref="AP18:AP19"/>
    <mergeCell ref="AQ18:AQ19"/>
    <mergeCell ref="AR18:AR19"/>
    <mergeCell ref="AG18:AG19"/>
    <mergeCell ref="AH18:AH19"/>
    <mergeCell ref="AI18:AI19"/>
    <mergeCell ref="AJ18:AJ19"/>
    <mergeCell ref="AK18:AK19"/>
    <mergeCell ref="AL18:AL19"/>
    <mergeCell ref="AA18:AA19"/>
    <mergeCell ref="AB18:AB19"/>
    <mergeCell ref="AC18:AC19"/>
    <mergeCell ref="AD18:AD19"/>
    <mergeCell ref="AE18:AE19"/>
    <mergeCell ref="AF18:AF19"/>
    <mergeCell ref="S18:S19"/>
    <mergeCell ref="T18:T19"/>
    <mergeCell ref="U18:U19"/>
    <mergeCell ref="AU18:AU19"/>
    <mergeCell ref="AT18:AT19"/>
    <mergeCell ref="V18:V19"/>
    <mergeCell ref="W18:W19"/>
    <mergeCell ref="X18:X19"/>
    <mergeCell ref="Y18:Y19"/>
    <mergeCell ref="Z18:Z19"/>
    <mergeCell ref="M18:M19"/>
    <mergeCell ref="N18:N19"/>
    <mergeCell ref="O18:O19"/>
    <mergeCell ref="P18:P19"/>
    <mergeCell ref="Q18:Q19"/>
    <mergeCell ref="R18:R19"/>
    <mergeCell ref="G18:G19"/>
    <mergeCell ref="H18:H19"/>
    <mergeCell ref="I18:I19"/>
    <mergeCell ref="J18:J19"/>
    <mergeCell ref="K18:K19"/>
    <mergeCell ref="L18:L19"/>
    <mergeCell ref="AV18:AV19"/>
    <mergeCell ref="AW18:AW19"/>
    <mergeCell ref="AX18:AX19"/>
    <mergeCell ref="AY18:AY19"/>
    <mergeCell ref="A18:A19"/>
    <mergeCell ref="B18:B19"/>
    <mergeCell ref="C18:C19"/>
    <mergeCell ref="D18:D19"/>
    <mergeCell ref="E18:E19"/>
    <mergeCell ref="F18:F19"/>
    <mergeCell ref="AH5:AU10"/>
    <mergeCell ref="H7:I7"/>
    <mergeCell ref="A1:AW1"/>
    <mergeCell ref="AX1:AY1"/>
    <mergeCell ref="A2:AW2"/>
    <mergeCell ref="AX2:AY2"/>
    <mergeCell ref="A3:AW4"/>
    <mergeCell ref="AX3:AY3"/>
    <mergeCell ref="AX4:AY4"/>
    <mergeCell ref="A5:AG5"/>
    <mergeCell ref="K11:K12"/>
    <mergeCell ref="AV5:AV12"/>
    <mergeCell ref="AW5:AW12"/>
    <mergeCell ref="AX5:AX12"/>
    <mergeCell ref="AY5:AY12"/>
    <mergeCell ref="A6:C8"/>
    <mergeCell ref="D6:E8"/>
    <mergeCell ref="F6:G8"/>
    <mergeCell ref="H6:I6"/>
    <mergeCell ref="K6:U8"/>
    <mergeCell ref="V22:AC22"/>
    <mergeCell ref="H8:I8"/>
    <mergeCell ref="A9:C9"/>
    <mergeCell ref="D9:AG9"/>
    <mergeCell ref="A10:C10"/>
    <mergeCell ref="D10:AG10"/>
    <mergeCell ref="A11:F11"/>
    <mergeCell ref="G11:H11"/>
    <mergeCell ref="I11:I12"/>
    <mergeCell ref="J11:J12"/>
    <mergeCell ref="M11:M12"/>
    <mergeCell ref="N11:N12"/>
    <mergeCell ref="O11:S11"/>
    <mergeCell ref="T11:T12"/>
    <mergeCell ref="U11:U12"/>
    <mergeCell ref="L11:L12"/>
    <mergeCell ref="V11:AG11"/>
    <mergeCell ref="AH11:AS11"/>
    <mergeCell ref="AT11:AU11"/>
    <mergeCell ref="A20:C22"/>
    <mergeCell ref="D20:I20"/>
    <mergeCell ref="J20:O22"/>
    <mergeCell ref="P20:U20"/>
    <mergeCell ref="V20:AC20"/>
    <mergeCell ref="AD20:AO20"/>
    <mergeCell ref="D22:I22"/>
    <mergeCell ref="AD22:AO22"/>
    <mergeCell ref="AT22:AY22"/>
    <mergeCell ref="AT20:AY20"/>
    <mergeCell ref="D21:I21"/>
    <mergeCell ref="P21:U21"/>
    <mergeCell ref="V21:AC21"/>
    <mergeCell ref="AD21:AO21"/>
    <mergeCell ref="AT21:AY21"/>
    <mergeCell ref="AP20:AS22"/>
    <mergeCell ref="P22:U22"/>
  </mergeCells>
  <printOptions/>
  <pageMargins left="0.7" right="0.7" top="0.75" bottom="0.75" header="0.3" footer="0.3"/>
  <pageSetup fitToHeight="0" fitToWidth="1" horizontalDpi="600" verticalDpi="600" orientation="landscape" scale="14" r:id="rId4"/>
  <drawing r:id="rId3"/>
  <legacyDrawing r:id="rId2"/>
</worksheet>
</file>

<file path=xl/worksheets/sheet18.xml><?xml version="1.0" encoding="utf-8"?>
<worksheet xmlns="http://schemas.openxmlformats.org/spreadsheetml/2006/main" xmlns:r="http://schemas.openxmlformats.org/officeDocument/2006/relationships">
  <sheetPr>
    <tabColor rgb="FF00B0F0"/>
  </sheetPr>
  <dimension ref="A1:AY19"/>
  <sheetViews>
    <sheetView view="pageBreakPreview" zoomScale="61" zoomScaleNormal="61" zoomScaleSheetLayoutView="61" zoomScalePageLayoutView="0" workbookViewId="0" topLeftCell="Z1">
      <selection activeCell="AV13" sqref="AV13:AY16"/>
    </sheetView>
  </sheetViews>
  <sheetFormatPr defaultColWidth="10.8515625" defaultRowHeight="15"/>
  <cols>
    <col min="1" max="1" width="10.140625" style="113" customWidth="1"/>
    <col min="2" max="2" width="10.00390625" style="113" customWidth="1"/>
    <col min="3" max="3" width="15.57421875" style="113" customWidth="1"/>
    <col min="4" max="6" width="8.28125" style="113" customWidth="1"/>
    <col min="7" max="8" width="14.7109375" style="113" customWidth="1"/>
    <col min="9" max="9" width="22.57421875" style="113" customWidth="1"/>
    <col min="10" max="10" width="23.00390625" style="113" customWidth="1"/>
    <col min="11" max="11" width="16.8515625" style="113" customWidth="1"/>
    <col min="12" max="12" width="15.28125" style="113" customWidth="1"/>
    <col min="13" max="13" width="12.7109375" style="113" customWidth="1"/>
    <col min="14" max="14" width="21.140625" style="113" customWidth="1"/>
    <col min="15" max="15" width="7.7109375" style="113" bestFit="1" customWidth="1"/>
    <col min="16" max="16" width="7.28125" style="113" bestFit="1" customWidth="1"/>
    <col min="17" max="19" width="7.7109375" style="113" bestFit="1" customWidth="1"/>
    <col min="20" max="21" width="17.00390625" style="113" customWidth="1"/>
    <col min="22" max="45" width="7.7109375" style="113" customWidth="1"/>
    <col min="46" max="46" width="18.28125" style="113" customWidth="1"/>
    <col min="47" max="47" width="12.57421875" style="217" customWidth="1"/>
    <col min="48" max="49" width="62.140625" style="113" customWidth="1"/>
    <col min="50" max="50" width="26.7109375" style="113" customWidth="1"/>
    <col min="51" max="51" width="30.28125" style="113" customWidth="1"/>
    <col min="52" max="16384" width="10.8515625" style="113" customWidth="1"/>
  </cols>
  <sheetData>
    <row r="1" spans="1:51" ht="15.75" customHeight="1">
      <c r="A1" s="827" t="s">
        <v>16</v>
      </c>
      <c r="B1" s="827"/>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7"/>
      <c r="AL1" s="827"/>
      <c r="AM1" s="827"/>
      <c r="AN1" s="827"/>
      <c r="AO1" s="827"/>
      <c r="AP1" s="827"/>
      <c r="AQ1" s="827"/>
      <c r="AR1" s="827"/>
      <c r="AS1" s="827"/>
      <c r="AT1" s="827"/>
      <c r="AU1" s="827"/>
      <c r="AV1" s="827"/>
      <c r="AW1" s="827"/>
      <c r="AX1" s="1126" t="s">
        <v>423</v>
      </c>
      <c r="AY1" s="1127"/>
    </row>
    <row r="2" spans="1:51" ht="15.75" customHeight="1">
      <c r="A2" s="827" t="s">
        <v>17</v>
      </c>
      <c r="B2" s="827"/>
      <c r="C2" s="827"/>
      <c r="D2" s="827"/>
      <c r="E2" s="827"/>
      <c r="F2" s="827"/>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c r="AG2" s="827"/>
      <c r="AH2" s="827"/>
      <c r="AI2" s="827"/>
      <c r="AJ2" s="827"/>
      <c r="AK2" s="827"/>
      <c r="AL2" s="827"/>
      <c r="AM2" s="827"/>
      <c r="AN2" s="827"/>
      <c r="AO2" s="827"/>
      <c r="AP2" s="827"/>
      <c r="AQ2" s="827"/>
      <c r="AR2" s="827"/>
      <c r="AS2" s="827"/>
      <c r="AT2" s="827"/>
      <c r="AU2" s="827"/>
      <c r="AV2" s="827"/>
      <c r="AW2" s="827"/>
      <c r="AX2" s="1151" t="s">
        <v>418</v>
      </c>
      <c r="AY2" s="1172"/>
    </row>
    <row r="3" spans="1:51" ht="15" customHeight="1">
      <c r="A3" s="827" t="s">
        <v>195</v>
      </c>
      <c r="B3" s="827"/>
      <c r="C3" s="827"/>
      <c r="D3" s="827"/>
      <c r="E3" s="827"/>
      <c r="F3" s="827"/>
      <c r="G3" s="827"/>
      <c r="H3" s="827"/>
      <c r="I3" s="827"/>
      <c r="J3" s="827"/>
      <c r="K3" s="827"/>
      <c r="L3" s="827"/>
      <c r="M3" s="827"/>
      <c r="N3" s="827"/>
      <c r="O3" s="827"/>
      <c r="P3" s="827"/>
      <c r="Q3" s="827"/>
      <c r="R3" s="827"/>
      <c r="S3" s="827"/>
      <c r="T3" s="827"/>
      <c r="U3" s="827"/>
      <c r="V3" s="827"/>
      <c r="W3" s="827"/>
      <c r="X3" s="827"/>
      <c r="Y3" s="827"/>
      <c r="Z3" s="827"/>
      <c r="AA3" s="827"/>
      <c r="AB3" s="827"/>
      <c r="AC3" s="827"/>
      <c r="AD3" s="827"/>
      <c r="AE3" s="827"/>
      <c r="AF3" s="827"/>
      <c r="AG3" s="827"/>
      <c r="AH3" s="827"/>
      <c r="AI3" s="827"/>
      <c r="AJ3" s="827"/>
      <c r="AK3" s="827"/>
      <c r="AL3" s="827"/>
      <c r="AM3" s="827"/>
      <c r="AN3" s="827"/>
      <c r="AO3" s="827"/>
      <c r="AP3" s="827"/>
      <c r="AQ3" s="827"/>
      <c r="AR3" s="827"/>
      <c r="AS3" s="827"/>
      <c r="AT3" s="827"/>
      <c r="AU3" s="827"/>
      <c r="AV3" s="827"/>
      <c r="AW3" s="827"/>
      <c r="AX3" s="1151" t="s">
        <v>424</v>
      </c>
      <c r="AY3" s="1172"/>
    </row>
    <row r="4" spans="1:51" ht="15.75" customHeight="1">
      <c r="A4" s="827"/>
      <c r="B4" s="827"/>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776" t="s">
        <v>782</v>
      </c>
      <c r="AY4" s="776"/>
    </row>
    <row r="5" spans="1:51" ht="15" customHeight="1" thickBot="1">
      <c r="A5" s="814" t="s">
        <v>174</v>
      </c>
      <c r="B5" s="814"/>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c r="AE5" s="814"/>
      <c r="AF5" s="814"/>
      <c r="AG5" s="814"/>
      <c r="AH5" s="814" t="s">
        <v>69</v>
      </c>
      <c r="AI5" s="814"/>
      <c r="AJ5" s="814"/>
      <c r="AK5" s="814"/>
      <c r="AL5" s="814"/>
      <c r="AM5" s="814"/>
      <c r="AN5" s="814"/>
      <c r="AO5" s="814"/>
      <c r="AP5" s="814"/>
      <c r="AQ5" s="814"/>
      <c r="AR5" s="814"/>
      <c r="AS5" s="814"/>
      <c r="AT5" s="814"/>
      <c r="AU5" s="814"/>
      <c r="AV5" s="1182" t="s">
        <v>409</v>
      </c>
      <c r="AW5" s="1182" t="s">
        <v>410</v>
      </c>
      <c r="AX5" s="795" t="s">
        <v>298</v>
      </c>
      <c r="AY5" s="795" t="s">
        <v>299</v>
      </c>
    </row>
    <row r="6" spans="1:51" ht="15" customHeight="1">
      <c r="A6" s="814" t="s">
        <v>71</v>
      </c>
      <c r="B6" s="814"/>
      <c r="C6" s="814"/>
      <c r="D6" s="864" t="s">
        <v>861</v>
      </c>
      <c r="E6" s="865"/>
      <c r="F6" s="836" t="s">
        <v>67</v>
      </c>
      <c r="G6" s="836"/>
      <c r="H6" s="1184" t="s">
        <v>70</v>
      </c>
      <c r="I6" s="1184"/>
      <c r="J6" s="325"/>
      <c r="K6" s="814"/>
      <c r="L6" s="814"/>
      <c r="M6" s="814"/>
      <c r="N6" s="814"/>
      <c r="O6" s="814"/>
      <c r="P6" s="814"/>
      <c r="Q6" s="814"/>
      <c r="R6" s="814"/>
      <c r="S6" s="814"/>
      <c r="T6" s="814"/>
      <c r="U6" s="814"/>
      <c r="V6" s="814"/>
      <c r="W6" s="814"/>
      <c r="X6" s="814"/>
      <c r="Y6" s="814"/>
      <c r="Z6" s="814"/>
      <c r="AA6" s="814"/>
      <c r="AB6" s="814"/>
      <c r="AC6" s="814"/>
      <c r="AD6" s="814"/>
      <c r="AE6" s="814"/>
      <c r="AF6" s="814"/>
      <c r="AG6" s="814"/>
      <c r="AH6" s="814"/>
      <c r="AI6" s="814"/>
      <c r="AJ6" s="814"/>
      <c r="AK6" s="814"/>
      <c r="AL6" s="814"/>
      <c r="AM6" s="814"/>
      <c r="AN6" s="814"/>
      <c r="AO6" s="814"/>
      <c r="AP6" s="814"/>
      <c r="AQ6" s="814"/>
      <c r="AR6" s="814"/>
      <c r="AS6" s="814"/>
      <c r="AT6" s="814"/>
      <c r="AU6" s="814"/>
      <c r="AV6" s="1182"/>
      <c r="AW6" s="1182"/>
      <c r="AX6" s="803"/>
      <c r="AY6" s="803"/>
    </row>
    <row r="7" spans="1:51" ht="15" customHeight="1">
      <c r="A7" s="814"/>
      <c r="B7" s="814"/>
      <c r="C7" s="814"/>
      <c r="D7" s="866"/>
      <c r="E7" s="867"/>
      <c r="F7" s="836"/>
      <c r="G7" s="836"/>
      <c r="H7" s="1184" t="s">
        <v>68</v>
      </c>
      <c r="I7" s="1184"/>
      <c r="J7" s="325"/>
      <c r="K7" s="814"/>
      <c r="L7" s="814"/>
      <c r="M7" s="814"/>
      <c r="N7" s="814"/>
      <c r="O7" s="814"/>
      <c r="P7" s="814"/>
      <c r="Q7" s="814"/>
      <c r="R7" s="814"/>
      <c r="S7" s="814"/>
      <c r="T7" s="814"/>
      <c r="U7" s="814"/>
      <c r="V7" s="814"/>
      <c r="W7" s="814"/>
      <c r="X7" s="814"/>
      <c r="Y7" s="814"/>
      <c r="Z7" s="814"/>
      <c r="AA7" s="814"/>
      <c r="AB7" s="814"/>
      <c r="AC7" s="814"/>
      <c r="AD7" s="814"/>
      <c r="AE7" s="814"/>
      <c r="AF7" s="814"/>
      <c r="AG7" s="814"/>
      <c r="AH7" s="814"/>
      <c r="AI7" s="814"/>
      <c r="AJ7" s="814"/>
      <c r="AK7" s="814"/>
      <c r="AL7" s="814"/>
      <c r="AM7" s="814"/>
      <c r="AN7" s="814"/>
      <c r="AO7" s="814"/>
      <c r="AP7" s="814"/>
      <c r="AQ7" s="814"/>
      <c r="AR7" s="814"/>
      <c r="AS7" s="814"/>
      <c r="AT7" s="814"/>
      <c r="AU7" s="814"/>
      <c r="AV7" s="1182"/>
      <c r="AW7" s="1182"/>
      <c r="AX7" s="803"/>
      <c r="AY7" s="803"/>
    </row>
    <row r="8" spans="1:51" ht="15" customHeight="1" thickBot="1">
      <c r="A8" s="814"/>
      <c r="B8" s="814"/>
      <c r="C8" s="814"/>
      <c r="D8" s="868"/>
      <c r="E8" s="869"/>
      <c r="F8" s="836"/>
      <c r="G8" s="836"/>
      <c r="H8" s="1184" t="s">
        <v>69</v>
      </c>
      <c r="I8" s="1184"/>
      <c r="J8" s="325" t="s">
        <v>425</v>
      </c>
      <c r="K8" s="814"/>
      <c r="L8" s="814"/>
      <c r="M8" s="814"/>
      <c r="N8" s="814"/>
      <c r="O8" s="814"/>
      <c r="P8" s="814"/>
      <c r="Q8" s="814"/>
      <c r="R8" s="814"/>
      <c r="S8" s="814"/>
      <c r="T8" s="814"/>
      <c r="U8" s="814"/>
      <c r="V8" s="814"/>
      <c r="W8" s="814"/>
      <c r="X8" s="814"/>
      <c r="Y8" s="814"/>
      <c r="Z8" s="814"/>
      <c r="AA8" s="814"/>
      <c r="AB8" s="814"/>
      <c r="AC8" s="814"/>
      <c r="AD8" s="814"/>
      <c r="AE8" s="814"/>
      <c r="AF8" s="814"/>
      <c r="AG8" s="814"/>
      <c r="AH8" s="814"/>
      <c r="AI8" s="814"/>
      <c r="AJ8" s="814"/>
      <c r="AK8" s="814"/>
      <c r="AL8" s="814"/>
      <c r="AM8" s="814"/>
      <c r="AN8" s="814"/>
      <c r="AO8" s="814"/>
      <c r="AP8" s="814"/>
      <c r="AQ8" s="814"/>
      <c r="AR8" s="814"/>
      <c r="AS8" s="814"/>
      <c r="AT8" s="814"/>
      <c r="AU8" s="814"/>
      <c r="AV8" s="1182"/>
      <c r="AW8" s="1182"/>
      <c r="AX8" s="803"/>
      <c r="AY8" s="803"/>
    </row>
    <row r="9" spans="1:51" ht="15" customHeight="1">
      <c r="A9" s="1185" t="s">
        <v>399</v>
      </c>
      <c r="B9" s="1185"/>
      <c r="C9" s="1185"/>
      <c r="D9" s="1186"/>
      <c r="E9" s="1186"/>
      <c r="F9" s="1186"/>
      <c r="G9" s="1186"/>
      <c r="H9" s="1186"/>
      <c r="I9" s="1186"/>
      <c r="J9" s="1186"/>
      <c r="K9" s="1186"/>
      <c r="L9" s="1186"/>
      <c r="M9" s="1186"/>
      <c r="N9" s="1186"/>
      <c r="O9" s="1186"/>
      <c r="P9" s="1186"/>
      <c r="Q9" s="1186"/>
      <c r="R9" s="1186"/>
      <c r="S9" s="1186"/>
      <c r="T9" s="1186"/>
      <c r="U9" s="1186"/>
      <c r="V9" s="1186"/>
      <c r="W9" s="1186"/>
      <c r="X9" s="1186"/>
      <c r="Y9" s="1186"/>
      <c r="Z9" s="1186"/>
      <c r="AA9" s="1186"/>
      <c r="AB9" s="1186"/>
      <c r="AC9" s="1186"/>
      <c r="AD9" s="1186"/>
      <c r="AE9" s="1186"/>
      <c r="AF9" s="1186"/>
      <c r="AG9" s="1186"/>
      <c r="AH9" s="814"/>
      <c r="AI9" s="814"/>
      <c r="AJ9" s="814"/>
      <c r="AK9" s="814"/>
      <c r="AL9" s="814"/>
      <c r="AM9" s="814"/>
      <c r="AN9" s="814"/>
      <c r="AO9" s="814"/>
      <c r="AP9" s="814"/>
      <c r="AQ9" s="814"/>
      <c r="AR9" s="814"/>
      <c r="AS9" s="814"/>
      <c r="AT9" s="814"/>
      <c r="AU9" s="814"/>
      <c r="AV9" s="1182"/>
      <c r="AW9" s="1182"/>
      <c r="AX9" s="803"/>
      <c r="AY9" s="803"/>
    </row>
    <row r="10" spans="1:51" ht="15" customHeight="1">
      <c r="A10" s="1185" t="s">
        <v>287</v>
      </c>
      <c r="B10" s="1185"/>
      <c r="C10" s="1185"/>
      <c r="D10" s="1186" t="s">
        <v>500</v>
      </c>
      <c r="E10" s="1186"/>
      <c r="F10" s="1186"/>
      <c r="G10" s="1186"/>
      <c r="H10" s="1186"/>
      <c r="I10" s="1186"/>
      <c r="J10" s="1186"/>
      <c r="K10" s="1186"/>
      <c r="L10" s="1186"/>
      <c r="M10" s="1186"/>
      <c r="N10" s="1186"/>
      <c r="O10" s="1186"/>
      <c r="P10" s="1186"/>
      <c r="Q10" s="1186"/>
      <c r="R10" s="1186"/>
      <c r="S10" s="1186"/>
      <c r="T10" s="1186"/>
      <c r="U10" s="1186"/>
      <c r="V10" s="1186"/>
      <c r="W10" s="1186"/>
      <c r="X10" s="1186"/>
      <c r="Y10" s="1186"/>
      <c r="Z10" s="1186"/>
      <c r="AA10" s="1186"/>
      <c r="AB10" s="1186"/>
      <c r="AC10" s="1186"/>
      <c r="AD10" s="1186"/>
      <c r="AE10" s="1186"/>
      <c r="AF10" s="1186"/>
      <c r="AG10" s="1186"/>
      <c r="AH10" s="814"/>
      <c r="AI10" s="814"/>
      <c r="AJ10" s="814"/>
      <c r="AK10" s="814"/>
      <c r="AL10" s="814"/>
      <c r="AM10" s="814"/>
      <c r="AN10" s="814"/>
      <c r="AO10" s="814"/>
      <c r="AP10" s="814"/>
      <c r="AQ10" s="814"/>
      <c r="AR10" s="814"/>
      <c r="AS10" s="814"/>
      <c r="AT10" s="814"/>
      <c r="AU10" s="814"/>
      <c r="AV10" s="1182"/>
      <c r="AW10" s="1182"/>
      <c r="AX10" s="803"/>
      <c r="AY10" s="803"/>
    </row>
    <row r="11" spans="1:51" ht="39.75" customHeight="1">
      <c r="A11" s="1182" t="s">
        <v>168</v>
      </c>
      <c r="B11" s="1182"/>
      <c r="C11" s="1182"/>
      <c r="D11" s="1182"/>
      <c r="E11" s="1182"/>
      <c r="F11" s="1182"/>
      <c r="G11" s="1182" t="s">
        <v>278</v>
      </c>
      <c r="H11" s="1182"/>
      <c r="I11" s="1182" t="s">
        <v>179</v>
      </c>
      <c r="J11" s="1182" t="s">
        <v>279</v>
      </c>
      <c r="K11" s="1182" t="s">
        <v>323</v>
      </c>
      <c r="L11" s="1182" t="s">
        <v>363</v>
      </c>
      <c r="M11" s="1182" t="s">
        <v>167</v>
      </c>
      <c r="N11" s="1182" t="s">
        <v>182</v>
      </c>
      <c r="O11" s="1182" t="s">
        <v>284</v>
      </c>
      <c r="P11" s="1182"/>
      <c r="Q11" s="1182"/>
      <c r="R11" s="1182"/>
      <c r="S11" s="1182"/>
      <c r="T11" s="1182" t="s">
        <v>173</v>
      </c>
      <c r="U11" s="1182" t="s">
        <v>285</v>
      </c>
      <c r="V11" s="814" t="s">
        <v>370</v>
      </c>
      <c r="W11" s="814"/>
      <c r="X11" s="814"/>
      <c r="Y11" s="814"/>
      <c r="Z11" s="814"/>
      <c r="AA11" s="814"/>
      <c r="AB11" s="814"/>
      <c r="AC11" s="814"/>
      <c r="AD11" s="814"/>
      <c r="AE11" s="814"/>
      <c r="AF11" s="814"/>
      <c r="AG11" s="814"/>
      <c r="AH11" s="814" t="s">
        <v>87</v>
      </c>
      <c r="AI11" s="814"/>
      <c r="AJ11" s="814"/>
      <c r="AK11" s="814"/>
      <c r="AL11" s="814"/>
      <c r="AM11" s="814"/>
      <c r="AN11" s="814"/>
      <c r="AO11" s="814"/>
      <c r="AP11" s="814"/>
      <c r="AQ11" s="814"/>
      <c r="AR11" s="814"/>
      <c r="AS11" s="814"/>
      <c r="AT11" s="1182" t="s">
        <v>8</v>
      </c>
      <c r="AU11" s="1182"/>
      <c r="AV11" s="1182"/>
      <c r="AW11" s="1182"/>
      <c r="AX11" s="803"/>
      <c r="AY11" s="803"/>
    </row>
    <row r="12" spans="1:51" ht="42.75">
      <c r="A12" s="488" t="s">
        <v>169</v>
      </c>
      <c r="B12" s="488" t="s">
        <v>170</v>
      </c>
      <c r="C12" s="488" t="s">
        <v>171</v>
      </c>
      <c r="D12" s="488" t="s">
        <v>178</v>
      </c>
      <c r="E12" s="488" t="s">
        <v>185</v>
      </c>
      <c r="F12" s="488" t="s">
        <v>186</v>
      </c>
      <c r="G12" s="488" t="s">
        <v>277</v>
      </c>
      <c r="H12" s="488" t="s">
        <v>184</v>
      </c>
      <c r="I12" s="1182"/>
      <c r="J12" s="1182"/>
      <c r="K12" s="1182"/>
      <c r="L12" s="1182"/>
      <c r="M12" s="1182"/>
      <c r="N12" s="1182"/>
      <c r="O12" s="488">
        <v>2020</v>
      </c>
      <c r="P12" s="488">
        <v>2021</v>
      </c>
      <c r="Q12" s="488">
        <v>2022</v>
      </c>
      <c r="R12" s="488">
        <v>2023</v>
      </c>
      <c r="S12" s="488">
        <v>2024</v>
      </c>
      <c r="T12" s="1182"/>
      <c r="U12" s="1182"/>
      <c r="V12" s="446" t="s">
        <v>39</v>
      </c>
      <c r="W12" s="446" t="s">
        <v>40</v>
      </c>
      <c r="X12" s="446" t="s">
        <v>41</v>
      </c>
      <c r="Y12" s="446" t="s">
        <v>42</v>
      </c>
      <c r="Z12" s="446" t="s">
        <v>43</v>
      </c>
      <c r="AA12" s="446" t="s">
        <v>44</v>
      </c>
      <c r="AB12" s="446" t="s">
        <v>45</v>
      </c>
      <c r="AC12" s="446" t="s">
        <v>46</v>
      </c>
      <c r="AD12" s="446" t="s">
        <v>47</v>
      </c>
      <c r="AE12" s="446" t="s">
        <v>48</v>
      </c>
      <c r="AF12" s="446" t="s">
        <v>49</v>
      </c>
      <c r="AG12" s="446" t="s">
        <v>50</v>
      </c>
      <c r="AH12" s="446" t="s">
        <v>39</v>
      </c>
      <c r="AI12" s="446" t="s">
        <v>40</v>
      </c>
      <c r="AJ12" s="446" t="s">
        <v>41</v>
      </c>
      <c r="AK12" s="446" t="s">
        <v>42</v>
      </c>
      <c r="AL12" s="446" t="s">
        <v>43</v>
      </c>
      <c r="AM12" s="446" t="s">
        <v>44</v>
      </c>
      <c r="AN12" s="446" t="s">
        <v>45</v>
      </c>
      <c r="AO12" s="446" t="s">
        <v>46</v>
      </c>
      <c r="AP12" s="446" t="s">
        <v>47</v>
      </c>
      <c r="AQ12" s="446" t="s">
        <v>48</v>
      </c>
      <c r="AR12" s="446" t="s">
        <v>49</v>
      </c>
      <c r="AS12" s="446" t="s">
        <v>50</v>
      </c>
      <c r="AT12" s="488" t="s">
        <v>413</v>
      </c>
      <c r="AU12" s="216" t="s">
        <v>88</v>
      </c>
      <c r="AV12" s="1182"/>
      <c r="AW12" s="1182"/>
      <c r="AX12" s="796"/>
      <c r="AY12" s="796"/>
    </row>
    <row r="13" spans="2:51" ht="137.25" customHeight="1">
      <c r="B13" s="459"/>
      <c r="C13" s="459"/>
      <c r="D13" s="459"/>
      <c r="E13" s="459" t="s">
        <v>425</v>
      </c>
      <c r="F13" s="459"/>
      <c r="G13" s="460" t="s">
        <v>501</v>
      </c>
      <c r="H13" s="459" t="s">
        <v>450</v>
      </c>
      <c r="I13" s="460" t="s">
        <v>502</v>
      </c>
      <c r="J13" s="460" t="s">
        <v>503</v>
      </c>
      <c r="K13" s="232" t="s">
        <v>430</v>
      </c>
      <c r="L13" s="124" t="s">
        <v>450</v>
      </c>
      <c r="M13" s="124" t="s">
        <v>504</v>
      </c>
      <c r="N13" s="460" t="s">
        <v>505</v>
      </c>
      <c r="O13" s="123"/>
      <c r="P13" s="123"/>
      <c r="Q13" s="123"/>
      <c r="R13" s="461">
        <v>1</v>
      </c>
      <c r="S13" s="123"/>
      <c r="T13" s="459" t="s">
        <v>433</v>
      </c>
      <c r="U13" s="460" t="s">
        <v>506</v>
      </c>
      <c r="V13" s="124"/>
      <c r="W13" s="319"/>
      <c r="X13" s="497">
        <v>0</v>
      </c>
      <c r="Y13" s="319"/>
      <c r="Z13" s="319"/>
      <c r="AA13" s="497">
        <v>0.33</v>
      </c>
      <c r="AB13" s="319"/>
      <c r="AC13" s="319"/>
      <c r="AD13" s="497">
        <v>0.5</v>
      </c>
      <c r="AE13" s="319"/>
      <c r="AF13" s="319"/>
      <c r="AG13" s="497">
        <v>0.17</v>
      </c>
      <c r="AH13" s="319"/>
      <c r="AI13" s="319"/>
      <c r="AJ13" s="497">
        <v>0</v>
      </c>
      <c r="AK13" s="319"/>
      <c r="AL13" s="319"/>
      <c r="AM13" s="498">
        <v>0.33</v>
      </c>
      <c r="AN13" s="319"/>
      <c r="AO13" s="319"/>
      <c r="AP13" s="497">
        <v>0.5</v>
      </c>
      <c r="AQ13" s="319"/>
      <c r="AR13" s="319"/>
      <c r="AS13" s="319"/>
      <c r="AT13" s="498">
        <f>SUM(AH13:AS13)</f>
        <v>0.8300000000000001</v>
      </c>
      <c r="AU13" s="499">
        <f>+AT13/R13</f>
        <v>0.8300000000000001</v>
      </c>
      <c r="AV13" s="490" t="s">
        <v>941</v>
      </c>
      <c r="AW13" s="528" t="s">
        <v>942</v>
      </c>
      <c r="AX13" s="412" t="s">
        <v>450</v>
      </c>
      <c r="AY13" s="412" t="s">
        <v>450</v>
      </c>
    </row>
    <row r="14" spans="1:51" ht="109.5" customHeight="1">
      <c r="A14" s="459"/>
      <c r="B14" s="459"/>
      <c r="C14" s="459"/>
      <c r="D14" s="459"/>
      <c r="E14" s="459" t="s">
        <v>425</v>
      </c>
      <c r="F14" s="459"/>
      <c r="G14" s="460" t="s">
        <v>501</v>
      </c>
      <c r="H14" s="459" t="s">
        <v>450</v>
      </c>
      <c r="I14" s="460" t="s">
        <v>507</v>
      </c>
      <c r="J14" s="460" t="s">
        <v>508</v>
      </c>
      <c r="K14" s="232" t="s">
        <v>430</v>
      </c>
      <c r="L14" s="124" t="s">
        <v>450</v>
      </c>
      <c r="M14" s="124" t="s">
        <v>504</v>
      </c>
      <c r="N14" s="460" t="s">
        <v>509</v>
      </c>
      <c r="O14" s="124"/>
      <c r="P14" s="124"/>
      <c r="Q14" s="124"/>
      <c r="R14" s="461">
        <v>1</v>
      </c>
      <c r="S14" s="124"/>
      <c r="T14" s="459" t="s">
        <v>433</v>
      </c>
      <c r="U14" s="460" t="s">
        <v>510</v>
      </c>
      <c r="V14" s="124"/>
      <c r="W14" s="319"/>
      <c r="X14" s="497">
        <v>0</v>
      </c>
      <c r="Y14" s="319"/>
      <c r="Z14" s="319"/>
      <c r="AA14" s="497">
        <v>0.2</v>
      </c>
      <c r="AB14" s="319"/>
      <c r="AC14" s="319"/>
      <c r="AD14" s="497">
        <v>0.13</v>
      </c>
      <c r="AE14" s="319"/>
      <c r="AF14" s="319"/>
      <c r="AG14" s="497">
        <v>0.67</v>
      </c>
      <c r="AH14" s="319"/>
      <c r="AI14" s="319"/>
      <c r="AJ14" s="497">
        <v>0</v>
      </c>
      <c r="AK14" s="319"/>
      <c r="AL14" s="319"/>
      <c r="AM14" s="498">
        <v>0.2</v>
      </c>
      <c r="AN14" s="319"/>
      <c r="AO14" s="319"/>
      <c r="AP14" s="497">
        <v>0.13</v>
      </c>
      <c r="AQ14" s="319"/>
      <c r="AR14" s="319"/>
      <c r="AS14" s="319"/>
      <c r="AT14" s="498">
        <f>SUM(AH14:AS14)</f>
        <v>0.33</v>
      </c>
      <c r="AU14" s="499">
        <f>+AT14/R14</f>
        <v>0.33</v>
      </c>
      <c r="AV14" s="490" t="s">
        <v>941</v>
      </c>
      <c r="AW14" s="529" t="s">
        <v>943</v>
      </c>
      <c r="AX14" s="412" t="s">
        <v>450</v>
      </c>
      <c r="AY14" s="412" t="s">
        <v>450</v>
      </c>
    </row>
    <row r="15" spans="1:51" ht="151.5" customHeight="1">
      <c r="A15" s="459"/>
      <c r="B15" s="459"/>
      <c r="C15" s="459"/>
      <c r="D15" s="459"/>
      <c r="E15" s="459" t="s">
        <v>425</v>
      </c>
      <c r="F15" s="459"/>
      <c r="G15" s="460" t="s">
        <v>501</v>
      </c>
      <c r="H15" s="459" t="s">
        <v>450</v>
      </c>
      <c r="I15" s="460" t="s">
        <v>511</v>
      </c>
      <c r="J15" s="460" t="s">
        <v>512</v>
      </c>
      <c r="K15" s="232" t="s">
        <v>430</v>
      </c>
      <c r="L15" s="459" t="s">
        <v>450</v>
      </c>
      <c r="M15" s="459" t="s">
        <v>504</v>
      </c>
      <c r="N15" s="460" t="s">
        <v>513</v>
      </c>
      <c r="O15" s="459"/>
      <c r="P15" s="459"/>
      <c r="Q15" s="459"/>
      <c r="R15" s="461">
        <v>1</v>
      </c>
      <c r="S15" s="459"/>
      <c r="T15" s="459" t="s">
        <v>433</v>
      </c>
      <c r="U15" s="460" t="s">
        <v>514</v>
      </c>
      <c r="V15" s="459"/>
      <c r="W15" s="325"/>
      <c r="X15" s="498">
        <v>0.5</v>
      </c>
      <c r="Y15" s="325"/>
      <c r="Z15" s="325"/>
      <c r="AA15" s="498">
        <v>0.11</v>
      </c>
      <c r="AB15" s="325"/>
      <c r="AC15" s="325"/>
      <c r="AD15" s="498">
        <v>0.25</v>
      </c>
      <c r="AE15" s="325"/>
      <c r="AF15" s="325"/>
      <c r="AG15" s="498">
        <v>0.14</v>
      </c>
      <c r="AH15" s="325"/>
      <c r="AI15" s="325"/>
      <c r="AJ15" s="498">
        <v>0.46</v>
      </c>
      <c r="AK15" s="325"/>
      <c r="AL15" s="325"/>
      <c r="AM15" s="498">
        <v>0.15</v>
      </c>
      <c r="AN15" s="325"/>
      <c r="AO15" s="325"/>
      <c r="AP15" s="498">
        <v>0.25</v>
      </c>
      <c r="AQ15" s="325"/>
      <c r="AR15" s="325"/>
      <c r="AS15" s="325"/>
      <c r="AT15" s="498">
        <f>SUM(AH15:AS15)</f>
        <v>0.86</v>
      </c>
      <c r="AU15" s="499">
        <f>+AT15/R15</f>
        <v>0.86</v>
      </c>
      <c r="AV15" s="490" t="s">
        <v>941</v>
      </c>
      <c r="AW15" s="529" t="s">
        <v>944</v>
      </c>
      <c r="AX15" s="412" t="s">
        <v>450</v>
      </c>
      <c r="AY15" s="412" t="s">
        <v>450</v>
      </c>
    </row>
    <row r="16" spans="1:51" ht="259.5" customHeight="1">
      <c r="A16" s="459"/>
      <c r="B16" s="459"/>
      <c r="C16" s="459"/>
      <c r="D16" s="459"/>
      <c r="E16" s="459" t="s">
        <v>425</v>
      </c>
      <c r="F16" s="459"/>
      <c r="G16" s="460" t="s">
        <v>501</v>
      </c>
      <c r="H16" s="459" t="s">
        <v>450</v>
      </c>
      <c r="I16" s="460" t="s">
        <v>515</v>
      </c>
      <c r="J16" s="460" t="s">
        <v>516</v>
      </c>
      <c r="K16" s="232" t="s">
        <v>430</v>
      </c>
      <c r="L16" s="124" t="s">
        <v>450</v>
      </c>
      <c r="M16" s="124" t="s">
        <v>504</v>
      </c>
      <c r="N16" s="460" t="s">
        <v>517</v>
      </c>
      <c r="O16" s="124"/>
      <c r="P16" s="124"/>
      <c r="Q16" s="124"/>
      <c r="R16" s="461">
        <v>1</v>
      </c>
      <c r="S16" s="124"/>
      <c r="T16" s="459" t="s">
        <v>433</v>
      </c>
      <c r="U16" s="460" t="s">
        <v>518</v>
      </c>
      <c r="V16" s="464"/>
      <c r="W16" s="444"/>
      <c r="X16" s="497">
        <v>0.18</v>
      </c>
      <c r="Y16" s="382"/>
      <c r="Z16" s="382"/>
      <c r="AA16" s="497">
        <v>0.27</v>
      </c>
      <c r="AB16" s="382"/>
      <c r="AC16" s="382"/>
      <c r="AD16" s="497">
        <v>0.27</v>
      </c>
      <c r="AE16" s="382"/>
      <c r="AF16" s="382"/>
      <c r="AG16" s="497">
        <v>0.28</v>
      </c>
      <c r="AH16" s="319"/>
      <c r="AI16" s="319"/>
      <c r="AJ16" s="497">
        <v>0.18</v>
      </c>
      <c r="AK16" s="319"/>
      <c r="AL16" s="319"/>
      <c r="AM16" s="498">
        <v>0.27</v>
      </c>
      <c r="AN16" s="319"/>
      <c r="AO16" s="319"/>
      <c r="AP16" s="497">
        <v>0.27</v>
      </c>
      <c r="AQ16" s="319"/>
      <c r="AR16" s="319"/>
      <c r="AS16" s="319"/>
      <c r="AT16" s="498">
        <f>SUM(AH16:AS16)</f>
        <v>0.72</v>
      </c>
      <c r="AU16" s="499">
        <f>+AT16/R16</f>
        <v>0.72</v>
      </c>
      <c r="AV16" s="490" t="s">
        <v>941</v>
      </c>
      <c r="AW16" s="529" t="s">
        <v>945</v>
      </c>
      <c r="AX16" s="412" t="s">
        <v>450</v>
      </c>
      <c r="AY16" s="412" t="s">
        <v>450</v>
      </c>
    </row>
    <row r="17" spans="1:51" ht="54" customHeight="1">
      <c r="A17" s="798" t="s">
        <v>64</v>
      </c>
      <c r="B17" s="798"/>
      <c r="C17" s="798"/>
      <c r="D17" s="794" t="s">
        <v>638</v>
      </c>
      <c r="E17" s="794"/>
      <c r="F17" s="794"/>
      <c r="G17" s="794"/>
      <c r="H17" s="794"/>
      <c r="I17" s="794"/>
      <c r="J17" s="799" t="s">
        <v>300</v>
      </c>
      <c r="K17" s="799"/>
      <c r="L17" s="799"/>
      <c r="M17" s="799"/>
      <c r="N17" s="799"/>
      <c r="O17" s="799"/>
      <c r="P17" s="794" t="s">
        <v>66</v>
      </c>
      <c r="Q17" s="794"/>
      <c r="R17" s="794"/>
      <c r="S17" s="794"/>
      <c r="T17" s="794"/>
      <c r="U17" s="794"/>
      <c r="V17" s="794" t="s">
        <v>66</v>
      </c>
      <c r="W17" s="794"/>
      <c r="X17" s="794"/>
      <c r="Y17" s="794"/>
      <c r="Z17" s="794"/>
      <c r="AA17" s="794"/>
      <c r="AB17" s="794"/>
      <c r="AC17" s="794"/>
      <c r="AD17" s="794" t="s">
        <v>66</v>
      </c>
      <c r="AE17" s="794"/>
      <c r="AF17" s="794"/>
      <c r="AG17" s="794"/>
      <c r="AH17" s="794"/>
      <c r="AI17" s="794"/>
      <c r="AJ17" s="794"/>
      <c r="AK17" s="794"/>
      <c r="AL17" s="794"/>
      <c r="AM17" s="1183"/>
      <c r="AN17" s="794"/>
      <c r="AO17" s="794"/>
      <c r="AP17" s="799" t="s">
        <v>318</v>
      </c>
      <c r="AQ17" s="799"/>
      <c r="AR17" s="799"/>
      <c r="AS17" s="799"/>
      <c r="AT17" s="794" t="s">
        <v>13</v>
      </c>
      <c r="AU17" s="794"/>
      <c r="AV17" s="794"/>
      <c r="AW17" s="794"/>
      <c r="AX17" s="794"/>
      <c r="AY17" s="794"/>
    </row>
    <row r="18" spans="1:51" ht="30" customHeight="1">
      <c r="A18" s="798"/>
      <c r="B18" s="798"/>
      <c r="C18" s="798"/>
      <c r="D18" s="794" t="s">
        <v>792</v>
      </c>
      <c r="E18" s="794"/>
      <c r="F18" s="794"/>
      <c r="G18" s="794"/>
      <c r="H18" s="794"/>
      <c r="I18" s="794"/>
      <c r="J18" s="799"/>
      <c r="K18" s="799"/>
      <c r="L18" s="799"/>
      <c r="M18" s="799"/>
      <c r="N18" s="799"/>
      <c r="O18" s="799"/>
      <c r="P18" s="794" t="s">
        <v>792</v>
      </c>
      <c r="Q18" s="794"/>
      <c r="R18" s="794"/>
      <c r="S18" s="794"/>
      <c r="T18" s="794"/>
      <c r="U18" s="794"/>
      <c r="V18" s="794" t="s">
        <v>65</v>
      </c>
      <c r="W18" s="794"/>
      <c r="X18" s="794"/>
      <c r="Y18" s="794"/>
      <c r="Z18" s="794"/>
      <c r="AA18" s="794"/>
      <c r="AB18" s="794"/>
      <c r="AC18" s="794"/>
      <c r="AD18" s="794" t="s">
        <v>65</v>
      </c>
      <c r="AE18" s="794"/>
      <c r="AF18" s="794"/>
      <c r="AG18" s="794"/>
      <c r="AH18" s="794"/>
      <c r="AI18" s="794"/>
      <c r="AJ18" s="794"/>
      <c r="AK18" s="794"/>
      <c r="AL18" s="794"/>
      <c r="AM18" s="794"/>
      <c r="AN18" s="794"/>
      <c r="AO18" s="794"/>
      <c r="AP18" s="799"/>
      <c r="AQ18" s="799"/>
      <c r="AR18" s="799"/>
      <c r="AS18" s="799"/>
      <c r="AT18" s="794" t="s">
        <v>769</v>
      </c>
      <c r="AU18" s="794"/>
      <c r="AV18" s="794"/>
      <c r="AW18" s="794"/>
      <c r="AX18" s="794"/>
      <c r="AY18" s="794"/>
    </row>
    <row r="19" spans="1:51" ht="30" customHeight="1">
      <c r="A19" s="798"/>
      <c r="B19" s="798"/>
      <c r="C19" s="798"/>
      <c r="D19" s="794" t="s">
        <v>793</v>
      </c>
      <c r="E19" s="794"/>
      <c r="F19" s="794"/>
      <c r="G19" s="794"/>
      <c r="H19" s="794"/>
      <c r="I19" s="794"/>
      <c r="J19" s="799"/>
      <c r="K19" s="799"/>
      <c r="L19" s="799"/>
      <c r="M19" s="799"/>
      <c r="N19" s="799"/>
      <c r="O19" s="799"/>
      <c r="P19" s="794" t="s">
        <v>793</v>
      </c>
      <c r="Q19" s="794"/>
      <c r="R19" s="794"/>
      <c r="S19" s="794"/>
      <c r="T19" s="794"/>
      <c r="U19" s="794"/>
      <c r="V19" s="794" t="s">
        <v>297</v>
      </c>
      <c r="W19" s="794"/>
      <c r="X19" s="794"/>
      <c r="Y19" s="794"/>
      <c r="Z19" s="794"/>
      <c r="AA19" s="794"/>
      <c r="AB19" s="794"/>
      <c r="AC19" s="794"/>
      <c r="AD19" s="794" t="s">
        <v>297</v>
      </c>
      <c r="AE19" s="794"/>
      <c r="AF19" s="794"/>
      <c r="AG19" s="794"/>
      <c r="AH19" s="794"/>
      <c r="AI19" s="794"/>
      <c r="AJ19" s="794"/>
      <c r="AK19" s="794"/>
      <c r="AL19" s="794"/>
      <c r="AM19" s="794"/>
      <c r="AN19" s="794"/>
      <c r="AO19" s="794"/>
      <c r="AP19" s="799"/>
      <c r="AQ19" s="799"/>
      <c r="AR19" s="799"/>
      <c r="AS19" s="799"/>
      <c r="AT19" s="794" t="s">
        <v>75</v>
      </c>
      <c r="AU19" s="794"/>
      <c r="AV19" s="794"/>
      <c r="AW19" s="794"/>
      <c r="AX19" s="794"/>
      <c r="AY19" s="794"/>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AG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17:C19"/>
    <mergeCell ref="D17:I17"/>
    <mergeCell ref="J17:O19"/>
    <mergeCell ref="P17:U17"/>
    <mergeCell ref="V17:AC17"/>
    <mergeCell ref="AD17:AO17"/>
    <mergeCell ref="AP17:AS19"/>
    <mergeCell ref="AT17:AY17"/>
    <mergeCell ref="D18:I18"/>
    <mergeCell ref="P18:U18"/>
    <mergeCell ref="V18:AC18"/>
    <mergeCell ref="AD18:AO18"/>
    <mergeCell ref="AT18:AY18"/>
    <mergeCell ref="D19:I19"/>
    <mergeCell ref="P19:U19"/>
    <mergeCell ref="V19:AC19"/>
    <mergeCell ref="AD19:AO19"/>
    <mergeCell ref="AT19:AY19"/>
  </mergeCells>
  <printOptions horizontalCentered="1"/>
  <pageMargins left="0.1968503937007874" right="0.1968503937007874" top="0.7480314960629921" bottom="0.7480314960629921" header="0.31496062992125984" footer="0.31496062992125984"/>
  <pageSetup horizontalDpi="600" verticalDpi="600" orientation="landscape" scale="20" r:id="rId4"/>
  <drawing r:id="rId3"/>
  <legacyDrawing r:id="rId2"/>
</worksheet>
</file>

<file path=xl/worksheets/sheet19.xml><?xml version="1.0" encoding="utf-8"?>
<worksheet xmlns="http://schemas.openxmlformats.org/spreadsheetml/2006/main" xmlns:r="http://schemas.openxmlformats.org/officeDocument/2006/relationships">
  <sheetPr>
    <tabColor rgb="FF00B0F0"/>
    <pageSetUpPr fitToPage="1"/>
  </sheetPr>
  <dimension ref="A1:AY20"/>
  <sheetViews>
    <sheetView view="pageBreakPreview" zoomScale="60" zoomScaleNormal="61" zoomScalePageLayoutView="0" workbookViewId="0" topLeftCell="T17">
      <selection activeCell="AV13" sqref="AV13:AY17"/>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8.7109375" style="113" customWidth="1"/>
    <col min="20" max="20" width="22.28125" style="113" customWidth="1"/>
    <col min="21" max="21" width="17.00390625" style="113" customWidth="1"/>
    <col min="22" max="45" width="7.7109375" style="113" customWidth="1"/>
    <col min="46" max="46" width="17.140625" style="113" customWidth="1"/>
    <col min="47" max="47" width="15.8515625" style="217" customWidth="1"/>
    <col min="48" max="48" width="54.140625" style="113" customWidth="1"/>
    <col min="49" max="49" width="79.7109375" style="113" bestFit="1" customWidth="1"/>
    <col min="50" max="51" width="25.00390625" style="113" customWidth="1"/>
    <col min="52" max="16384" width="10.8515625" style="113" customWidth="1"/>
  </cols>
  <sheetData>
    <row r="1" spans="1:51" ht="15.75" customHeight="1">
      <c r="A1" s="777" t="s">
        <v>16</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M1" s="778"/>
      <c r="AN1" s="778"/>
      <c r="AO1" s="778"/>
      <c r="AP1" s="778"/>
      <c r="AQ1" s="778"/>
      <c r="AR1" s="778"/>
      <c r="AS1" s="778"/>
      <c r="AT1" s="778"/>
      <c r="AU1" s="778"/>
      <c r="AV1" s="778"/>
      <c r="AW1" s="779"/>
      <c r="AX1" s="726" t="s">
        <v>423</v>
      </c>
      <c r="AY1" s="727"/>
    </row>
    <row r="2" spans="1:51" ht="15.75" customHeight="1">
      <c r="A2" s="786" t="s">
        <v>17</v>
      </c>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c r="AI2" s="787"/>
      <c r="AJ2" s="787"/>
      <c r="AK2" s="787"/>
      <c r="AL2" s="787"/>
      <c r="AM2" s="787"/>
      <c r="AN2" s="787"/>
      <c r="AO2" s="787"/>
      <c r="AP2" s="787"/>
      <c r="AQ2" s="787"/>
      <c r="AR2" s="787"/>
      <c r="AS2" s="787"/>
      <c r="AT2" s="787"/>
      <c r="AU2" s="787"/>
      <c r="AV2" s="787"/>
      <c r="AW2" s="788"/>
      <c r="AX2" s="774" t="s">
        <v>418</v>
      </c>
      <c r="AY2" s="775"/>
    </row>
    <row r="3" spans="1:51" ht="15" customHeight="1">
      <c r="A3" s="789" t="s">
        <v>195</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c r="AM3" s="790"/>
      <c r="AN3" s="790"/>
      <c r="AO3" s="790"/>
      <c r="AP3" s="790"/>
      <c r="AQ3" s="790"/>
      <c r="AR3" s="790"/>
      <c r="AS3" s="790"/>
      <c r="AT3" s="790"/>
      <c r="AU3" s="790"/>
      <c r="AV3" s="790"/>
      <c r="AW3" s="791"/>
      <c r="AX3" s="774" t="s">
        <v>424</v>
      </c>
      <c r="AY3" s="775"/>
    </row>
    <row r="4" spans="1:51" ht="15.75" customHeight="1">
      <c r="A4" s="777"/>
      <c r="B4" s="778"/>
      <c r="C4" s="778"/>
      <c r="D4" s="778"/>
      <c r="E4" s="778"/>
      <c r="F4" s="778"/>
      <c r="G4" s="778"/>
      <c r="H4" s="778"/>
      <c r="I4" s="778"/>
      <c r="J4" s="778"/>
      <c r="K4" s="778"/>
      <c r="L4" s="778"/>
      <c r="M4" s="778"/>
      <c r="N4" s="778"/>
      <c r="O4" s="778"/>
      <c r="P4" s="778"/>
      <c r="Q4" s="778"/>
      <c r="R4" s="778"/>
      <c r="S4" s="778"/>
      <c r="T4" s="778"/>
      <c r="U4" s="778"/>
      <c r="V4" s="778"/>
      <c r="W4" s="778"/>
      <c r="X4" s="778"/>
      <c r="Y4" s="778"/>
      <c r="Z4" s="778"/>
      <c r="AA4" s="778"/>
      <c r="AB4" s="778"/>
      <c r="AC4" s="778"/>
      <c r="AD4" s="778"/>
      <c r="AE4" s="778"/>
      <c r="AF4" s="778"/>
      <c r="AG4" s="778"/>
      <c r="AH4" s="778"/>
      <c r="AI4" s="778"/>
      <c r="AJ4" s="778"/>
      <c r="AK4" s="778"/>
      <c r="AL4" s="778"/>
      <c r="AM4" s="778"/>
      <c r="AN4" s="778"/>
      <c r="AO4" s="778"/>
      <c r="AP4" s="778"/>
      <c r="AQ4" s="778"/>
      <c r="AR4" s="778"/>
      <c r="AS4" s="778"/>
      <c r="AT4" s="778"/>
      <c r="AU4" s="778"/>
      <c r="AV4" s="778"/>
      <c r="AW4" s="779"/>
      <c r="AX4" s="776" t="s">
        <v>783</v>
      </c>
      <c r="AY4" s="776"/>
    </row>
    <row r="5" spans="1:51" ht="15" customHeight="1" thickBot="1">
      <c r="A5" s="780" t="s">
        <v>174</v>
      </c>
      <c r="B5" s="781"/>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2"/>
      <c r="AH5" s="805" t="s">
        <v>69</v>
      </c>
      <c r="AI5" s="806"/>
      <c r="AJ5" s="806"/>
      <c r="AK5" s="806"/>
      <c r="AL5" s="806"/>
      <c r="AM5" s="806"/>
      <c r="AN5" s="806"/>
      <c r="AO5" s="806"/>
      <c r="AP5" s="806"/>
      <c r="AQ5" s="806"/>
      <c r="AR5" s="806"/>
      <c r="AS5" s="806"/>
      <c r="AT5" s="806"/>
      <c r="AU5" s="807"/>
      <c r="AV5" s="795" t="s">
        <v>409</v>
      </c>
      <c r="AW5" s="795" t="s">
        <v>410</v>
      </c>
      <c r="AX5" s="795" t="s">
        <v>298</v>
      </c>
      <c r="AY5" s="795" t="s">
        <v>299</v>
      </c>
    </row>
    <row r="6" spans="1:51" ht="15" customHeight="1">
      <c r="A6" s="814" t="s">
        <v>71</v>
      </c>
      <c r="B6" s="814"/>
      <c r="C6" s="814"/>
      <c r="D6" s="864" t="s">
        <v>861</v>
      </c>
      <c r="E6" s="865"/>
      <c r="F6" s="805" t="s">
        <v>67</v>
      </c>
      <c r="G6" s="807"/>
      <c r="H6" s="804" t="s">
        <v>70</v>
      </c>
      <c r="I6" s="804"/>
      <c r="J6" s="128"/>
      <c r="K6" s="805"/>
      <c r="L6" s="806"/>
      <c r="M6" s="806"/>
      <c r="N6" s="806"/>
      <c r="O6" s="806"/>
      <c r="P6" s="806"/>
      <c r="Q6" s="806"/>
      <c r="R6" s="806"/>
      <c r="S6" s="806"/>
      <c r="T6" s="806"/>
      <c r="U6" s="806"/>
      <c r="V6" s="114"/>
      <c r="W6" s="114"/>
      <c r="X6" s="114"/>
      <c r="Y6" s="114"/>
      <c r="Z6" s="114"/>
      <c r="AA6" s="114"/>
      <c r="AB6" s="114"/>
      <c r="AC6" s="114"/>
      <c r="AD6" s="114"/>
      <c r="AE6" s="114"/>
      <c r="AF6" s="114"/>
      <c r="AG6" s="115"/>
      <c r="AH6" s="808"/>
      <c r="AI6" s="809"/>
      <c r="AJ6" s="809"/>
      <c r="AK6" s="809"/>
      <c r="AL6" s="809"/>
      <c r="AM6" s="809"/>
      <c r="AN6" s="809"/>
      <c r="AO6" s="809"/>
      <c r="AP6" s="809"/>
      <c r="AQ6" s="809"/>
      <c r="AR6" s="809"/>
      <c r="AS6" s="809"/>
      <c r="AT6" s="809"/>
      <c r="AU6" s="810"/>
      <c r="AV6" s="803"/>
      <c r="AW6" s="803"/>
      <c r="AX6" s="803"/>
      <c r="AY6" s="803"/>
    </row>
    <row r="7" spans="1:51" ht="15" customHeight="1">
      <c r="A7" s="814"/>
      <c r="B7" s="814"/>
      <c r="C7" s="814"/>
      <c r="D7" s="866"/>
      <c r="E7" s="867"/>
      <c r="F7" s="808"/>
      <c r="G7" s="810"/>
      <c r="H7" s="804" t="s">
        <v>68</v>
      </c>
      <c r="I7" s="804"/>
      <c r="J7" s="128"/>
      <c r="K7" s="808"/>
      <c r="L7" s="809"/>
      <c r="M7" s="809"/>
      <c r="N7" s="809"/>
      <c r="O7" s="809"/>
      <c r="P7" s="809"/>
      <c r="Q7" s="809"/>
      <c r="R7" s="809"/>
      <c r="S7" s="809"/>
      <c r="T7" s="809"/>
      <c r="U7" s="809"/>
      <c r="V7" s="116"/>
      <c r="W7" s="116"/>
      <c r="X7" s="116"/>
      <c r="Y7" s="116"/>
      <c r="Z7" s="116"/>
      <c r="AA7" s="116"/>
      <c r="AB7" s="116"/>
      <c r="AC7" s="116"/>
      <c r="AD7" s="116"/>
      <c r="AE7" s="116"/>
      <c r="AF7" s="116"/>
      <c r="AG7" s="117"/>
      <c r="AH7" s="808"/>
      <c r="AI7" s="809"/>
      <c r="AJ7" s="809"/>
      <c r="AK7" s="809"/>
      <c r="AL7" s="809"/>
      <c r="AM7" s="809"/>
      <c r="AN7" s="809"/>
      <c r="AO7" s="809"/>
      <c r="AP7" s="809"/>
      <c r="AQ7" s="809"/>
      <c r="AR7" s="809"/>
      <c r="AS7" s="809"/>
      <c r="AT7" s="809"/>
      <c r="AU7" s="810"/>
      <c r="AV7" s="803"/>
      <c r="AW7" s="803"/>
      <c r="AX7" s="803"/>
      <c r="AY7" s="803"/>
    </row>
    <row r="8" spans="1:51" ht="15" customHeight="1" thickBot="1">
      <c r="A8" s="814"/>
      <c r="B8" s="814"/>
      <c r="C8" s="814"/>
      <c r="D8" s="868"/>
      <c r="E8" s="869"/>
      <c r="F8" s="811"/>
      <c r="G8" s="813"/>
      <c r="H8" s="804" t="s">
        <v>69</v>
      </c>
      <c r="I8" s="804"/>
      <c r="J8" s="128" t="s">
        <v>425</v>
      </c>
      <c r="K8" s="811"/>
      <c r="L8" s="812"/>
      <c r="M8" s="812"/>
      <c r="N8" s="812"/>
      <c r="O8" s="812"/>
      <c r="P8" s="812"/>
      <c r="Q8" s="812"/>
      <c r="R8" s="812"/>
      <c r="S8" s="812"/>
      <c r="T8" s="812"/>
      <c r="U8" s="812"/>
      <c r="V8" s="118"/>
      <c r="W8" s="118"/>
      <c r="X8" s="118"/>
      <c r="Y8" s="118"/>
      <c r="Z8" s="118"/>
      <c r="AA8" s="118"/>
      <c r="AB8" s="118"/>
      <c r="AC8" s="118"/>
      <c r="AD8" s="118"/>
      <c r="AE8" s="118"/>
      <c r="AF8" s="118"/>
      <c r="AG8" s="119"/>
      <c r="AH8" s="808"/>
      <c r="AI8" s="809"/>
      <c r="AJ8" s="809"/>
      <c r="AK8" s="809"/>
      <c r="AL8" s="809"/>
      <c r="AM8" s="809"/>
      <c r="AN8" s="809"/>
      <c r="AO8" s="809"/>
      <c r="AP8" s="809"/>
      <c r="AQ8" s="809"/>
      <c r="AR8" s="809"/>
      <c r="AS8" s="809"/>
      <c r="AT8" s="809"/>
      <c r="AU8" s="810"/>
      <c r="AV8" s="803"/>
      <c r="AW8" s="803"/>
      <c r="AX8" s="803"/>
      <c r="AY8" s="803"/>
    </row>
    <row r="9" spans="1:51" ht="15" customHeight="1">
      <c r="A9" s="783" t="s">
        <v>399</v>
      </c>
      <c r="B9" s="784"/>
      <c r="C9" s="785"/>
      <c r="D9" s="819"/>
      <c r="E9" s="820"/>
      <c r="F9" s="820"/>
      <c r="G9" s="820"/>
      <c r="H9" s="820"/>
      <c r="I9" s="820"/>
      <c r="J9" s="820"/>
      <c r="K9" s="821"/>
      <c r="L9" s="821"/>
      <c r="M9" s="821"/>
      <c r="N9" s="821"/>
      <c r="O9" s="821"/>
      <c r="P9" s="821"/>
      <c r="Q9" s="821"/>
      <c r="R9" s="821"/>
      <c r="S9" s="821"/>
      <c r="T9" s="821"/>
      <c r="U9" s="821"/>
      <c r="V9" s="821"/>
      <c r="W9" s="821"/>
      <c r="X9" s="821"/>
      <c r="Y9" s="821"/>
      <c r="Z9" s="821"/>
      <c r="AA9" s="821"/>
      <c r="AB9" s="821"/>
      <c r="AC9" s="821"/>
      <c r="AD9" s="821"/>
      <c r="AE9" s="821"/>
      <c r="AF9" s="821"/>
      <c r="AG9" s="822"/>
      <c r="AH9" s="808"/>
      <c r="AI9" s="809"/>
      <c r="AJ9" s="809"/>
      <c r="AK9" s="809"/>
      <c r="AL9" s="809"/>
      <c r="AM9" s="809"/>
      <c r="AN9" s="809"/>
      <c r="AO9" s="809"/>
      <c r="AP9" s="809"/>
      <c r="AQ9" s="809"/>
      <c r="AR9" s="809"/>
      <c r="AS9" s="809"/>
      <c r="AT9" s="809"/>
      <c r="AU9" s="810"/>
      <c r="AV9" s="803"/>
      <c r="AW9" s="803"/>
      <c r="AX9" s="803"/>
      <c r="AY9" s="803"/>
    </row>
    <row r="10" spans="1:51" ht="15" customHeight="1">
      <c r="A10" s="816" t="s">
        <v>287</v>
      </c>
      <c r="B10" s="817"/>
      <c r="C10" s="818"/>
      <c r="D10" s="823" t="s">
        <v>500</v>
      </c>
      <c r="E10" s="821"/>
      <c r="F10" s="821"/>
      <c r="G10" s="821"/>
      <c r="H10" s="821"/>
      <c r="I10" s="821"/>
      <c r="J10" s="821"/>
      <c r="K10" s="821"/>
      <c r="L10" s="821"/>
      <c r="M10" s="821"/>
      <c r="N10" s="821"/>
      <c r="O10" s="821"/>
      <c r="P10" s="821"/>
      <c r="Q10" s="821"/>
      <c r="R10" s="821"/>
      <c r="S10" s="821"/>
      <c r="T10" s="821"/>
      <c r="U10" s="821"/>
      <c r="V10" s="821"/>
      <c r="W10" s="821"/>
      <c r="X10" s="821"/>
      <c r="Y10" s="821"/>
      <c r="Z10" s="821"/>
      <c r="AA10" s="821"/>
      <c r="AB10" s="821"/>
      <c r="AC10" s="821"/>
      <c r="AD10" s="821"/>
      <c r="AE10" s="821"/>
      <c r="AF10" s="821"/>
      <c r="AG10" s="822"/>
      <c r="AH10" s="811"/>
      <c r="AI10" s="812"/>
      <c r="AJ10" s="812"/>
      <c r="AK10" s="812"/>
      <c r="AL10" s="812"/>
      <c r="AM10" s="812"/>
      <c r="AN10" s="812"/>
      <c r="AO10" s="812"/>
      <c r="AP10" s="812"/>
      <c r="AQ10" s="812"/>
      <c r="AR10" s="812"/>
      <c r="AS10" s="812"/>
      <c r="AT10" s="812"/>
      <c r="AU10" s="813"/>
      <c r="AV10" s="803"/>
      <c r="AW10" s="803"/>
      <c r="AX10" s="803"/>
      <c r="AY10" s="803"/>
    </row>
    <row r="11" spans="1:51" ht="39.75" customHeight="1">
      <c r="A11" s="792" t="s">
        <v>168</v>
      </c>
      <c r="B11" s="797"/>
      <c r="C11" s="797"/>
      <c r="D11" s="797"/>
      <c r="E11" s="797"/>
      <c r="F11" s="793"/>
      <c r="G11" s="792" t="s">
        <v>278</v>
      </c>
      <c r="H11" s="793"/>
      <c r="I11" s="795" t="s">
        <v>179</v>
      </c>
      <c r="J11" s="795" t="s">
        <v>279</v>
      </c>
      <c r="K11" s="795" t="s">
        <v>323</v>
      </c>
      <c r="L11" s="795" t="s">
        <v>363</v>
      </c>
      <c r="M11" s="795" t="s">
        <v>167</v>
      </c>
      <c r="N11" s="795" t="s">
        <v>182</v>
      </c>
      <c r="O11" s="792" t="s">
        <v>284</v>
      </c>
      <c r="P11" s="797"/>
      <c r="Q11" s="797"/>
      <c r="R11" s="797"/>
      <c r="S11" s="793"/>
      <c r="T11" s="795" t="s">
        <v>173</v>
      </c>
      <c r="U11" s="795" t="s">
        <v>285</v>
      </c>
      <c r="V11" s="780" t="s">
        <v>370</v>
      </c>
      <c r="W11" s="781"/>
      <c r="X11" s="781"/>
      <c r="Y11" s="781"/>
      <c r="Z11" s="781"/>
      <c r="AA11" s="781"/>
      <c r="AB11" s="781"/>
      <c r="AC11" s="781"/>
      <c r="AD11" s="781"/>
      <c r="AE11" s="781"/>
      <c r="AF11" s="781"/>
      <c r="AG11" s="782"/>
      <c r="AH11" s="780" t="s">
        <v>87</v>
      </c>
      <c r="AI11" s="781"/>
      <c r="AJ11" s="781"/>
      <c r="AK11" s="781"/>
      <c r="AL11" s="781"/>
      <c r="AM11" s="781"/>
      <c r="AN11" s="781"/>
      <c r="AO11" s="781"/>
      <c r="AP11" s="781"/>
      <c r="AQ11" s="781"/>
      <c r="AR11" s="781"/>
      <c r="AS11" s="782"/>
      <c r="AT11" s="792" t="s">
        <v>8</v>
      </c>
      <c r="AU11" s="793"/>
      <c r="AV11" s="803"/>
      <c r="AW11" s="803"/>
      <c r="AX11" s="803"/>
      <c r="AY11" s="803"/>
    </row>
    <row r="12" spans="1:51" ht="42.75">
      <c r="A12" s="292" t="s">
        <v>169</v>
      </c>
      <c r="B12" s="292" t="s">
        <v>170</v>
      </c>
      <c r="C12" s="292" t="s">
        <v>171</v>
      </c>
      <c r="D12" s="292" t="s">
        <v>178</v>
      </c>
      <c r="E12" s="292" t="s">
        <v>185</v>
      </c>
      <c r="F12" s="292" t="s">
        <v>186</v>
      </c>
      <c r="G12" s="292" t="s">
        <v>277</v>
      </c>
      <c r="H12" s="292" t="s">
        <v>184</v>
      </c>
      <c r="I12" s="796"/>
      <c r="J12" s="796"/>
      <c r="K12" s="796"/>
      <c r="L12" s="796"/>
      <c r="M12" s="796"/>
      <c r="N12" s="796"/>
      <c r="O12" s="292">
        <v>2020</v>
      </c>
      <c r="P12" s="292">
        <v>2021</v>
      </c>
      <c r="Q12" s="292">
        <v>2022</v>
      </c>
      <c r="R12" s="292">
        <v>2023</v>
      </c>
      <c r="S12" s="292">
        <v>2024</v>
      </c>
      <c r="T12" s="796"/>
      <c r="U12" s="796"/>
      <c r="V12" s="230" t="s">
        <v>39</v>
      </c>
      <c r="W12" s="230" t="s">
        <v>40</v>
      </c>
      <c r="X12" s="230" t="s">
        <v>41</v>
      </c>
      <c r="Y12" s="230" t="s">
        <v>42</v>
      </c>
      <c r="Z12" s="230" t="s">
        <v>43</v>
      </c>
      <c r="AA12" s="230" t="s">
        <v>44</v>
      </c>
      <c r="AB12" s="230" t="s">
        <v>45</v>
      </c>
      <c r="AC12" s="230" t="s">
        <v>46</v>
      </c>
      <c r="AD12" s="230" t="s">
        <v>47</v>
      </c>
      <c r="AE12" s="230" t="s">
        <v>48</v>
      </c>
      <c r="AF12" s="230" t="s">
        <v>49</v>
      </c>
      <c r="AG12" s="230" t="s">
        <v>50</v>
      </c>
      <c r="AH12" s="230" t="s">
        <v>39</v>
      </c>
      <c r="AI12" s="230" t="s">
        <v>40</v>
      </c>
      <c r="AJ12" s="230" t="s">
        <v>41</v>
      </c>
      <c r="AK12" s="230" t="s">
        <v>42</v>
      </c>
      <c r="AL12" s="230" t="s">
        <v>43</v>
      </c>
      <c r="AM12" s="230" t="s">
        <v>44</v>
      </c>
      <c r="AN12" s="230" t="s">
        <v>45</v>
      </c>
      <c r="AO12" s="230" t="s">
        <v>46</v>
      </c>
      <c r="AP12" s="230" t="s">
        <v>47</v>
      </c>
      <c r="AQ12" s="230" t="s">
        <v>48</v>
      </c>
      <c r="AR12" s="230" t="s">
        <v>49</v>
      </c>
      <c r="AS12" s="230" t="s">
        <v>50</v>
      </c>
      <c r="AT12" s="292" t="s">
        <v>413</v>
      </c>
      <c r="AU12" s="216" t="s">
        <v>88</v>
      </c>
      <c r="AV12" s="796"/>
      <c r="AW12" s="796"/>
      <c r="AX12" s="796"/>
      <c r="AY12" s="796"/>
    </row>
    <row r="13" spans="1:51" ht="231" customHeight="1">
      <c r="A13" s="121"/>
      <c r="B13" s="121"/>
      <c r="C13" s="121"/>
      <c r="D13" s="121"/>
      <c r="E13" s="121" t="s">
        <v>425</v>
      </c>
      <c r="F13" s="121"/>
      <c r="G13" s="152" t="s">
        <v>698</v>
      </c>
      <c r="H13" s="122" t="s">
        <v>842</v>
      </c>
      <c r="I13" s="313" t="s">
        <v>699</v>
      </c>
      <c r="J13" s="367" t="s">
        <v>700</v>
      </c>
      <c r="K13" s="122" t="s">
        <v>430</v>
      </c>
      <c r="L13" s="121" t="s">
        <v>450</v>
      </c>
      <c r="M13" s="122" t="s">
        <v>701</v>
      </c>
      <c r="N13" s="313" t="s">
        <v>702</v>
      </c>
      <c r="O13" s="368"/>
      <c r="P13" s="368"/>
      <c r="Q13" s="369"/>
      <c r="R13" s="369">
        <v>55</v>
      </c>
      <c r="S13" s="369"/>
      <c r="T13" s="370" t="s">
        <v>433</v>
      </c>
      <c r="U13" s="371" t="s">
        <v>703</v>
      </c>
      <c r="V13" s="376"/>
      <c r="W13" s="329"/>
      <c r="X13" s="377">
        <v>13</v>
      </c>
      <c r="Y13" s="377"/>
      <c r="Z13" s="377"/>
      <c r="AA13" s="377">
        <v>14</v>
      </c>
      <c r="AB13" s="377"/>
      <c r="AC13" s="377"/>
      <c r="AD13" s="377">
        <v>14</v>
      </c>
      <c r="AE13" s="377"/>
      <c r="AF13" s="377">
        <v>14</v>
      </c>
      <c r="AG13" s="377"/>
      <c r="AH13" s="124"/>
      <c r="AI13" s="124"/>
      <c r="AJ13" s="124">
        <v>1</v>
      </c>
      <c r="AK13" s="124"/>
      <c r="AL13" s="124"/>
      <c r="AM13" s="483">
        <v>26.75</v>
      </c>
      <c r="AN13" s="124"/>
      <c r="AO13" s="124"/>
      <c r="AP13" s="465">
        <v>14</v>
      </c>
      <c r="AQ13" s="124"/>
      <c r="AR13" s="124"/>
      <c r="AS13" s="124"/>
      <c r="AT13" s="482">
        <f>SUM(AH13:AS13)</f>
        <v>41.75</v>
      </c>
      <c r="AU13" s="127">
        <f>+AT13/R13</f>
        <v>0.759090909090909</v>
      </c>
      <c r="AV13" s="496" t="s">
        <v>946</v>
      </c>
      <c r="AW13" s="479" t="s">
        <v>947</v>
      </c>
      <c r="AX13" s="445" t="s">
        <v>903</v>
      </c>
      <c r="AY13" s="412" t="s">
        <v>948</v>
      </c>
    </row>
    <row r="14" spans="1:51" ht="275.25" customHeight="1">
      <c r="A14" s="121"/>
      <c r="B14" s="121"/>
      <c r="C14" s="121"/>
      <c r="D14" s="121"/>
      <c r="E14" s="121" t="s">
        <v>425</v>
      </c>
      <c r="F14" s="121"/>
      <c r="G14" s="152" t="s">
        <v>698</v>
      </c>
      <c r="H14" s="122" t="s">
        <v>842</v>
      </c>
      <c r="I14" s="313" t="s">
        <v>699</v>
      </c>
      <c r="J14" s="313" t="s">
        <v>704</v>
      </c>
      <c r="K14" s="121" t="s">
        <v>430</v>
      </c>
      <c r="L14" s="121" t="s">
        <v>450</v>
      </c>
      <c r="M14" s="122" t="s">
        <v>705</v>
      </c>
      <c r="N14" s="313" t="s">
        <v>706</v>
      </c>
      <c r="O14" s="368"/>
      <c r="P14" s="368"/>
      <c r="Q14" s="369"/>
      <c r="R14" s="369">
        <v>150</v>
      </c>
      <c r="S14" s="369"/>
      <c r="T14" s="372" t="s">
        <v>433</v>
      </c>
      <c r="U14" s="245" t="s">
        <v>707</v>
      </c>
      <c r="V14" s="328"/>
      <c r="W14" s="328"/>
      <c r="X14" s="373">
        <v>22.5</v>
      </c>
      <c r="Y14" s="373"/>
      <c r="Z14" s="373"/>
      <c r="AA14" s="373">
        <v>52.5</v>
      </c>
      <c r="AB14" s="374"/>
      <c r="AC14" s="374"/>
      <c r="AD14" s="374">
        <v>45</v>
      </c>
      <c r="AE14" s="374"/>
      <c r="AF14" s="374"/>
      <c r="AG14" s="374">
        <v>30</v>
      </c>
      <c r="AH14" s="124"/>
      <c r="AI14" s="124"/>
      <c r="AJ14" s="124">
        <v>22.5</v>
      </c>
      <c r="AK14" s="124"/>
      <c r="AL14" s="124"/>
      <c r="AM14" s="484">
        <v>55.75</v>
      </c>
      <c r="AN14" s="124"/>
      <c r="AO14" s="124"/>
      <c r="AP14" s="471">
        <v>45</v>
      </c>
      <c r="AQ14" s="124"/>
      <c r="AR14" s="124"/>
      <c r="AS14" s="124"/>
      <c r="AT14" s="124">
        <f>SUM(AH14:AS14)</f>
        <v>123.25</v>
      </c>
      <c r="AU14" s="127">
        <f>+AT14/R14</f>
        <v>0.8216666666666667</v>
      </c>
      <c r="AV14" s="496" t="s">
        <v>946</v>
      </c>
      <c r="AW14" s="479" t="s">
        <v>949</v>
      </c>
      <c r="AX14" s="445" t="s">
        <v>903</v>
      </c>
      <c r="AY14" s="412" t="s">
        <v>948</v>
      </c>
    </row>
    <row r="15" spans="1:51" ht="378.75" customHeight="1">
      <c r="A15" s="121"/>
      <c r="B15" s="121"/>
      <c r="C15" s="121"/>
      <c r="D15" s="121"/>
      <c r="E15" s="121" t="s">
        <v>425</v>
      </c>
      <c r="F15" s="121"/>
      <c r="G15" s="152" t="s">
        <v>698</v>
      </c>
      <c r="H15" s="122" t="s">
        <v>842</v>
      </c>
      <c r="I15" s="313" t="s">
        <v>699</v>
      </c>
      <c r="J15" s="313" t="s">
        <v>708</v>
      </c>
      <c r="K15" s="121" t="s">
        <v>430</v>
      </c>
      <c r="L15" s="121" t="s">
        <v>450</v>
      </c>
      <c r="M15" s="122" t="s">
        <v>709</v>
      </c>
      <c r="N15" s="313" t="s">
        <v>710</v>
      </c>
      <c r="O15" s="124"/>
      <c r="P15" s="124"/>
      <c r="Q15" s="328"/>
      <c r="R15" s="328">
        <v>8</v>
      </c>
      <c r="S15" s="328"/>
      <c r="T15" s="372" t="s">
        <v>433</v>
      </c>
      <c r="U15" s="245" t="s">
        <v>711</v>
      </c>
      <c r="V15" s="328"/>
      <c r="W15" s="328"/>
      <c r="X15" s="328">
        <v>2</v>
      </c>
      <c r="Y15" s="328"/>
      <c r="Z15" s="328"/>
      <c r="AA15" s="328">
        <v>2</v>
      </c>
      <c r="AB15" s="328"/>
      <c r="AC15" s="328"/>
      <c r="AD15" s="328">
        <v>2</v>
      </c>
      <c r="AE15" s="328"/>
      <c r="AF15" s="328"/>
      <c r="AG15" s="328">
        <v>2</v>
      </c>
      <c r="AH15" s="124"/>
      <c r="AI15" s="124"/>
      <c r="AJ15" s="124">
        <v>3</v>
      </c>
      <c r="AK15" s="124"/>
      <c r="AL15" s="124"/>
      <c r="AM15" s="483">
        <v>2</v>
      </c>
      <c r="AN15" s="124"/>
      <c r="AO15" s="124"/>
      <c r="AP15" s="471">
        <v>2</v>
      </c>
      <c r="AQ15" s="124"/>
      <c r="AR15" s="124"/>
      <c r="AS15" s="124"/>
      <c r="AT15" s="124">
        <f>SUM(AH15:AS15)</f>
        <v>7</v>
      </c>
      <c r="AU15" s="127">
        <f>+AT15/R15</f>
        <v>0.875</v>
      </c>
      <c r="AV15" s="496" t="s">
        <v>946</v>
      </c>
      <c r="AW15" s="480" t="s">
        <v>950</v>
      </c>
      <c r="AX15" s="445" t="s">
        <v>903</v>
      </c>
      <c r="AY15" s="412" t="s">
        <v>948</v>
      </c>
    </row>
    <row r="16" spans="1:51" ht="309.75" customHeight="1">
      <c r="A16" s="121"/>
      <c r="B16" s="121"/>
      <c r="C16" s="121"/>
      <c r="D16" s="121"/>
      <c r="E16" s="121" t="s">
        <v>425</v>
      </c>
      <c r="F16" s="121"/>
      <c r="G16" s="152" t="s">
        <v>698</v>
      </c>
      <c r="H16" s="122" t="s">
        <v>842</v>
      </c>
      <c r="I16" s="313" t="s">
        <v>699</v>
      </c>
      <c r="J16" s="313" t="s">
        <v>712</v>
      </c>
      <c r="K16" s="121" t="s">
        <v>430</v>
      </c>
      <c r="L16" s="121" t="s">
        <v>450</v>
      </c>
      <c r="M16" s="122" t="s">
        <v>431</v>
      </c>
      <c r="N16" s="313" t="s">
        <v>713</v>
      </c>
      <c r="O16" s="124"/>
      <c r="P16" s="124"/>
      <c r="Q16" s="375"/>
      <c r="R16" s="375">
        <v>1</v>
      </c>
      <c r="S16" s="328"/>
      <c r="T16" s="372" t="s">
        <v>433</v>
      </c>
      <c r="U16" s="245" t="s">
        <v>714</v>
      </c>
      <c r="V16" s="328"/>
      <c r="W16" s="328"/>
      <c r="X16" s="327">
        <v>0.25</v>
      </c>
      <c r="Y16" s="328"/>
      <c r="Z16" s="328"/>
      <c r="AA16" s="327">
        <v>0.25</v>
      </c>
      <c r="AB16" s="328"/>
      <c r="AC16" s="328"/>
      <c r="AD16" s="327">
        <v>0.25</v>
      </c>
      <c r="AE16" s="328"/>
      <c r="AF16" s="328"/>
      <c r="AG16" s="327">
        <v>0.25</v>
      </c>
      <c r="AH16" s="124"/>
      <c r="AI16" s="124"/>
      <c r="AJ16" s="127">
        <v>0.25</v>
      </c>
      <c r="AK16" s="124"/>
      <c r="AL16" s="124"/>
      <c r="AM16" s="464">
        <v>0.25</v>
      </c>
      <c r="AN16" s="124"/>
      <c r="AO16" s="124"/>
      <c r="AP16" s="470">
        <v>0.25</v>
      </c>
      <c r="AQ16" s="124"/>
      <c r="AR16" s="124"/>
      <c r="AS16" s="124"/>
      <c r="AT16" s="127">
        <f>SUM(AH16:AS16)</f>
        <v>0.75</v>
      </c>
      <c r="AU16" s="127">
        <f>+AT16/R16</f>
        <v>0.75</v>
      </c>
      <c r="AV16" s="496" t="s">
        <v>946</v>
      </c>
      <c r="AW16" s="481" t="s">
        <v>951</v>
      </c>
      <c r="AX16" s="445" t="s">
        <v>903</v>
      </c>
      <c r="AY16" s="412" t="s">
        <v>948</v>
      </c>
    </row>
    <row r="17" spans="1:51" ht="409.5" customHeight="1">
      <c r="A17" s="121"/>
      <c r="B17" s="121"/>
      <c r="C17" s="121"/>
      <c r="D17" s="121"/>
      <c r="E17" s="121" t="s">
        <v>425</v>
      </c>
      <c r="F17" s="121"/>
      <c r="G17" s="152" t="s">
        <v>698</v>
      </c>
      <c r="H17" s="122" t="s">
        <v>842</v>
      </c>
      <c r="I17" s="313" t="s">
        <v>699</v>
      </c>
      <c r="J17" s="313" t="s">
        <v>715</v>
      </c>
      <c r="K17" s="122" t="s">
        <v>430</v>
      </c>
      <c r="L17" s="121" t="s">
        <v>450</v>
      </c>
      <c r="M17" s="122" t="s">
        <v>431</v>
      </c>
      <c r="N17" s="313" t="s">
        <v>716</v>
      </c>
      <c r="O17" s="124"/>
      <c r="P17" s="124"/>
      <c r="Q17" s="375"/>
      <c r="R17" s="375">
        <v>1</v>
      </c>
      <c r="S17" s="328"/>
      <c r="T17" s="372" t="s">
        <v>433</v>
      </c>
      <c r="U17" s="245" t="s">
        <v>714</v>
      </c>
      <c r="V17" s="328"/>
      <c r="W17" s="328"/>
      <c r="X17" s="327">
        <v>0.25</v>
      </c>
      <c r="Y17" s="328"/>
      <c r="Z17" s="328"/>
      <c r="AA17" s="327">
        <v>0.25</v>
      </c>
      <c r="AB17" s="328"/>
      <c r="AC17" s="328"/>
      <c r="AD17" s="327">
        <v>0.25</v>
      </c>
      <c r="AE17" s="328"/>
      <c r="AF17" s="328"/>
      <c r="AG17" s="327">
        <v>0.25</v>
      </c>
      <c r="AH17" s="124"/>
      <c r="AI17" s="124"/>
      <c r="AJ17" s="327">
        <v>0.25</v>
      </c>
      <c r="AK17" s="124"/>
      <c r="AL17" s="124"/>
      <c r="AM17" s="464">
        <v>0.25</v>
      </c>
      <c r="AN17" s="124"/>
      <c r="AO17" s="124"/>
      <c r="AP17" s="469">
        <v>0.25</v>
      </c>
      <c r="AQ17" s="124"/>
      <c r="AR17" s="124"/>
      <c r="AS17" s="124"/>
      <c r="AT17" s="127">
        <f>SUM(AH17:AS17)</f>
        <v>0.75</v>
      </c>
      <c r="AU17" s="127">
        <f>+AT17/R17</f>
        <v>0.75</v>
      </c>
      <c r="AV17" s="496" t="s">
        <v>946</v>
      </c>
      <c r="AW17" s="481" t="s">
        <v>952</v>
      </c>
      <c r="AX17" s="445" t="s">
        <v>903</v>
      </c>
      <c r="AY17" s="412" t="s">
        <v>948</v>
      </c>
    </row>
    <row r="18" spans="1:51" ht="54" customHeight="1">
      <c r="A18" s="798" t="s">
        <v>64</v>
      </c>
      <c r="B18" s="798"/>
      <c r="C18" s="798"/>
      <c r="D18" s="794" t="s">
        <v>66</v>
      </c>
      <c r="E18" s="794"/>
      <c r="F18" s="794"/>
      <c r="G18" s="794"/>
      <c r="H18" s="794"/>
      <c r="I18" s="794"/>
      <c r="J18" s="799" t="s">
        <v>300</v>
      </c>
      <c r="K18" s="799"/>
      <c r="L18" s="799"/>
      <c r="M18" s="799"/>
      <c r="N18" s="799"/>
      <c r="O18" s="799"/>
      <c r="P18" s="794" t="s">
        <v>66</v>
      </c>
      <c r="Q18" s="794"/>
      <c r="R18" s="794"/>
      <c r="S18" s="794"/>
      <c r="T18" s="794"/>
      <c r="U18" s="794"/>
      <c r="V18" s="794" t="s">
        <v>66</v>
      </c>
      <c r="W18" s="794"/>
      <c r="X18" s="794"/>
      <c r="Y18" s="794"/>
      <c r="Z18" s="794"/>
      <c r="AA18" s="794"/>
      <c r="AB18" s="794"/>
      <c r="AC18" s="794"/>
      <c r="AD18" s="794" t="s">
        <v>66</v>
      </c>
      <c r="AE18" s="794"/>
      <c r="AF18" s="794"/>
      <c r="AG18" s="794"/>
      <c r="AH18" s="794"/>
      <c r="AI18" s="794"/>
      <c r="AJ18" s="794"/>
      <c r="AK18" s="794"/>
      <c r="AL18" s="794"/>
      <c r="AM18" s="794"/>
      <c r="AN18" s="794"/>
      <c r="AO18" s="794"/>
      <c r="AP18" s="799" t="s">
        <v>318</v>
      </c>
      <c r="AQ18" s="799"/>
      <c r="AR18" s="799"/>
      <c r="AS18" s="799"/>
      <c r="AT18" s="794" t="s">
        <v>13</v>
      </c>
      <c r="AU18" s="794"/>
      <c r="AV18" s="794"/>
      <c r="AW18" s="794"/>
      <c r="AX18" s="794"/>
      <c r="AY18" s="794"/>
    </row>
    <row r="19" spans="1:51" ht="30" customHeight="1">
      <c r="A19" s="798"/>
      <c r="B19" s="798"/>
      <c r="C19" s="798"/>
      <c r="D19" s="794" t="s">
        <v>812</v>
      </c>
      <c r="E19" s="794"/>
      <c r="F19" s="794"/>
      <c r="G19" s="794"/>
      <c r="H19" s="794"/>
      <c r="I19" s="794"/>
      <c r="J19" s="799"/>
      <c r="K19" s="799"/>
      <c r="L19" s="799"/>
      <c r="M19" s="799"/>
      <c r="N19" s="799"/>
      <c r="O19" s="799"/>
      <c r="P19" s="794" t="s">
        <v>845</v>
      </c>
      <c r="Q19" s="794"/>
      <c r="R19" s="794"/>
      <c r="S19" s="794"/>
      <c r="T19" s="794"/>
      <c r="U19" s="794"/>
      <c r="V19" s="794" t="s">
        <v>65</v>
      </c>
      <c r="W19" s="794"/>
      <c r="X19" s="794"/>
      <c r="Y19" s="794"/>
      <c r="Z19" s="794"/>
      <c r="AA19" s="794"/>
      <c r="AB19" s="794"/>
      <c r="AC19" s="794"/>
      <c r="AD19" s="794" t="s">
        <v>65</v>
      </c>
      <c r="AE19" s="794"/>
      <c r="AF19" s="794"/>
      <c r="AG19" s="794"/>
      <c r="AH19" s="794"/>
      <c r="AI19" s="794"/>
      <c r="AJ19" s="794"/>
      <c r="AK19" s="794"/>
      <c r="AL19" s="794"/>
      <c r="AM19" s="794"/>
      <c r="AN19" s="794"/>
      <c r="AO19" s="794"/>
      <c r="AP19" s="799"/>
      <c r="AQ19" s="799"/>
      <c r="AR19" s="799"/>
      <c r="AS19" s="799"/>
      <c r="AT19" s="794" t="s">
        <v>769</v>
      </c>
      <c r="AU19" s="794"/>
      <c r="AV19" s="794"/>
      <c r="AW19" s="794"/>
      <c r="AX19" s="794"/>
      <c r="AY19" s="794"/>
    </row>
    <row r="20" spans="1:51" ht="30" customHeight="1">
      <c r="A20" s="798"/>
      <c r="B20" s="798"/>
      <c r="C20" s="798"/>
      <c r="D20" s="794" t="s">
        <v>813</v>
      </c>
      <c r="E20" s="794"/>
      <c r="F20" s="794"/>
      <c r="G20" s="794"/>
      <c r="H20" s="794"/>
      <c r="I20" s="794"/>
      <c r="J20" s="799"/>
      <c r="K20" s="799"/>
      <c r="L20" s="799"/>
      <c r="M20" s="799"/>
      <c r="N20" s="799"/>
      <c r="O20" s="799"/>
      <c r="P20" s="794" t="s">
        <v>814</v>
      </c>
      <c r="Q20" s="794"/>
      <c r="R20" s="794"/>
      <c r="S20" s="794"/>
      <c r="T20" s="794"/>
      <c r="U20" s="794"/>
      <c r="V20" s="794" t="s">
        <v>297</v>
      </c>
      <c r="W20" s="794"/>
      <c r="X20" s="794"/>
      <c r="Y20" s="794"/>
      <c r="Z20" s="794"/>
      <c r="AA20" s="794"/>
      <c r="AB20" s="794"/>
      <c r="AC20" s="794"/>
      <c r="AD20" s="794" t="s">
        <v>297</v>
      </c>
      <c r="AE20" s="794"/>
      <c r="AF20" s="794"/>
      <c r="AG20" s="794"/>
      <c r="AH20" s="794"/>
      <c r="AI20" s="794"/>
      <c r="AJ20" s="794"/>
      <c r="AK20" s="794"/>
      <c r="AL20" s="794"/>
      <c r="AM20" s="794"/>
      <c r="AN20" s="794"/>
      <c r="AO20" s="794"/>
      <c r="AP20" s="799"/>
      <c r="AQ20" s="799"/>
      <c r="AR20" s="799"/>
      <c r="AS20" s="799"/>
      <c r="AT20" s="794" t="s">
        <v>75</v>
      </c>
      <c r="AU20" s="794"/>
      <c r="AV20" s="794"/>
      <c r="AW20" s="794"/>
      <c r="AX20" s="794"/>
      <c r="AY20" s="794"/>
    </row>
  </sheetData>
  <sheetProtection/>
  <mergeCells count="56">
    <mergeCell ref="D20:I20"/>
    <mergeCell ref="P20:U20"/>
    <mergeCell ref="V20:AC20"/>
    <mergeCell ref="AD20:AO20"/>
    <mergeCell ref="AT20:AY20"/>
    <mergeCell ref="AT18:AY18"/>
    <mergeCell ref="D19:I19"/>
    <mergeCell ref="P19:U19"/>
    <mergeCell ref="V19:AC19"/>
    <mergeCell ref="AD19:AO19"/>
    <mergeCell ref="AT19:AY19"/>
    <mergeCell ref="AH11:AS11"/>
    <mergeCell ref="AT11:AU11"/>
    <mergeCell ref="A18:C20"/>
    <mergeCell ref="D18:I18"/>
    <mergeCell ref="J18:O20"/>
    <mergeCell ref="P18:U18"/>
    <mergeCell ref="V18:AC18"/>
    <mergeCell ref="AD18:AO18"/>
    <mergeCell ref="AP18:AS20"/>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1" fitToWidth="1" horizontalDpi="600" verticalDpi="600" orientation="landscape" scale="17" r:id="rId4"/>
  <drawing r:id="rId3"/>
  <legacyDrawing r:id="rId2"/>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752"/>
      <c r="B1" s="729" t="s">
        <v>16</v>
      </c>
      <c r="C1" s="730"/>
      <c r="D1" s="730"/>
      <c r="E1" s="730"/>
      <c r="F1" s="730"/>
      <c r="G1" s="730"/>
      <c r="H1" s="730"/>
      <c r="I1" s="730"/>
      <c r="J1" s="730"/>
      <c r="K1" s="730"/>
      <c r="L1" s="730"/>
      <c r="M1" s="730"/>
      <c r="N1" s="730"/>
      <c r="O1" s="730"/>
      <c r="P1" s="730"/>
      <c r="Q1" s="730"/>
      <c r="R1" s="730"/>
      <c r="S1" s="730"/>
      <c r="T1" s="730"/>
      <c r="U1" s="730"/>
      <c r="V1" s="730"/>
      <c r="W1" s="730"/>
      <c r="X1" s="730"/>
      <c r="Y1" s="731"/>
      <c r="Z1" s="726" t="s">
        <v>18</v>
      </c>
      <c r="AA1" s="727"/>
      <c r="AB1" s="728"/>
    </row>
    <row r="2" spans="1:28" ht="30.75" customHeight="1">
      <c r="A2" s="753"/>
      <c r="B2" s="732" t="s">
        <v>17</v>
      </c>
      <c r="C2" s="733"/>
      <c r="D2" s="733"/>
      <c r="E2" s="733"/>
      <c r="F2" s="733"/>
      <c r="G2" s="733"/>
      <c r="H2" s="733"/>
      <c r="I2" s="733"/>
      <c r="J2" s="733"/>
      <c r="K2" s="733"/>
      <c r="L2" s="733"/>
      <c r="M2" s="733"/>
      <c r="N2" s="733"/>
      <c r="O2" s="733"/>
      <c r="P2" s="733"/>
      <c r="Q2" s="733"/>
      <c r="R2" s="733"/>
      <c r="S2" s="733"/>
      <c r="T2" s="733"/>
      <c r="U2" s="733"/>
      <c r="V2" s="733"/>
      <c r="W2" s="733"/>
      <c r="X2" s="733"/>
      <c r="Y2" s="734"/>
      <c r="Z2" s="755" t="s">
        <v>180</v>
      </c>
      <c r="AA2" s="756"/>
      <c r="AB2" s="757"/>
    </row>
    <row r="3" spans="1:28" ht="24" customHeight="1">
      <c r="A3" s="753"/>
      <c r="B3" s="735" t="s">
        <v>295</v>
      </c>
      <c r="C3" s="736"/>
      <c r="D3" s="736"/>
      <c r="E3" s="736"/>
      <c r="F3" s="736"/>
      <c r="G3" s="736"/>
      <c r="H3" s="736"/>
      <c r="I3" s="736"/>
      <c r="J3" s="736"/>
      <c r="K3" s="736"/>
      <c r="L3" s="736"/>
      <c r="M3" s="736"/>
      <c r="N3" s="736"/>
      <c r="O3" s="736"/>
      <c r="P3" s="736"/>
      <c r="Q3" s="736"/>
      <c r="R3" s="736"/>
      <c r="S3" s="736"/>
      <c r="T3" s="736"/>
      <c r="U3" s="736"/>
      <c r="V3" s="736"/>
      <c r="W3" s="736"/>
      <c r="X3" s="736"/>
      <c r="Y3" s="737"/>
      <c r="Z3" s="755" t="s">
        <v>181</v>
      </c>
      <c r="AA3" s="756"/>
      <c r="AB3" s="757"/>
    </row>
    <row r="4" spans="1:28" ht="15.75" customHeight="1" thickBot="1">
      <c r="A4" s="754"/>
      <c r="B4" s="738"/>
      <c r="C4" s="739"/>
      <c r="D4" s="739"/>
      <c r="E4" s="739"/>
      <c r="F4" s="739"/>
      <c r="G4" s="739"/>
      <c r="H4" s="739"/>
      <c r="I4" s="739"/>
      <c r="J4" s="739"/>
      <c r="K4" s="739"/>
      <c r="L4" s="739"/>
      <c r="M4" s="739"/>
      <c r="N4" s="739"/>
      <c r="O4" s="739"/>
      <c r="P4" s="739"/>
      <c r="Q4" s="739"/>
      <c r="R4" s="739"/>
      <c r="S4" s="739"/>
      <c r="T4" s="739"/>
      <c r="U4" s="739"/>
      <c r="V4" s="739"/>
      <c r="W4" s="739"/>
      <c r="X4" s="739"/>
      <c r="Y4" s="740"/>
      <c r="Z4" s="758" t="s">
        <v>175</v>
      </c>
      <c r="AA4" s="759"/>
      <c r="AB4" s="760"/>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647" t="s">
        <v>0</v>
      </c>
      <c r="B7" s="648"/>
      <c r="C7" s="678"/>
      <c r="D7" s="679"/>
      <c r="E7" s="679"/>
      <c r="F7" s="679"/>
      <c r="G7" s="679"/>
      <c r="H7" s="679"/>
      <c r="I7" s="679"/>
      <c r="J7" s="679"/>
      <c r="K7" s="680"/>
      <c r="L7" s="64"/>
      <c r="M7" s="65"/>
      <c r="N7" s="65"/>
      <c r="O7" s="65"/>
      <c r="P7" s="65"/>
      <c r="Q7" s="66"/>
      <c r="R7" s="711" t="s">
        <v>71</v>
      </c>
      <c r="S7" s="761"/>
      <c r="T7" s="712"/>
      <c r="U7" s="656" t="s">
        <v>74</v>
      </c>
      <c r="V7" s="657"/>
      <c r="W7" s="711" t="s">
        <v>67</v>
      </c>
      <c r="X7" s="712"/>
      <c r="Y7" s="623" t="s">
        <v>70</v>
      </c>
      <c r="Z7" s="624"/>
      <c r="AA7" s="662"/>
      <c r="AB7" s="663"/>
    </row>
    <row r="8" spans="1:28" ht="15" customHeight="1">
      <c r="A8" s="649"/>
      <c r="B8" s="650"/>
      <c r="C8" s="681"/>
      <c r="D8" s="682"/>
      <c r="E8" s="682"/>
      <c r="F8" s="682"/>
      <c r="G8" s="682"/>
      <c r="H8" s="682"/>
      <c r="I8" s="682"/>
      <c r="J8" s="682"/>
      <c r="K8" s="683"/>
      <c r="L8" s="64"/>
      <c r="M8" s="65"/>
      <c r="N8" s="65"/>
      <c r="O8" s="65"/>
      <c r="P8" s="65"/>
      <c r="Q8" s="66"/>
      <c r="R8" s="713"/>
      <c r="S8" s="762"/>
      <c r="T8" s="714"/>
      <c r="U8" s="658"/>
      <c r="V8" s="659"/>
      <c r="W8" s="713"/>
      <c r="X8" s="714"/>
      <c r="Y8" s="664" t="s">
        <v>68</v>
      </c>
      <c r="Z8" s="665"/>
      <c r="AA8" s="666"/>
      <c r="AB8" s="667"/>
    </row>
    <row r="9" spans="1:28" ht="15" customHeight="1" thickBot="1">
      <c r="A9" s="651"/>
      <c r="B9" s="652"/>
      <c r="C9" s="684"/>
      <c r="D9" s="685"/>
      <c r="E9" s="685"/>
      <c r="F9" s="685"/>
      <c r="G9" s="685"/>
      <c r="H9" s="685"/>
      <c r="I9" s="685"/>
      <c r="J9" s="685"/>
      <c r="K9" s="686"/>
      <c r="L9" s="64"/>
      <c r="M9" s="65"/>
      <c r="N9" s="65"/>
      <c r="O9" s="65"/>
      <c r="P9" s="65"/>
      <c r="Q9" s="66"/>
      <c r="R9" s="715"/>
      <c r="S9" s="763"/>
      <c r="T9" s="716"/>
      <c r="U9" s="660"/>
      <c r="V9" s="661"/>
      <c r="W9" s="715"/>
      <c r="X9" s="716"/>
      <c r="Y9" s="619" t="s">
        <v>69</v>
      </c>
      <c r="Z9" s="620"/>
      <c r="AA9" s="621"/>
      <c r="AB9" s="622"/>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617" t="s">
        <v>77</v>
      </c>
      <c r="B11" s="618"/>
      <c r="C11" s="717"/>
      <c r="D11" s="718"/>
      <c r="E11" s="718"/>
      <c r="F11" s="718"/>
      <c r="G11" s="718"/>
      <c r="H11" s="718"/>
      <c r="I11" s="718"/>
      <c r="J11" s="718"/>
      <c r="K11" s="719"/>
      <c r="L11" s="74"/>
      <c r="M11" s="611" t="s">
        <v>73</v>
      </c>
      <c r="N11" s="687"/>
      <c r="O11" s="687"/>
      <c r="P11" s="687"/>
      <c r="Q11" s="612"/>
      <c r="R11" s="608"/>
      <c r="S11" s="609"/>
      <c r="T11" s="609"/>
      <c r="U11" s="609"/>
      <c r="V11" s="610"/>
      <c r="W11" s="611" t="s">
        <v>72</v>
      </c>
      <c r="X11" s="612"/>
      <c r="Y11" s="631"/>
      <c r="Z11" s="632"/>
      <c r="AA11" s="632"/>
      <c r="AB11" s="633"/>
    </row>
    <row r="12" spans="1:28" ht="9" customHeight="1" thickBot="1">
      <c r="A12" s="61"/>
      <c r="B12" s="56"/>
      <c r="C12" s="634"/>
      <c r="D12" s="634"/>
      <c r="E12" s="634"/>
      <c r="F12" s="634"/>
      <c r="G12" s="634"/>
      <c r="H12" s="634"/>
      <c r="I12" s="634"/>
      <c r="J12" s="634"/>
      <c r="K12" s="634"/>
      <c r="L12" s="634"/>
      <c r="M12" s="634"/>
      <c r="N12" s="634"/>
      <c r="O12" s="634"/>
      <c r="P12" s="634"/>
      <c r="Q12" s="634"/>
      <c r="R12" s="634"/>
      <c r="S12" s="634"/>
      <c r="T12" s="634"/>
      <c r="U12" s="634"/>
      <c r="V12" s="634"/>
      <c r="W12" s="634"/>
      <c r="X12" s="634"/>
      <c r="Y12" s="634"/>
      <c r="Z12" s="634"/>
      <c r="AA12" s="75"/>
      <c r="AB12" s="76"/>
    </row>
    <row r="13" spans="1:28" s="78" customFormat="1" ht="37.5" customHeight="1" thickBot="1">
      <c r="A13" s="617" t="s">
        <v>79</v>
      </c>
      <c r="B13" s="618"/>
      <c r="C13" s="635"/>
      <c r="D13" s="636"/>
      <c r="E13" s="636"/>
      <c r="F13" s="636"/>
      <c r="G13" s="636"/>
      <c r="H13" s="636"/>
      <c r="I13" s="636"/>
      <c r="J13" s="636"/>
      <c r="K13" s="636"/>
      <c r="L13" s="636"/>
      <c r="M13" s="636"/>
      <c r="N13" s="636"/>
      <c r="O13" s="636"/>
      <c r="P13" s="636"/>
      <c r="Q13" s="637"/>
      <c r="R13" s="56"/>
      <c r="S13" s="720" t="s">
        <v>14</v>
      </c>
      <c r="T13" s="720"/>
      <c r="U13" s="77"/>
      <c r="V13" s="744" t="s">
        <v>15</v>
      </c>
      <c r="W13" s="720"/>
      <c r="X13" s="720"/>
      <c r="Y13" s="720"/>
      <c r="Z13" s="56"/>
      <c r="AA13" s="706"/>
      <c r="AB13" s="707"/>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668" t="s">
        <v>293</v>
      </c>
      <c r="B15" s="669"/>
      <c r="C15" s="750" t="s">
        <v>321</v>
      </c>
      <c r="D15" s="82"/>
      <c r="E15" s="82"/>
      <c r="F15" s="82"/>
      <c r="G15" s="82"/>
      <c r="H15" s="82"/>
      <c r="I15" s="82"/>
      <c r="J15" s="83"/>
      <c r="K15" s="84"/>
      <c r="L15" s="83"/>
      <c r="M15" s="62"/>
      <c r="N15" s="62"/>
      <c r="O15" s="62"/>
      <c r="P15" s="62"/>
      <c r="Q15" s="745" t="s">
        <v>1</v>
      </c>
      <c r="R15" s="746"/>
      <c r="S15" s="746"/>
      <c r="T15" s="746"/>
      <c r="U15" s="746"/>
      <c r="V15" s="746"/>
      <c r="W15" s="746"/>
      <c r="X15" s="746"/>
      <c r="Y15" s="746"/>
      <c r="Z15" s="746"/>
      <c r="AA15" s="746"/>
      <c r="AB15" s="747"/>
    </row>
    <row r="16" spans="1:28" ht="35.25" customHeight="1" thickBot="1">
      <c r="A16" s="672"/>
      <c r="B16" s="673"/>
      <c r="C16" s="751"/>
      <c r="D16" s="82"/>
      <c r="E16" s="82"/>
      <c r="F16" s="82"/>
      <c r="G16" s="82"/>
      <c r="H16" s="82"/>
      <c r="I16" s="82"/>
      <c r="J16" s="83"/>
      <c r="K16" s="83"/>
      <c r="L16" s="83"/>
      <c r="M16" s="62"/>
      <c r="N16" s="62"/>
      <c r="O16" s="62"/>
      <c r="P16" s="62"/>
      <c r="Q16" s="724" t="s">
        <v>2</v>
      </c>
      <c r="R16" s="709"/>
      <c r="S16" s="709"/>
      <c r="T16" s="709"/>
      <c r="U16" s="709"/>
      <c r="V16" s="725"/>
      <c r="W16" s="708" t="s">
        <v>3</v>
      </c>
      <c r="X16" s="709"/>
      <c r="Y16" s="709"/>
      <c r="Z16" s="709"/>
      <c r="AA16" s="709"/>
      <c r="AB16" s="710"/>
    </row>
    <row r="17" spans="1:30" ht="27" customHeight="1">
      <c r="A17" s="85"/>
      <c r="B17" s="62"/>
      <c r="C17" s="62"/>
      <c r="D17" s="82"/>
      <c r="E17" s="82"/>
      <c r="F17" s="82"/>
      <c r="G17" s="82"/>
      <c r="H17" s="82"/>
      <c r="I17" s="82"/>
      <c r="J17" s="82"/>
      <c r="K17" s="82"/>
      <c r="L17" s="82"/>
      <c r="M17" s="62"/>
      <c r="N17" s="62"/>
      <c r="O17" s="62"/>
      <c r="P17" s="62"/>
      <c r="Q17" s="770" t="s">
        <v>4</v>
      </c>
      <c r="R17" s="771"/>
      <c r="S17" s="767"/>
      <c r="T17" s="721" t="s">
        <v>188</v>
      </c>
      <c r="U17" s="722"/>
      <c r="V17" s="723"/>
      <c r="W17" s="766" t="s">
        <v>4</v>
      </c>
      <c r="X17" s="767"/>
      <c r="Y17" s="766" t="s">
        <v>5</v>
      </c>
      <c r="Z17" s="767"/>
      <c r="AA17" s="721" t="s">
        <v>89</v>
      </c>
      <c r="AB17" s="768"/>
      <c r="AC17" s="86"/>
      <c r="AD17" s="86"/>
    </row>
    <row r="18" spans="1:30" ht="27" customHeight="1">
      <c r="A18" s="85"/>
      <c r="B18" s="62"/>
      <c r="C18" s="62"/>
      <c r="D18" s="82"/>
      <c r="E18" s="82"/>
      <c r="F18" s="82"/>
      <c r="G18" s="82"/>
      <c r="H18" s="82"/>
      <c r="I18" s="82"/>
      <c r="J18" s="82"/>
      <c r="K18" s="82"/>
      <c r="L18" s="82"/>
      <c r="M18" s="62"/>
      <c r="N18" s="62"/>
      <c r="O18" s="62"/>
      <c r="P18" s="62"/>
      <c r="Q18" s="179"/>
      <c r="R18" s="180"/>
      <c r="S18" s="181"/>
      <c r="T18" s="721"/>
      <c r="U18" s="722"/>
      <c r="V18" s="723"/>
      <c r="W18" s="157"/>
      <c r="X18" s="158"/>
      <c r="Y18" s="157"/>
      <c r="Z18" s="158"/>
      <c r="AA18" s="159"/>
      <c r="AB18" s="160"/>
      <c r="AC18" s="86"/>
      <c r="AD18" s="86"/>
    </row>
    <row r="19" spans="1:30" ht="18" customHeight="1" thickBot="1">
      <c r="A19" s="61"/>
      <c r="B19" s="56"/>
      <c r="C19" s="82"/>
      <c r="D19" s="82"/>
      <c r="E19" s="82"/>
      <c r="F19" s="82"/>
      <c r="G19" s="87"/>
      <c r="H19" s="87"/>
      <c r="I19" s="87"/>
      <c r="J19" s="87"/>
      <c r="K19" s="87"/>
      <c r="L19" s="87"/>
      <c r="M19" s="82"/>
      <c r="N19" s="82"/>
      <c r="O19" s="82"/>
      <c r="P19" s="82"/>
      <c r="Q19" s="769"/>
      <c r="R19" s="742"/>
      <c r="S19" s="743"/>
      <c r="T19" s="741"/>
      <c r="U19" s="742"/>
      <c r="V19" s="743"/>
      <c r="W19" s="748"/>
      <c r="X19" s="749"/>
      <c r="Y19" s="764"/>
      <c r="Z19" s="765"/>
      <c r="AA19" s="772"/>
      <c r="AB19" s="773"/>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625" t="s">
        <v>76</v>
      </c>
      <c r="B21" s="626"/>
      <c r="C21" s="627"/>
      <c r="D21" s="627"/>
      <c r="E21" s="627"/>
      <c r="F21" s="627"/>
      <c r="G21" s="627"/>
      <c r="H21" s="627"/>
      <c r="I21" s="627"/>
      <c r="J21" s="627"/>
      <c r="K21" s="627"/>
      <c r="L21" s="627"/>
      <c r="M21" s="627"/>
      <c r="N21" s="627"/>
      <c r="O21" s="627"/>
      <c r="P21" s="627"/>
      <c r="Q21" s="627"/>
      <c r="R21" s="627"/>
      <c r="S21" s="627"/>
      <c r="T21" s="627"/>
      <c r="U21" s="627"/>
      <c r="V21" s="627"/>
      <c r="W21" s="627"/>
      <c r="X21" s="627"/>
      <c r="Y21" s="627"/>
      <c r="Z21" s="627"/>
      <c r="AA21" s="627"/>
      <c r="AB21" s="628"/>
    </row>
    <row r="22" spans="1:28" ht="15" customHeight="1">
      <c r="A22" s="603" t="s">
        <v>189</v>
      </c>
      <c r="B22" s="605" t="s">
        <v>6</v>
      </c>
      <c r="C22" s="606"/>
      <c r="D22" s="566" t="s">
        <v>7</v>
      </c>
      <c r="E22" s="567"/>
      <c r="F22" s="567"/>
      <c r="G22" s="567"/>
      <c r="H22" s="567"/>
      <c r="I22" s="567"/>
      <c r="J22" s="567"/>
      <c r="K22" s="567"/>
      <c r="L22" s="567"/>
      <c r="M22" s="567"/>
      <c r="N22" s="567"/>
      <c r="O22" s="607"/>
      <c r="P22" s="589" t="s">
        <v>8</v>
      </c>
      <c r="Q22" s="589" t="s">
        <v>84</v>
      </c>
      <c r="R22" s="589"/>
      <c r="S22" s="589"/>
      <c r="T22" s="589"/>
      <c r="U22" s="589"/>
      <c r="V22" s="589"/>
      <c r="W22" s="589"/>
      <c r="X22" s="589"/>
      <c r="Y22" s="589"/>
      <c r="Z22" s="589"/>
      <c r="AA22" s="589"/>
      <c r="AB22" s="598"/>
    </row>
    <row r="23" spans="1:28" ht="27" customHeight="1">
      <c r="A23" s="604"/>
      <c r="B23" s="599"/>
      <c r="C23" s="601"/>
      <c r="D23" s="156" t="s">
        <v>39</v>
      </c>
      <c r="E23" s="156" t="s">
        <v>40</v>
      </c>
      <c r="F23" s="156" t="s">
        <v>41</v>
      </c>
      <c r="G23" s="156" t="s">
        <v>42</v>
      </c>
      <c r="H23" s="156" t="s">
        <v>43</v>
      </c>
      <c r="I23" s="156" t="s">
        <v>44</v>
      </c>
      <c r="J23" s="156" t="s">
        <v>45</v>
      </c>
      <c r="K23" s="156" t="s">
        <v>46</v>
      </c>
      <c r="L23" s="156" t="s">
        <v>47</v>
      </c>
      <c r="M23" s="156" t="s">
        <v>48</v>
      </c>
      <c r="N23" s="156" t="s">
        <v>49</v>
      </c>
      <c r="O23" s="156" t="s">
        <v>50</v>
      </c>
      <c r="P23" s="607"/>
      <c r="Q23" s="589"/>
      <c r="R23" s="589"/>
      <c r="S23" s="589"/>
      <c r="T23" s="589"/>
      <c r="U23" s="589"/>
      <c r="V23" s="589"/>
      <c r="W23" s="589"/>
      <c r="X23" s="589"/>
      <c r="Y23" s="589"/>
      <c r="Z23" s="589"/>
      <c r="AA23" s="589"/>
      <c r="AB23" s="598"/>
    </row>
    <row r="24" spans="1:28" ht="42" customHeight="1" thickBot="1">
      <c r="A24" s="88"/>
      <c r="B24" s="590"/>
      <c r="C24" s="591"/>
      <c r="D24" s="92"/>
      <c r="E24" s="92"/>
      <c r="F24" s="92"/>
      <c r="G24" s="92"/>
      <c r="H24" s="92"/>
      <c r="I24" s="92"/>
      <c r="J24" s="92"/>
      <c r="K24" s="92"/>
      <c r="L24" s="92"/>
      <c r="M24" s="92"/>
      <c r="N24" s="92"/>
      <c r="O24" s="92"/>
      <c r="P24" s="89">
        <f>SUM(D24:O24)</f>
        <v>0</v>
      </c>
      <c r="Q24" s="592" t="s">
        <v>296</v>
      </c>
      <c r="R24" s="592"/>
      <c r="S24" s="592"/>
      <c r="T24" s="592"/>
      <c r="U24" s="592"/>
      <c r="V24" s="592"/>
      <c r="W24" s="592"/>
      <c r="X24" s="592"/>
      <c r="Y24" s="592"/>
      <c r="Z24" s="592"/>
      <c r="AA24" s="592"/>
      <c r="AB24" s="593"/>
    </row>
    <row r="25" spans="1:28" ht="21.75" customHeight="1">
      <c r="A25" s="594" t="s">
        <v>292</v>
      </c>
      <c r="B25" s="595"/>
      <c r="C25" s="595"/>
      <c r="D25" s="595"/>
      <c r="E25" s="595"/>
      <c r="F25" s="595"/>
      <c r="G25" s="595"/>
      <c r="H25" s="595"/>
      <c r="I25" s="595"/>
      <c r="J25" s="595"/>
      <c r="K25" s="595"/>
      <c r="L25" s="595"/>
      <c r="M25" s="595"/>
      <c r="N25" s="595"/>
      <c r="O25" s="595"/>
      <c r="P25" s="595"/>
      <c r="Q25" s="595"/>
      <c r="R25" s="595"/>
      <c r="S25" s="595"/>
      <c r="T25" s="595"/>
      <c r="U25" s="595"/>
      <c r="V25" s="595"/>
      <c r="W25" s="595"/>
      <c r="X25" s="595"/>
      <c r="Y25" s="595"/>
      <c r="Z25" s="595"/>
      <c r="AA25" s="595"/>
      <c r="AB25" s="596"/>
    </row>
    <row r="26" spans="1:39" ht="22.5" customHeight="1">
      <c r="A26" s="559" t="s">
        <v>190</v>
      </c>
      <c r="B26" s="589" t="s">
        <v>62</v>
      </c>
      <c r="C26" s="589" t="s">
        <v>6</v>
      </c>
      <c r="D26" s="589" t="s">
        <v>60</v>
      </c>
      <c r="E26" s="589"/>
      <c r="F26" s="589"/>
      <c r="G26" s="589"/>
      <c r="H26" s="589"/>
      <c r="I26" s="589"/>
      <c r="J26" s="589"/>
      <c r="K26" s="589"/>
      <c r="L26" s="589"/>
      <c r="M26" s="589"/>
      <c r="N26" s="589"/>
      <c r="O26" s="589"/>
      <c r="P26" s="589"/>
      <c r="Q26" s="589" t="s">
        <v>85</v>
      </c>
      <c r="R26" s="589"/>
      <c r="S26" s="589"/>
      <c r="T26" s="589"/>
      <c r="U26" s="589"/>
      <c r="V26" s="589"/>
      <c r="W26" s="589"/>
      <c r="X26" s="589"/>
      <c r="Y26" s="589"/>
      <c r="Z26" s="589"/>
      <c r="AA26" s="589"/>
      <c r="AB26" s="598"/>
      <c r="AE26" s="90"/>
      <c r="AF26" s="90"/>
      <c r="AG26" s="90"/>
      <c r="AH26" s="90"/>
      <c r="AI26" s="90"/>
      <c r="AJ26" s="90"/>
      <c r="AK26" s="90"/>
      <c r="AL26" s="90"/>
      <c r="AM26" s="90"/>
    </row>
    <row r="27" spans="1:39" ht="22.5" customHeight="1">
      <c r="A27" s="559"/>
      <c r="B27" s="589"/>
      <c r="C27" s="597"/>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599" t="s">
        <v>80</v>
      </c>
      <c r="R27" s="600"/>
      <c r="S27" s="600"/>
      <c r="T27" s="601"/>
      <c r="U27" s="599" t="s">
        <v>81</v>
      </c>
      <c r="V27" s="600"/>
      <c r="W27" s="600"/>
      <c r="X27" s="601"/>
      <c r="Y27" s="599" t="s">
        <v>82</v>
      </c>
      <c r="Z27" s="600"/>
      <c r="AA27" s="600"/>
      <c r="AB27" s="602"/>
      <c r="AE27" s="90"/>
      <c r="AF27" s="90"/>
      <c r="AG27" s="90"/>
      <c r="AH27" s="90"/>
      <c r="AI27" s="90"/>
      <c r="AJ27" s="90"/>
      <c r="AK27" s="90"/>
      <c r="AL27" s="90"/>
      <c r="AM27" s="90"/>
    </row>
    <row r="28" spans="1:39" ht="33" customHeight="1">
      <c r="A28" s="577"/>
      <c r="B28" s="579"/>
      <c r="C28" s="93" t="s">
        <v>9</v>
      </c>
      <c r="D28" s="92"/>
      <c r="E28" s="92"/>
      <c r="F28" s="92"/>
      <c r="G28" s="92"/>
      <c r="H28" s="92"/>
      <c r="I28" s="92"/>
      <c r="J28" s="92"/>
      <c r="K28" s="92"/>
      <c r="L28" s="92"/>
      <c r="M28" s="92"/>
      <c r="N28" s="92"/>
      <c r="O28" s="92"/>
      <c r="P28" s="177">
        <f>SUM(D28:O28)</f>
        <v>0</v>
      </c>
      <c r="Q28" s="581" t="s">
        <v>192</v>
      </c>
      <c r="R28" s="582"/>
      <c r="S28" s="582"/>
      <c r="T28" s="583"/>
      <c r="U28" s="581" t="s">
        <v>193</v>
      </c>
      <c r="V28" s="582"/>
      <c r="W28" s="582"/>
      <c r="X28" s="583"/>
      <c r="Y28" s="581" t="s">
        <v>194</v>
      </c>
      <c r="Z28" s="582"/>
      <c r="AA28" s="582"/>
      <c r="AB28" s="587"/>
      <c r="AE28" s="90"/>
      <c r="AF28" s="90"/>
      <c r="AG28" s="90"/>
      <c r="AH28" s="90"/>
      <c r="AI28" s="90"/>
      <c r="AJ28" s="90"/>
      <c r="AK28" s="90"/>
      <c r="AL28" s="90"/>
      <c r="AM28" s="90"/>
    </row>
    <row r="29" spans="1:39" ht="33.75" customHeight="1" thickBot="1">
      <c r="A29" s="578"/>
      <c r="B29" s="580"/>
      <c r="C29" s="94" t="s">
        <v>10</v>
      </c>
      <c r="D29" s="95"/>
      <c r="E29" s="95"/>
      <c r="F29" s="95"/>
      <c r="G29" s="96"/>
      <c r="H29" s="96"/>
      <c r="I29" s="96"/>
      <c r="J29" s="96"/>
      <c r="K29" s="96"/>
      <c r="L29" s="96"/>
      <c r="M29" s="96"/>
      <c r="N29" s="96"/>
      <c r="O29" s="96"/>
      <c r="P29" s="178">
        <f>SUM(D29:O29)</f>
        <v>0</v>
      </c>
      <c r="Q29" s="584"/>
      <c r="R29" s="585"/>
      <c r="S29" s="585"/>
      <c r="T29" s="586"/>
      <c r="U29" s="584"/>
      <c r="V29" s="585"/>
      <c r="W29" s="585"/>
      <c r="X29" s="586"/>
      <c r="Y29" s="584"/>
      <c r="Z29" s="585"/>
      <c r="AA29" s="585"/>
      <c r="AB29" s="588"/>
      <c r="AC29" s="50"/>
      <c r="AD29" s="97"/>
      <c r="AE29" s="90"/>
      <c r="AF29" s="90"/>
      <c r="AG29" s="90"/>
      <c r="AH29" s="90"/>
      <c r="AI29" s="90"/>
      <c r="AJ29" s="90"/>
      <c r="AK29" s="90"/>
      <c r="AL29" s="90"/>
      <c r="AM29" s="90"/>
    </row>
    <row r="30" spans="1:39" ht="25.5" customHeight="1">
      <c r="A30" s="558" t="s">
        <v>191</v>
      </c>
      <c r="B30" s="560" t="s">
        <v>61</v>
      </c>
      <c r="C30" s="562" t="s">
        <v>11</v>
      </c>
      <c r="D30" s="562"/>
      <c r="E30" s="562"/>
      <c r="F30" s="562"/>
      <c r="G30" s="562"/>
      <c r="H30" s="562"/>
      <c r="I30" s="562"/>
      <c r="J30" s="562"/>
      <c r="K30" s="562"/>
      <c r="L30" s="562"/>
      <c r="M30" s="562"/>
      <c r="N30" s="562"/>
      <c r="O30" s="562"/>
      <c r="P30" s="562"/>
      <c r="Q30" s="563" t="s">
        <v>78</v>
      </c>
      <c r="R30" s="564"/>
      <c r="S30" s="564"/>
      <c r="T30" s="564"/>
      <c r="U30" s="564"/>
      <c r="V30" s="564"/>
      <c r="W30" s="564"/>
      <c r="X30" s="564"/>
      <c r="Y30" s="564"/>
      <c r="Z30" s="564"/>
      <c r="AA30" s="564"/>
      <c r="AB30" s="565"/>
      <c r="AE30" s="90"/>
      <c r="AF30" s="90"/>
      <c r="AG30" s="90"/>
      <c r="AH30" s="90"/>
      <c r="AI30" s="90"/>
      <c r="AJ30" s="90"/>
      <c r="AK30" s="90"/>
      <c r="AL30" s="90"/>
      <c r="AM30" s="90"/>
    </row>
    <row r="31" spans="1:39" ht="25.5" customHeight="1">
      <c r="A31" s="559"/>
      <c r="B31" s="561"/>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566" t="s">
        <v>83</v>
      </c>
      <c r="R31" s="567"/>
      <c r="S31" s="567"/>
      <c r="T31" s="567"/>
      <c r="U31" s="567"/>
      <c r="V31" s="567"/>
      <c r="W31" s="567"/>
      <c r="X31" s="567"/>
      <c r="Y31" s="567"/>
      <c r="Z31" s="567"/>
      <c r="AA31" s="567"/>
      <c r="AB31" s="568"/>
      <c r="AE31" s="98"/>
      <c r="AF31" s="98"/>
      <c r="AG31" s="98"/>
      <c r="AH31" s="98"/>
      <c r="AI31" s="98"/>
      <c r="AJ31" s="98"/>
      <c r="AK31" s="98"/>
      <c r="AL31" s="98"/>
      <c r="AM31" s="98"/>
    </row>
    <row r="32" spans="1:39" ht="28.5" customHeight="1">
      <c r="A32" s="569"/>
      <c r="B32" s="570"/>
      <c r="C32" s="93" t="s">
        <v>9</v>
      </c>
      <c r="D32" s="99"/>
      <c r="E32" s="99"/>
      <c r="F32" s="99"/>
      <c r="G32" s="99"/>
      <c r="H32" s="99"/>
      <c r="I32" s="99"/>
      <c r="J32" s="99"/>
      <c r="K32" s="99"/>
      <c r="L32" s="99"/>
      <c r="M32" s="99"/>
      <c r="N32" s="99"/>
      <c r="O32" s="99"/>
      <c r="P32" s="100">
        <f aca="true" t="shared" si="0" ref="P32:P39">SUM(D32:O32)</f>
        <v>0</v>
      </c>
      <c r="Q32" s="571" t="s">
        <v>286</v>
      </c>
      <c r="R32" s="572"/>
      <c r="S32" s="572"/>
      <c r="T32" s="572"/>
      <c r="U32" s="572"/>
      <c r="V32" s="572"/>
      <c r="W32" s="572"/>
      <c r="X32" s="572"/>
      <c r="Y32" s="572"/>
      <c r="Z32" s="572"/>
      <c r="AA32" s="572"/>
      <c r="AB32" s="573"/>
      <c r="AC32" s="101"/>
      <c r="AE32" s="102"/>
      <c r="AF32" s="102"/>
      <c r="AG32" s="102"/>
      <c r="AH32" s="102"/>
      <c r="AI32" s="102"/>
      <c r="AJ32" s="102"/>
      <c r="AK32" s="102"/>
      <c r="AL32" s="102"/>
      <c r="AM32" s="102"/>
    </row>
    <row r="33" spans="1:29" ht="28.5" customHeight="1">
      <c r="A33" s="551"/>
      <c r="B33" s="552"/>
      <c r="C33" s="103" t="s">
        <v>10</v>
      </c>
      <c r="D33" s="104"/>
      <c r="E33" s="104"/>
      <c r="F33" s="104"/>
      <c r="G33" s="104"/>
      <c r="H33" s="104"/>
      <c r="I33" s="104"/>
      <c r="J33" s="104"/>
      <c r="K33" s="104"/>
      <c r="L33" s="104"/>
      <c r="M33" s="104"/>
      <c r="N33" s="104"/>
      <c r="O33" s="104"/>
      <c r="P33" s="105">
        <f t="shared" si="0"/>
        <v>0</v>
      </c>
      <c r="Q33" s="574"/>
      <c r="R33" s="575"/>
      <c r="S33" s="575"/>
      <c r="T33" s="575"/>
      <c r="U33" s="575"/>
      <c r="V33" s="575"/>
      <c r="W33" s="575"/>
      <c r="X33" s="575"/>
      <c r="Y33" s="575"/>
      <c r="Z33" s="575"/>
      <c r="AA33" s="575"/>
      <c r="AB33" s="576"/>
      <c r="AC33" s="101"/>
    </row>
    <row r="34" spans="1:29" ht="28.5" customHeight="1">
      <c r="A34" s="551"/>
      <c r="B34" s="543"/>
      <c r="C34" s="106" t="s">
        <v>9</v>
      </c>
      <c r="D34" s="107"/>
      <c r="E34" s="107"/>
      <c r="F34" s="107"/>
      <c r="G34" s="107"/>
      <c r="H34" s="107"/>
      <c r="I34" s="107"/>
      <c r="J34" s="107"/>
      <c r="K34" s="107"/>
      <c r="L34" s="107"/>
      <c r="M34" s="107"/>
      <c r="N34" s="107"/>
      <c r="O34" s="107"/>
      <c r="P34" s="105">
        <f t="shared" si="0"/>
        <v>0</v>
      </c>
      <c r="Q34" s="545"/>
      <c r="R34" s="546"/>
      <c r="S34" s="546"/>
      <c r="T34" s="546"/>
      <c r="U34" s="546"/>
      <c r="V34" s="546"/>
      <c r="W34" s="546"/>
      <c r="X34" s="546"/>
      <c r="Y34" s="546"/>
      <c r="Z34" s="546"/>
      <c r="AA34" s="546"/>
      <c r="AB34" s="547"/>
      <c r="AC34" s="101"/>
    </row>
    <row r="35" spans="1:29" ht="28.5" customHeight="1">
      <c r="A35" s="551"/>
      <c r="B35" s="552"/>
      <c r="C35" s="103" t="s">
        <v>10</v>
      </c>
      <c r="D35" s="104"/>
      <c r="E35" s="104"/>
      <c r="F35" s="104"/>
      <c r="G35" s="104"/>
      <c r="H35" s="104"/>
      <c r="I35" s="104"/>
      <c r="J35" s="104"/>
      <c r="K35" s="104"/>
      <c r="L35" s="108"/>
      <c r="M35" s="108"/>
      <c r="N35" s="108"/>
      <c r="O35" s="108"/>
      <c r="P35" s="105">
        <f t="shared" si="0"/>
        <v>0</v>
      </c>
      <c r="Q35" s="553"/>
      <c r="R35" s="554"/>
      <c r="S35" s="554"/>
      <c r="T35" s="554"/>
      <c r="U35" s="554"/>
      <c r="V35" s="554"/>
      <c r="W35" s="554"/>
      <c r="X35" s="554"/>
      <c r="Y35" s="554"/>
      <c r="Z35" s="554"/>
      <c r="AA35" s="554"/>
      <c r="AB35" s="555"/>
      <c r="AC35" s="101"/>
    </row>
    <row r="36" spans="1:29" ht="28.5" customHeight="1">
      <c r="A36" s="556"/>
      <c r="B36" s="543"/>
      <c r="C36" s="106" t="s">
        <v>9</v>
      </c>
      <c r="D36" s="107"/>
      <c r="E36" s="107"/>
      <c r="F36" s="107"/>
      <c r="G36" s="107"/>
      <c r="H36" s="107"/>
      <c r="I36" s="107"/>
      <c r="J36" s="107"/>
      <c r="K36" s="107"/>
      <c r="L36" s="107"/>
      <c r="M36" s="107"/>
      <c r="N36" s="107"/>
      <c r="O36" s="107"/>
      <c r="P36" s="105">
        <f t="shared" si="0"/>
        <v>0</v>
      </c>
      <c r="Q36" s="545"/>
      <c r="R36" s="546"/>
      <c r="S36" s="546"/>
      <c r="T36" s="546"/>
      <c r="U36" s="546"/>
      <c r="V36" s="546"/>
      <c r="W36" s="546"/>
      <c r="X36" s="546"/>
      <c r="Y36" s="546"/>
      <c r="Z36" s="546"/>
      <c r="AA36" s="546"/>
      <c r="AB36" s="547"/>
      <c r="AC36" s="101"/>
    </row>
    <row r="37" spans="1:29" ht="28.5" customHeight="1">
      <c r="A37" s="557"/>
      <c r="B37" s="552"/>
      <c r="C37" s="103" t="s">
        <v>10</v>
      </c>
      <c r="D37" s="104"/>
      <c r="E37" s="104"/>
      <c r="F37" s="104"/>
      <c r="G37" s="109"/>
      <c r="H37" s="104"/>
      <c r="I37" s="104"/>
      <c r="J37" s="104"/>
      <c r="K37" s="104"/>
      <c r="L37" s="108"/>
      <c r="M37" s="108"/>
      <c r="N37" s="108"/>
      <c r="O37" s="108"/>
      <c r="P37" s="105">
        <f t="shared" si="0"/>
        <v>0</v>
      </c>
      <c r="Q37" s="553"/>
      <c r="R37" s="554"/>
      <c r="S37" s="554"/>
      <c r="T37" s="554"/>
      <c r="U37" s="554"/>
      <c r="V37" s="554"/>
      <c r="W37" s="554"/>
      <c r="X37" s="554"/>
      <c r="Y37" s="554"/>
      <c r="Z37" s="554"/>
      <c r="AA37" s="554"/>
      <c r="AB37" s="555"/>
      <c r="AC37" s="101"/>
    </row>
    <row r="38" spans="1:29" ht="28.5" customHeight="1">
      <c r="A38" s="541"/>
      <c r="B38" s="543"/>
      <c r="C38" s="106" t="s">
        <v>9</v>
      </c>
      <c r="D38" s="107"/>
      <c r="E38" s="107"/>
      <c r="F38" s="107"/>
      <c r="G38" s="107"/>
      <c r="H38" s="107"/>
      <c r="I38" s="107"/>
      <c r="J38" s="107"/>
      <c r="K38" s="107"/>
      <c r="L38" s="107"/>
      <c r="M38" s="107"/>
      <c r="N38" s="107"/>
      <c r="O38" s="107"/>
      <c r="P38" s="105">
        <f t="shared" si="0"/>
        <v>0</v>
      </c>
      <c r="Q38" s="545"/>
      <c r="R38" s="546"/>
      <c r="S38" s="546"/>
      <c r="T38" s="546"/>
      <c r="U38" s="546"/>
      <c r="V38" s="546"/>
      <c r="W38" s="546"/>
      <c r="X38" s="546"/>
      <c r="Y38" s="546"/>
      <c r="Z38" s="546"/>
      <c r="AA38" s="546"/>
      <c r="AB38" s="547"/>
      <c r="AC38" s="101"/>
    </row>
    <row r="39" spans="1:29" ht="28.5" customHeight="1" thickBot="1">
      <c r="A39" s="542"/>
      <c r="B39" s="544"/>
      <c r="C39" s="94" t="s">
        <v>10</v>
      </c>
      <c r="D39" s="110"/>
      <c r="E39" s="110"/>
      <c r="F39" s="110"/>
      <c r="G39" s="110"/>
      <c r="H39" s="110"/>
      <c r="I39" s="110"/>
      <c r="J39" s="110"/>
      <c r="K39" s="110"/>
      <c r="L39" s="111"/>
      <c r="M39" s="111"/>
      <c r="N39" s="111"/>
      <c r="O39" s="111"/>
      <c r="P39" s="112">
        <f t="shared" si="0"/>
        <v>0</v>
      </c>
      <c r="Q39" s="548"/>
      <c r="R39" s="549"/>
      <c r="S39" s="549"/>
      <c r="T39" s="549"/>
      <c r="U39" s="549"/>
      <c r="V39" s="549"/>
      <c r="W39" s="549"/>
      <c r="X39" s="549"/>
      <c r="Y39" s="549"/>
      <c r="Z39" s="549"/>
      <c r="AA39" s="549"/>
      <c r="AB39" s="550"/>
      <c r="AC39" s="101"/>
    </row>
    <row r="40" ht="15">
      <c r="A40" s="52" t="s">
        <v>294</v>
      </c>
    </row>
  </sheetData>
  <sheetProtection/>
  <mergeCells count="86">
    <mergeCell ref="A36:A37"/>
    <mergeCell ref="B32:B33"/>
    <mergeCell ref="B30:B31"/>
    <mergeCell ref="B34:B35"/>
    <mergeCell ref="B36:B37"/>
    <mergeCell ref="A32:A33"/>
    <mergeCell ref="A30:A31"/>
    <mergeCell ref="A34:A35"/>
    <mergeCell ref="B24:C24"/>
    <mergeCell ref="A26:A27"/>
    <mergeCell ref="C26:C27"/>
    <mergeCell ref="A22:A23"/>
    <mergeCell ref="A28:A29"/>
    <mergeCell ref="A25:AB25"/>
    <mergeCell ref="D26:P26"/>
    <mergeCell ref="Q24:AB24"/>
    <mergeCell ref="B26:B27"/>
    <mergeCell ref="Q28:T29"/>
    <mergeCell ref="T17:V17"/>
    <mergeCell ref="Y19:Z19"/>
    <mergeCell ref="Y17:Z17"/>
    <mergeCell ref="AA17:AB17"/>
    <mergeCell ref="W17:X17"/>
    <mergeCell ref="Q19:S19"/>
    <mergeCell ref="Q17:S17"/>
    <mergeCell ref="AA19:AB19"/>
    <mergeCell ref="A1:A4"/>
    <mergeCell ref="Z2:AB2"/>
    <mergeCell ref="Z4:AB4"/>
    <mergeCell ref="R7:T9"/>
    <mergeCell ref="A15:B16"/>
    <mergeCell ref="A7:B9"/>
    <mergeCell ref="R11:V11"/>
    <mergeCell ref="AA7:AB7"/>
    <mergeCell ref="Y9:Z9"/>
    <mergeCell ref="Z3:AB3"/>
    <mergeCell ref="A38:A39"/>
    <mergeCell ref="V13:Y13"/>
    <mergeCell ref="Q15:AB15"/>
    <mergeCell ref="AA13:AB13"/>
    <mergeCell ref="W19:X19"/>
    <mergeCell ref="Y27:AB27"/>
    <mergeCell ref="Q31:AB31"/>
    <mergeCell ref="Q32:AB33"/>
    <mergeCell ref="Q30:AB30"/>
    <mergeCell ref="C15:C16"/>
    <mergeCell ref="B3:Y4"/>
    <mergeCell ref="B38:B39"/>
    <mergeCell ref="C13:Q13"/>
    <mergeCell ref="Q22:AB23"/>
    <mergeCell ref="C7:K9"/>
    <mergeCell ref="Q38:AB39"/>
    <mergeCell ref="U27:X27"/>
    <mergeCell ref="Q36:AB37"/>
    <mergeCell ref="T19:V19"/>
    <mergeCell ref="A11:B11"/>
    <mergeCell ref="Z1:AB1"/>
    <mergeCell ref="AA8:AB8"/>
    <mergeCell ref="AA9:AB9"/>
    <mergeCell ref="W11:X11"/>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20.xml><?xml version="1.0" encoding="utf-8"?>
<worksheet xmlns="http://schemas.openxmlformats.org/spreadsheetml/2006/main" xmlns:r="http://schemas.openxmlformats.org/officeDocument/2006/relationships">
  <sheetPr>
    <tabColor rgb="FF00B0F0"/>
    <pageSetUpPr fitToPage="1"/>
  </sheetPr>
  <dimension ref="A1:AY26"/>
  <sheetViews>
    <sheetView view="pageBreakPreview" zoomScale="60" zoomScaleNormal="70" zoomScalePageLayoutView="0" workbookViewId="0" topLeftCell="AF14">
      <selection activeCell="AQ13" sqref="AQ13:AQ16"/>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7" width="17.57421875" style="113" customWidth="1"/>
    <col min="8" max="8" width="14.7109375" style="113" customWidth="1"/>
    <col min="9" max="9" width="39.7109375" style="113" customWidth="1"/>
    <col min="10" max="10" width="32.421875" style="113" customWidth="1"/>
    <col min="11" max="11" width="16.8515625" style="113" customWidth="1"/>
    <col min="12" max="13" width="15.28125" style="113" customWidth="1"/>
    <col min="14" max="14" width="47.57421875" style="113" customWidth="1"/>
    <col min="15" max="19" width="8.7109375" style="113" customWidth="1"/>
    <col min="20" max="20" width="22.28125" style="113" customWidth="1"/>
    <col min="21" max="21" width="35.57421875" style="113" customWidth="1"/>
    <col min="22" max="45" width="8.8515625" style="113" customWidth="1"/>
    <col min="46" max="46" width="17.140625" style="113" customWidth="1"/>
    <col min="47" max="47" width="15.8515625" style="217" customWidth="1"/>
    <col min="48" max="48" width="105.7109375" style="113" customWidth="1"/>
    <col min="49" max="49" width="163.57421875" style="113" customWidth="1"/>
    <col min="50" max="51" width="24.421875" style="113" customWidth="1"/>
    <col min="52" max="16384" width="10.8515625" style="113" customWidth="1"/>
  </cols>
  <sheetData>
    <row r="1" spans="1:51" ht="15.75" customHeight="1">
      <c r="A1" s="1152" t="s">
        <v>16</v>
      </c>
      <c r="B1" s="1153"/>
      <c r="C1" s="1153"/>
      <c r="D1" s="1153"/>
      <c r="E1" s="1153"/>
      <c r="F1" s="1153"/>
      <c r="G1" s="1153"/>
      <c r="H1" s="1153"/>
      <c r="I1" s="1153"/>
      <c r="J1" s="1153"/>
      <c r="K1" s="1153"/>
      <c r="L1" s="1153"/>
      <c r="M1" s="1153"/>
      <c r="N1" s="1153"/>
      <c r="O1" s="1153"/>
      <c r="P1" s="1153"/>
      <c r="Q1" s="1153"/>
      <c r="R1" s="1153"/>
      <c r="S1" s="1153"/>
      <c r="T1" s="1153"/>
      <c r="U1" s="1153"/>
      <c r="V1" s="1153"/>
      <c r="W1" s="1153"/>
      <c r="X1" s="1153"/>
      <c r="Y1" s="1153"/>
      <c r="Z1" s="1153"/>
      <c r="AA1" s="1153"/>
      <c r="AB1" s="1153"/>
      <c r="AC1" s="1153"/>
      <c r="AD1" s="1153"/>
      <c r="AE1" s="1153"/>
      <c r="AF1" s="1153"/>
      <c r="AG1" s="1153"/>
      <c r="AH1" s="1153"/>
      <c r="AI1" s="1153"/>
      <c r="AJ1" s="1153"/>
      <c r="AK1" s="1153"/>
      <c r="AL1" s="1153"/>
      <c r="AM1" s="1153"/>
      <c r="AN1" s="1153"/>
      <c r="AO1" s="1153"/>
      <c r="AP1" s="1153"/>
      <c r="AQ1" s="1153"/>
      <c r="AR1" s="1153"/>
      <c r="AS1" s="1153"/>
      <c r="AT1" s="1153"/>
      <c r="AU1" s="1153"/>
      <c r="AV1" s="1153"/>
      <c r="AW1" s="1154"/>
      <c r="AX1" s="1151" t="s">
        <v>423</v>
      </c>
      <c r="AY1" s="1172"/>
    </row>
    <row r="2" spans="1:51" ht="15.75" customHeight="1">
      <c r="A2" s="1152" t="s">
        <v>17</v>
      </c>
      <c r="B2" s="1153"/>
      <c r="C2" s="1153"/>
      <c r="D2" s="1153"/>
      <c r="E2" s="1153"/>
      <c r="F2" s="1153"/>
      <c r="G2" s="1153"/>
      <c r="H2" s="1153"/>
      <c r="I2" s="1153"/>
      <c r="J2" s="1153"/>
      <c r="K2" s="1153"/>
      <c r="L2" s="1153"/>
      <c r="M2" s="1153"/>
      <c r="N2" s="1153"/>
      <c r="O2" s="1153"/>
      <c r="P2" s="1153"/>
      <c r="Q2" s="1153"/>
      <c r="R2" s="1153"/>
      <c r="S2" s="1153"/>
      <c r="T2" s="1153"/>
      <c r="U2" s="1153"/>
      <c r="V2" s="1153"/>
      <c r="W2" s="1153"/>
      <c r="X2" s="1153"/>
      <c r="Y2" s="1153"/>
      <c r="Z2" s="1153"/>
      <c r="AA2" s="1153"/>
      <c r="AB2" s="1153"/>
      <c r="AC2" s="1153"/>
      <c r="AD2" s="1153"/>
      <c r="AE2" s="1153"/>
      <c r="AF2" s="1153"/>
      <c r="AG2" s="1153"/>
      <c r="AH2" s="1153"/>
      <c r="AI2" s="1153"/>
      <c r="AJ2" s="1153"/>
      <c r="AK2" s="1153"/>
      <c r="AL2" s="1153"/>
      <c r="AM2" s="1153"/>
      <c r="AN2" s="1153"/>
      <c r="AO2" s="1153"/>
      <c r="AP2" s="1153"/>
      <c r="AQ2" s="1153"/>
      <c r="AR2" s="1153"/>
      <c r="AS2" s="1153"/>
      <c r="AT2" s="1153"/>
      <c r="AU2" s="1153"/>
      <c r="AV2" s="1153"/>
      <c r="AW2" s="1154"/>
      <c r="AX2" s="1151" t="s">
        <v>418</v>
      </c>
      <c r="AY2" s="1172"/>
    </row>
    <row r="3" spans="1:51" ht="15" customHeight="1">
      <c r="A3" s="789" t="s">
        <v>195</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c r="AM3" s="790"/>
      <c r="AN3" s="790"/>
      <c r="AO3" s="790"/>
      <c r="AP3" s="790"/>
      <c r="AQ3" s="790"/>
      <c r="AR3" s="790"/>
      <c r="AS3" s="790"/>
      <c r="AT3" s="790"/>
      <c r="AU3" s="790"/>
      <c r="AV3" s="790"/>
      <c r="AW3" s="791"/>
      <c r="AX3" s="1151" t="s">
        <v>424</v>
      </c>
      <c r="AY3" s="1172"/>
    </row>
    <row r="4" spans="1:51" ht="15.75" customHeight="1">
      <c r="A4" s="777"/>
      <c r="B4" s="778"/>
      <c r="C4" s="778"/>
      <c r="D4" s="778"/>
      <c r="E4" s="778"/>
      <c r="F4" s="778"/>
      <c r="G4" s="778"/>
      <c r="H4" s="778"/>
      <c r="I4" s="778"/>
      <c r="J4" s="778"/>
      <c r="K4" s="778"/>
      <c r="L4" s="778"/>
      <c r="M4" s="778"/>
      <c r="N4" s="778"/>
      <c r="O4" s="778"/>
      <c r="P4" s="778"/>
      <c r="Q4" s="778"/>
      <c r="R4" s="778"/>
      <c r="S4" s="778"/>
      <c r="T4" s="778"/>
      <c r="U4" s="778"/>
      <c r="V4" s="778"/>
      <c r="W4" s="778"/>
      <c r="X4" s="778"/>
      <c r="Y4" s="778"/>
      <c r="Z4" s="778"/>
      <c r="AA4" s="778"/>
      <c r="AB4" s="778"/>
      <c r="AC4" s="778"/>
      <c r="AD4" s="778"/>
      <c r="AE4" s="778"/>
      <c r="AF4" s="778"/>
      <c r="AG4" s="778"/>
      <c r="AH4" s="778"/>
      <c r="AI4" s="778"/>
      <c r="AJ4" s="778"/>
      <c r="AK4" s="778"/>
      <c r="AL4" s="778"/>
      <c r="AM4" s="778"/>
      <c r="AN4" s="778"/>
      <c r="AO4" s="778"/>
      <c r="AP4" s="778"/>
      <c r="AQ4" s="778"/>
      <c r="AR4" s="778"/>
      <c r="AS4" s="778"/>
      <c r="AT4" s="778"/>
      <c r="AU4" s="778"/>
      <c r="AV4" s="778"/>
      <c r="AW4" s="779"/>
      <c r="AX4" s="776" t="s">
        <v>784</v>
      </c>
      <c r="AY4" s="776"/>
    </row>
    <row r="5" spans="1:51" ht="15" customHeight="1" thickBot="1">
      <c r="A5" s="780" t="s">
        <v>174</v>
      </c>
      <c r="B5" s="781"/>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2"/>
      <c r="AH5" s="805" t="s">
        <v>69</v>
      </c>
      <c r="AI5" s="806"/>
      <c r="AJ5" s="806"/>
      <c r="AK5" s="806"/>
      <c r="AL5" s="806"/>
      <c r="AM5" s="806"/>
      <c r="AN5" s="806"/>
      <c r="AO5" s="806"/>
      <c r="AP5" s="806"/>
      <c r="AQ5" s="806"/>
      <c r="AR5" s="806"/>
      <c r="AS5" s="806"/>
      <c r="AT5" s="806"/>
      <c r="AU5" s="807"/>
      <c r="AV5" s="795" t="s">
        <v>409</v>
      </c>
      <c r="AW5" s="795" t="s">
        <v>410</v>
      </c>
      <c r="AX5" s="795" t="s">
        <v>298</v>
      </c>
      <c r="AY5" s="795" t="s">
        <v>299</v>
      </c>
    </row>
    <row r="6" spans="1:51" ht="15" customHeight="1">
      <c r="A6" s="814" t="s">
        <v>71</v>
      </c>
      <c r="B6" s="814"/>
      <c r="C6" s="814"/>
      <c r="D6" s="864" t="s">
        <v>861</v>
      </c>
      <c r="E6" s="865"/>
      <c r="F6" s="805" t="s">
        <v>67</v>
      </c>
      <c r="G6" s="807"/>
      <c r="H6" s="1171" t="s">
        <v>70</v>
      </c>
      <c r="I6" s="1171"/>
      <c r="J6" s="121"/>
      <c r="K6" s="805"/>
      <c r="L6" s="806"/>
      <c r="M6" s="806"/>
      <c r="N6" s="806"/>
      <c r="O6" s="806"/>
      <c r="P6" s="806"/>
      <c r="Q6" s="806"/>
      <c r="R6" s="806"/>
      <c r="S6" s="806"/>
      <c r="T6" s="806"/>
      <c r="U6" s="806"/>
      <c r="V6" s="114"/>
      <c r="W6" s="114"/>
      <c r="X6" s="114"/>
      <c r="Y6" s="114"/>
      <c r="Z6" s="114"/>
      <c r="AA6" s="114"/>
      <c r="AB6" s="114"/>
      <c r="AC6" s="114"/>
      <c r="AD6" s="114"/>
      <c r="AE6" s="114"/>
      <c r="AF6" s="114"/>
      <c r="AG6" s="115"/>
      <c r="AH6" s="808"/>
      <c r="AI6" s="809"/>
      <c r="AJ6" s="809"/>
      <c r="AK6" s="809"/>
      <c r="AL6" s="809"/>
      <c r="AM6" s="809"/>
      <c r="AN6" s="809"/>
      <c r="AO6" s="809"/>
      <c r="AP6" s="809"/>
      <c r="AQ6" s="809"/>
      <c r="AR6" s="809"/>
      <c r="AS6" s="809"/>
      <c r="AT6" s="809"/>
      <c r="AU6" s="810"/>
      <c r="AV6" s="803"/>
      <c r="AW6" s="803"/>
      <c r="AX6" s="803"/>
      <c r="AY6" s="803"/>
    </row>
    <row r="7" spans="1:51" ht="15" customHeight="1">
      <c r="A7" s="814"/>
      <c r="B7" s="814"/>
      <c r="C7" s="814"/>
      <c r="D7" s="866"/>
      <c r="E7" s="867"/>
      <c r="F7" s="808"/>
      <c r="G7" s="810"/>
      <c r="H7" s="1171" t="s">
        <v>68</v>
      </c>
      <c r="I7" s="1171"/>
      <c r="J7" s="121"/>
      <c r="K7" s="808"/>
      <c r="L7" s="809"/>
      <c r="M7" s="809"/>
      <c r="N7" s="809"/>
      <c r="O7" s="809"/>
      <c r="P7" s="809"/>
      <c r="Q7" s="809"/>
      <c r="R7" s="809"/>
      <c r="S7" s="809"/>
      <c r="T7" s="809"/>
      <c r="U7" s="809"/>
      <c r="V7" s="116"/>
      <c r="W7" s="116"/>
      <c r="X7" s="116"/>
      <c r="Y7" s="116"/>
      <c r="Z7" s="116"/>
      <c r="AA7" s="116"/>
      <c r="AB7" s="116"/>
      <c r="AC7" s="116"/>
      <c r="AD7" s="116"/>
      <c r="AE7" s="116"/>
      <c r="AF7" s="116"/>
      <c r="AG7" s="117"/>
      <c r="AH7" s="808"/>
      <c r="AI7" s="809"/>
      <c r="AJ7" s="809"/>
      <c r="AK7" s="809"/>
      <c r="AL7" s="809"/>
      <c r="AM7" s="809"/>
      <c r="AN7" s="809"/>
      <c r="AO7" s="809"/>
      <c r="AP7" s="809"/>
      <c r="AQ7" s="809"/>
      <c r="AR7" s="809"/>
      <c r="AS7" s="809"/>
      <c r="AT7" s="809"/>
      <c r="AU7" s="810"/>
      <c r="AV7" s="803"/>
      <c r="AW7" s="803"/>
      <c r="AX7" s="803"/>
      <c r="AY7" s="803"/>
    </row>
    <row r="8" spans="1:51" ht="15" customHeight="1" thickBot="1">
      <c r="A8" s="814"/>
      <c r="B8" s="814"/>
      <c r="C8" s="814"/>
      <c r="D8" s="868"/>
      <c r="E8" s="869"/>
      <c r="F8" s="811"/>
      <c r="G8" s="813"/>
      <c r="H8" s="1171" t="s">
        <v>69</v>
      </c>
      <c r="I8" s="1171"/>
      <c r="J8" s="121" t="s">
        <v>425</v>
      </c>
      <c r="K8" s="811"/>
      <c r="L8" s="812"/>
      <c r="M8" s="812"/>
      <c r="N8" s="812"/>
      <c r="O8" s="812"/>
      <c r="P8" s="812"/>
      <c r="Q8" s="812"/>
      <c r="R8" s="812"/>
      <c r="S8" s="812"/>
      <c r="T8" s="812"/>
      <c r="U8" s="812"/>
      <c r="V8" s="118"/>
      <c r="W8" s="118"/>
      <c r="X8" s="118"/>
      <c r="Y8" s="118"/>
      <c r="Z8" s="118"/>
      <c r="AA8" s="118"/>
      <c r="AB8" s="118"/>
      <c r="AC8" s="118"/>
      <c r="AD8" s="118"/>
      <c r="AE8" s="118"/>
      <c r="AF8" s="118"/>
      <c r="AG8" s="119"/>
      <c r="AH8" s="808"/>
      <c r="AI8" s="809"/>
      <c r="AJ8" s="809"/>
      <c r="AK8" s="809"/>
      <c r="AL8" s="809"/>
      <c r="AM8" s="809"/>
      <c r="AN8" s="809"/>
      <c r="AO8" s="809"/>
      <c r="AP8" s="809"/>
      <c r="AQ8" s="809"/>
      <c r="AR8" s="809"/>
      <c r="AS8" s="809"/>
      <c r="AT8" s="809"/>
      <c r="AU8" s="810"/>
      <c r="AV8" s="803"/>
      <c r="AW8" s="803"/>
      <c r="AX8" s="803"/>
      <c r="AY8" s="803"/>
    </row>
    <row r="9" spans="1:51" ht="15" customHeight="1">
      <c r="A9" s="783" t="s">
        <v>399</v>
      </c>
      <c r="B9" s="784"/>
      <c r="C9" s="785"/>
      <c r="D9" s="819"/>
      <c r="E9" s="820"/>
      <c r="F9" s="820"/>
      <c r="G9" s="820"/>
      <c r="H9" s="820"/>
      <c r="I9" s="820"/>
      <c r="J9" s="820"/>
      <c r="K9" s="821"/>
      <c r="L9" s="821"/>
      <c r="M9" s="821"/>
      <c r="N9" s="821"/>
      <c r="O9" s="821"/>
      <c r="P9" s="821"/>
      <c r="Q9" s="821"/>
      <c r="R9" s="821"/>
      <c r="S9" s="821"/>
      <c r="T9" s="821"/>
      <c r="U9" s="821"/>
      <c r="V9" s="821"/>
      <c r="W9" s="821"/>
      <c r="X9" s="821"/>
      <c r="Y9" s="821"/>
      <c r="Z9" s="821"/>
      <c r="AA9" s="821"/>
      <c r="AB9" s="821"/>
      <c r="AC9" s="821"/>
      <c r="AD9" s="821"/>
      <c r="AE9" s="821"/>
      <c r="AF9" s="821"/>
      <c r="AG9" s="822"/>
      <c r="AH9" s="808"/>
      <c r="AI9" s="809"/>
      <c r="AJ9" s="809"/>
      <c r="AK9" s="809"/>
      <c r="AL9" s="809"/>
      <c r="AM9" s="809"/>
      <c r="AN9" s="809"/>
      <c r="AO9" s="809"/>
      <c r="AP9" s="809"/>
      <c r="AQ9" s="809"/>
      <c r="AR9" s="809"/>
      <c r="AS9" s="809"/>
      <c r="AT9" s="809"/>
      <c r="AU9" s="810"/>
      <c r="AV9" s="803"/>
      <c r="AW9" s="803"/>
      <c r="AX9" s="803"/>
      <c r="AY9" s="803"/>
    </row>
    <row r="10" spans="1:51" ht="15" customHeight="1">
      <c r="A10" s="816" t="s">
        <v>287</v>
      </c>
      <c r="B10" s="817"/>
      <c r="C10" s="818"/>
      <c r="D10" s="823" t="s">
        <v>500</v>
      </c>
      <c r="E10" s="821"/>
      <c r="F10" s="821"/>
      <c r="G10" s="821"/>
      <c r="H10" s="821"/>
      <c r="I10" s="821"/>
      <c r="J10" s="821"/>
      <c r="K10" s="821"/>
      <c r="L10" s="821"/>
      <c r="M10" s="821"/>
      <c r="N10" s="821"/>
      <c r="O10" s="821"/>
      <c r="P10" s="821"/>
      <c r="Q10" s="821"/>
      <c r="R10" s="821"/>
      <c r="S10" s="821"/>
      <c r="T10" s="821"/>
      <c r="U10" s="821"/>
      <c r="V10" s="821"/>
      <c r="W10" s="821"/>
      <c r="X10" s="821"/>
      <c r="Y10" s="821"/>
      <c r="Z10" s="821"/>
      <c r="AA10" s="821"/>
      <c r="AB10" s="821"/>
      <c r="AC10" s="821"/>
      <c r="AD10" s="821"/>
      <c r="AE10" s="821"/>
      <c r="AF10" s="821"/>
      <c r="AG10" s="822"/>
      <c r="AH10" s="811"/>
      <c r="AI10" s="812"/>
      <c r="AJ10" s="812"/>
      <c r="AK10" s="812"/>
      <c r="AL10" s="812"/>
      <c r="AM10" s="812"/>
      <c r="AN10" s="812"/>
      <c r="AO10" s="812"/>
      <c r="AP10" s="812"/>
      <c r="AQ10" s="812"/>
      <c r="AR10" s="812"/>
      <c r="AS10" s="812"/>
      <c r="AT10" s="812"/>
      <c r="AU10" s="813"/>
      <c r="AV10" s="803"/>
      <c r="AW10" s="803"/>
      <c r="AX10" s="803"/>
      <c r="AY10" s="803"/>
    </row>
    <row r="11" spans="1:51" ht="39.75" customHeight="1">
      <c r="A11" s="792" t="s">
        <v>168</v>
      </c>
      <c r="B11" s="797"/>
      <c r="C11" s="797"/>
      <c r="D11" s="797"/>
      <c r="E11" s="797"/>
      <c r="F11" s="793"/>
      <c r="G11" s="792" t="s">
        <v>278</v>
      </c>
      <c r="H11" s="793"/>
      <c r="I11" s="795" t="s">
        <v>179</v>
      </c>
      <c r="J11" s="795" t="s">
        <v>279</v>
      </c>
      <c r="K11" s="795" t="s">
        <v>323</v>
      </c>
      <c r="L11" s="795" t="s">
        <v>363</v>
      </c>
      <c r="M11" s="795" t="s">
        <v>167</v>
      </c>
      <c r="N11" s="795" t="s">
        <v>182</v>
      </c>
      <c r="O11" s="792" t="s">
        <v>284</v>
      </c>
      <c r="P11" s="797"/>
      <c r="Q11" s="797"/>
      <c r="R11" s="797"/>
      <c r="S11" s="793"/>
      <c r="T11" s="795" t="s">
        <v>173</v>
      </c>
      <c r="U11" s="795" t="s">
        <v>285</v>
      </c>
      <c r="V11" s="780" t="s">
        <v>370</v>
      </c>
      <c r="W11" s="781"/>
      <c r="X11" s="781"/>
      <c r="Y11" s="781"/>
      <c r="Z11" s="781"/>
      <c r="AA11" s="781"/>
      <c r="AB11" s="781"/>
      <c r="AC11" s="781"/>
      <c r="AD11" s="781"/>
      <c r="AE11" s="781"/>
      <c r="AF11" s="781"/>
      <c r="AG11" s="782"/>
      <c r="AH11" s="780" t="s">
        <v>87</v>
      </c>
      <c r="AI11" s="781"/>
      <c r="AJ11" s="781"/>
      <c r="AK11" s="781"/>
      <c r="AL11" s="781"/>
      <c r="AM11" s="781"/>
      <c r="AN11" s="781"/>
      <c r="AO11" s="781"/>
      <c r="AP11" s="781"/>
      <c r="AQ11" s="781"/>
      <c r="AR11" s="781"/>
      <c r="AS11" s="782"/>
      <c r="AT11" s="792" t="s">
        <v>8</v>
      </c>
      <c r="AU11" s="793"/>
      <c r="AV11" s="803"/>
      <c r="AW11" s="803"/>
      <c r="AX11" s="803"/>
      <c r="AY11" s="803"/>
    </row>
    <row r="12" spans="1:51" ht="42.75">
      <c r="A12" s="415" t="s">
        <v>169</v>
      </c>
      <c r="B12" s="415" t="s">
        <v>170</v>
      </c>
      <c r="C12" s="415" t="s">
        <v>171</v>
      </c>
      <c r="D12" s="415" t="s">
        <v>178</v>
      </c>
      <c r="E12" s="415" t="s">
        <v>185</v>
      </c>
      <c r="F12" s="415" t="s">
        <v>186</v>
      </c>
      <c r="G12" s="415" t="s">
        <v>277</v>
      </c>
      <c r="H12" s="415" t="s">
        <v>184</v>
      </c>
      <c r="I12" s="796"/>
      <c r="J12" s="796"/>
      <c r="K12" s="796"/>
      <c r="L12" s="796"/>
      <c r="M12" s="796"/>
      <c r="N12" s="796"/>
      <c r="O12" s="415">
        <v>2020</v>
      </c>
      <c r="P12" s="415">
        <v>2021</v>
      </c>
      <c r="Q12" s="415">
        <v>2022</v>
      </c>
      <c r="R12" s="415">
        <v>2023</v>
      </c>
      <c r="S12" s="415">
        <v>2024</v>
      </c>
      <c r="T12" s="796"/>
      <c r="U12" s="796"/>
      <c r="V12" s="414" t="s">
        <v>39</v>
      </c>
      <c r="W12" s="414" t="s">
        <v>40</v>
      </c>
      <c r="X12" s="414" t="s">
        <v>41</v>
      </c>
      <c r="Y12" s="414" t="s">
        <v>42</v>
      </c>
      <c r="Z12" s="414" t="s">
        <v>43</v>
      </c>
      <c r="AA12" s="414" t="s">
        <v>44</v>
      </c>
      <c r="AB12" s="414" t="s">
        <v>45</v>
      </c>
      <c r="AC12" s="414" t="s">
        <v>46</v>
      </c>
      <c r="AD12" s="414" t="s">
        <v>47</v>
      </c>
      <c r="AE12" s="414" t="s">
        <v>48</v>
      </c>
      <c r="AF12" s="414" t="s">
        <v>49</v>
      </c>
      <c r="AG12" s="414" t="s">
        <v>50</v>
      </c>
      <c r="AH12" s="414" t="s">
        <v>39</v>
      </c>
      <c r="AI12" s="414" t="s">
        <v>40</v>
      </c>
      <c r="AJ12" s="414" t="s">
        <v>41</v>
      </c>
      <c r="AK12" s="414" t="s">
        <v>42</v>
      </c>
      <c r="AL12" s="414" t="s">
        <v>43</v>
      </c>
      <c r="AM12" s="414" t="s">
        <v>44</v>
      </c>
      <c r="AN12" s="414" t="s">
        <v>45</v>
      </c>
      <c r="AO12" s="414" t="s">
        <v>46</v>
      </c>
      <c r="AP12" s="414" t="s">
        <v>47</v>
      </c>
      <c r="AQ12" s="414" t="s">
        <v>48</v>
      </c>
      <c r="AR12" s="414" t="s">
        <v>49</v>
      </c>
      <c r="AS12" s="414" t="s">
        <v>50</v>
      </c>
      <c r="AT12" s="415" t="s">
        <v>413</v>
      </c>
      <c r="AU12" s="216" t="s">
        <v>88</v>
      </c>
      <c r="AV12" s="796"/>
      <c r="AW12" s="796"/>
      <c r="AX12" s="796"/>
      <c r="AY12" s="796"/>
    </row>
    <row r="13" spans="1:51" ht="409.5" customHeight="1">
      <c r="A13" s="121"/>
      <c r="B13" s="121"/>
      <c r="C13" s="121"/>
      <c r="D13" s="121"/>
      <c r="E13" s="121" t="s">
        <v>425</v>
      </c>
      <c r="F13" s="121"/>
      <c r="G13" s="457" t="s">
        <v>602</v>
      </c>
      <c r="H13" s="121"/>
      <c r="I13" s="313" t="s">
        <v>603</v>
      </c>
      <c r="J13" s="313" t="s">
        <v>604</v>
      </c>
      <c r="K13" s="124" t="s">
        <v>430</v>
      </c>
      <c r="L13" s="121" t="s">
        <v>450</v>
      </c>
      <c r="M13" s="122" t="s">
        <v>431</v>
      </c>
      <c r="N13" s="313" t="s">
        <v>605</v>
      </c>
      <c r="O13" s="123"/>
      <c r="P13" s="123"/>
      <c r="Q13" s="123"/>
      <c r="R13" s="379">
        <v>1</v>
      </c>
      <c r="S13" s="123"/>
      <c r="T13" s="121" t="s">
        <v>460</v>
      </c>
      <c r="U13" s="122" t="s">
        <v>606</v>
      </c>
      <c r="V13" s="378">
        <v>0.08333333333333334</v>
      </c>
      <c r="W13" s="378">
        <v>0.08333333333333334</v>
      </c>
      <c r="X13" s="378">
        <v>0.08333333333333334</v>
      </c>
      <c r="Y13" s="378">
        <v>0.08333333333333334</v>
      </c>
      <c r="Z13" s="378">
        <v>0.08333333333333334</v>
      </c>
      <c r="AA13" s="378">
        <v>0.08333333333333334</v>
      </c>
      <c r="AB13" s="378">
        <v>0.08333333333333334</v>
      </c>
      <c r="AC13" s="378">
        <v>0.08333333333333334</v>
      </c>
      <c r="AD13" s="378">
        <v>0.08333333333333334</v>
      </c>
      <c r="AE13" s="378">
        <v>0.08333333333333334</v>
      </c>
      <c r="AF13" s="378">
        <v>0.08333333333333334</v>
      </c>
      <c r="AG13" s="378">
        <v>0.08333333333333334</v>
      </c>
      <c r="AH13" s="378">
        <v>0.08333333333333334</v>
      </c>
      <c r="AI13" s="378">
        <v>0.08333333333333334</v>
      </c>
      <c r="AJ13" s="378">
        <v>0.08333333333333334</v>
      </c>
      <c r="AK13" s="453">
        <v>0.0833</v>
      </c>
      <c r="AL13" s="453">
        <v>0.0833</v>
      </c>
      <c r="AM13" s="453">
        <v>0.0833333333333333</v>
      </c>
      <c r="AN13" s="500">
        <v>0.0833333333333333</v>
      </c>
      <c r="AO13" s="378">
        <v>0.08333333333333334</v>
      </c>
      <c r="AP13" s="453">
        <v>0.08333333333333334</v>
      </c>
      <c r="AQ13" s="453">
        <v>0.0833333333333333</v>
      </c>
      <c r="AR13" s="124"/>
      <c r="AS13" s="124"/>
      <c r="AT13" s="411">
        <f>SUM(AH13:AS13)</f>
        <v>0.8332666666666666</v>
      </c>
      <c r="AU13" s="127">
        <f>+AT13/R13</f>
        <v>0.8332666666666666</v>
      </c>
      <c r="AV13" s="1204" t="s">
        <v>953</v>
      </c>
      <c r="AW13" s="1205" t="s">
        <v>954</v>
      </c>
      <c r="AX13" s="445" t="s">
        <v>903</v>
      </c>
      <c r="AY13" s="494" t="s">
        <v>948</v>
      </c>
    </row>
    <row r="14" spans="1:51" ht="261" customHeight="1">
      <c r="A14" s="121"/>
      <c r="B14" s="121"/>
      <c r="C14" s="121"/>
      <c r="D14" s="121"/>
      <c r="E14" s="121" t="s">
        <v>425</v>
      </c>
      <c r="F14" s="121"/>
      <c r="G14" s="457" t="s">
        <v>602</v>
      </c>
      <c r="H14" s="121"/>
      <c r="I14" s="313" t="s">
        <v>607</v>
      </c>
      <c r="J14" s="313" t="s">
        <v>608</v>
      </c>
      <c r="K14" s="124" t="s">
        <v>430</v>
      </c>
      <c r="L14" s="124" t="s">
        <v>450</v>
      </c>
      <c r="M14" s="121" t="s">
        <v>431</v>
      </c>
      <c r="N14" s="313" t="s">
        <v>609</v>
      </c>
      <c r="O14" s="124"/>
      <c r="P14" s="124"/>
      <c r="Q14" s="124"/>
      <c r="R14" s="379">
        <v>1</v>
      </c>
      <c r="S14" s="124"/>
      <c r="T14" s="122" t="s">
        <v>610</v>
      </c>
      <c r="U14" s="122" t="s">
        <v>611</v>
      </c>
      <c r="V14" s="380">
        <v>0.25</v>
      </c>
      <c r="W14" s="381"/>
      <c r="X14" s="381"/>
      <c r="Y14" s="380">
        <v>0.25</v>
      </c>
      <c r="Z14" s="381"/>
      <c r="AA14" s="381"/>
      <c r="AB14" s="380">
        <v>0.5</v>
      </c>
      <c r="AC14" s="327"/>
      <c r="AD14" s="328"/>
      <c r="AE14" s="124"/>
      <c r="AF14" s="124"/>
      <c r="AG14" s="124"/>
      <c r="AH14" s="379">
        <v>0.25</v>
      </c>
      <c r="AI14" s="124"/>
      <c r="AJ14" s="124"/>
      <c r="AK14" s="127">
        <v>0.25</v>
      </c>
      <c r="AL14" s="124"/>
      <c r="AM14" s="124"/>
      <c r="AN14" s="327">
        <v>0.5</v>
      </c>
      <c r="AO14" s="124"/>
      <c r="AP14" s="124"/>
      <c r="AQ14" s="124"/>
      <c r="AR14" s="124"/>
      <c r="AS14" s="124"/>
      <c r="AT14" s="127">
        <f>SUM(AH14:AS14)</f>
        <v>1</v>
      </c>
      <c r="AU14" s="127">
        <f>+AT14/R14</f>
        <v>1</v>
      </c>
      <c r="AV14" s="496" t="s">
        <v>955</v>
      </c>
      <c r="AW14" s="530" t="s">
        <v>956</v>
      </c>
      <c r="AX14" s="494" t="s">
        <v>948</v>
      </c>
      <c r="AY14" s="494" t="s">
        <v>948</v>
      </c>
    </row>
    <row r="15" spans="1:51" ht="107.25" customHeight="1">
      <c r="A15" s="121"/>
      <c r="B15" s="121"/>
      <c r="C15" s="121"/>
      <c r="D15" s="121"/>
      <c r="E15" s="121" t="s">
        <v>425</v>
      </c>
      <c r="F15" s="121"/>
      <c r="G15" s="457" t="s">
        <v>602</v>
      </c>
      <c r="H15" s="121"/>
      <c r="I15" s="313" t="s">
        <v>612</v>
      </c>
      <c r="J15" s="313" t="s">
        <v>613</v>
      </c>
      <c r="K15" s="124" t="s">
        <v>453</v>
      </c>
      <c r="L15" s="124" t="s">
        <v>450</v>
      </c>
      <c r="M15" s="122" t="s">
        <v>614</v>
      </c>
      <c r="N15" s="313" t="s">
        <v>615</v>
      </c>
      <c r="O15" s="124"/>
      <c r="P15" s="124"/>
      <c r="Q15" s="124"/>
      <c r="R15" s="379">
        <v>1</v>
      </c>
      <c r="S15" s="124"/>
      <c r="T15" s="121" t="s">
        <v>460</v>
      </c>
      <c r="U15" s="122" t="s">
        <v>616</v>
      </c>
      <c r="V15" s="382">
        <v>1</v>
      </c>
      <c r="W15" s="382">
        <v>1</v>
      </c>
      <c r="X15" s="382">
        <v>1</v>
      </c>
      <c r="Y15" s="382">
        <v>1</v>
      </c>
      <c r="Z15" s="382">
        <v>1</v>
      </c>
      <c r="AA15" s="382">
        <v>1</v>
      </c>
      <c r="AB15" s="382">
        <v>1</v>
      </c>
      <c r="AC15" s="382">
        <v>1</v>
      </c>
      <c r="AD15" s="382">
        <v>1</v>
      </c>
      <c r="AE15" s="382">
        <v>1</v>
      </c>
      <c r="AF15" s="382">
        <v>1</v>
      </c>
      <c r="AG15" s="382">
        <v>1</v>
      </c>
      <c r="AH15" s="380">
        <v>1</v>
      </c>
      <c r="AI15" s="380">
        <v>1</v>
      </c>
      <c r="AJ15" s="380">
        <v>1</v>
      </c>
      <c r="AK15" s="307">
        <v>1</v>
      </c>
      <c r="AL15" s="307">
        <v>1</v>
      </c>
      <c r="AM15" s="468">
        <v>1</v>
      </c>
      <c r="AN15" s="327">
        <v>1</v>
      </c>
      <c r="AO15" s="468">
        <v>1</v>
      </c>
      <c r="AP15" s="468">
        <v>1</v>
      </c>
      <c r="AQ15" s="468">
        <v>1</v>
      </c>
      <c r="AR15" s="124"/>
      <c r="AS15" s="124"/>
      <c r="AT15" s="127">
        <f>AVERAGE(AH15:AS15)</f>
        <v>1</v>
      </c>
      <c r="AU15" s="379">
        <f>+(SUM(AH15:AS15)/+SUM(V15:AG15))</f>
        <v>0.8333333333333334</v>
      </c>
      <c r="AV15" s="1206" t="s">
        <v>957</v>
      </c>
      <c r="AW15" s="1206" t="s">
        <v>958</v>
      </c>
      <c r="AX15" s="445" t="s">
        <v>903</v>
      </c>
      <c r="AY15" s="494" t="s">
        <v>948</v>
      </c>
    </row>
    <row r="16" spans="1:51" ht="107.25" customHeight="1">
      <c r="A16" s="121"/>
      <c r="B16" s="121"/>
      <c r="C16" s="121"/>
      <c r="D16" s="121"/>
      <c r="E16" s="121" t="s">
        <v>425</v>
      </c>
      <c r="F16" s="121"/>
      <c r="G16" s="457" t="s">
        <v>602</v>
      </c>
      <c r="H16" s="121"/>
      <c r="I16" s="313" t="s">
        <v>617</v>
      </c>
      <c r="J16" s="313" t="s">
        <v>618</v>
      </c>
      <c r="K16" s="124" t="s">
        <v>430</v>
      </c>
      <c r="L16" s="124" t="s">
        <v>450</v>
      </c>
      <c r="M16" s="122" t="s">
        <v>619</v>
      </c>
      <c r="N16" s="313" t="s">
        <v>620</v>
      </c>
      <c r="O16" s="124"/>
      <c r="P16" s="124"/>
      <c r="Q16" s="124"/>
      <c r="R16" s="379">
        <v>1</v>
      </c>
      <c r="S16" s="124"/>
      <c r="T16" s="121" t="s">
        <v>460</v>
      </c>
      <c r="U16" s="122" t="s">
        <v>621</v>
      </c>
      <c r="V16" s="378">
        <v>0.08333333333333334</v>
      </c>
      <c r="W16" s="378">
        <v>0.08333333333333334</v>
      </c>
      <c r="X16" s="378">
        <v>0.08333333333333334</v>
      </c>
      <c r="Y16" s="378">
        <v>0.08333333333333334</v>
      </c>
      <c r="Z16" s="378">
        <v>0.08333333333333334</v>
      </c>
      <c r="AA16" s="378">
        <v>0.08333333333333334</v>
      </c>
      <c r="AB16" s="378">
        <v>0.08333333333333334</v>
      </c>
      <c r="AC16" s="378">
        <v>0.08333333333333334</v>
      </c>
      <c r="AD16" s="378">
        <v>0.08333333333333334</v>
      </c>
      <c r="AE16" s="378">
        <v>0.08333333333333334</v>
      </c>
      <c r="AF16" s="378">
        <v>0.08333333333333334</v>
      </c>
      <c r="AG16" s="378">
        <v>0.08333333333333334</v>
      </c>
      <c r="AH16" s="378">
        <v>0.0833</v>
      </c>
      <c r="AI16" s="378">
        <v>0.0833</v>
      </c>
      <c r="AJ16" s="378">
        <v>0.0833</v>
      </c>
      <c r="AK16" s="453">
        <v>0.0833</v>
      </c>
      <c r="AL16" s="453">
        <v>0.0833</v>
      </c>
      <c r="AM16" s="453">
        <v>0.0833</v>
      </c>
      <c r="AN16" s="500">
        <v>0.0833</v>
      </c>
      <c r="AO16" s="453">
        <v>0.0833</v>
      </c>
      <c r="AP16" s="453">
        <v>0.0833</v>
      </c>
      <c r="AQ16" s="453">
        <v>0.0833</v>
      </c>
      <c r="AR16" s="124"/>
      <c r="AS16" s="124"/>
      <c r="AT16" s="411">
        <f>SUM(AH16:AS16)</f>
        <v>0.8330000000000001</v>
      </c>
      <c r="AU16" s="127">
        <f>+AT16/R16</f>
        <v>0.8330000000000001</v>
      </c>
      <c r="AV16" s="1206" t="s">
        <v>959</v>
      </c>
      <c r="AW16" s="1206" t="s">
        <v>960</v>
      </c>
      <c r="AX16" s="445" t="s">
        <v>903</v>
      </c>
      <c r="AY16" s="494" t="s">
        <v>948</v>
      </c>
    </row>
    <row r="17" spans="1:51" ht="54" customHeight="1">
      <c r="A17" s="798" t="s">
        <v>64</v>
      </c>
      <c r="B17" s="798"/>
      <c r="C17" s="798"/>
      <c r="D17" s="794" t="s">
        <v>66</v>
      </c>
      <c r="E17" s="794"/>
      <c r="F17" s="794"/>
      <c r="G17" s="794"/>
      <c r="H17" s="794"/>
      <c r="I17" s="794"/>
      <c r="J17" s="799" t="s">
        <v>300</v>
      </c>
      <c r="K17" s="799"/>
      <c r="L17" s="799"/>
      <c r="M17" s="799"/>
      <c r="N17" s="799"/>
      <c r="O17" s="799"/>
      <c r="P17" s="794" t="s">
        <v>66</v>
      </c>
      <c r="Q17" s="794"/>
      <c r="R17" s="794"/>
      <c r="S17" s="794"/>
      <c r="T17" s="794"/>
      <c r="U17" s="794"/>
      <c r="V17" s="794" t="s">
        <v>66</v>
      </c>
      <c r="W17" s="794"/>
      <c r="X17" s="794"/>
      <c r="Y17" s="794"/>
      <c r="Z17" s="794"/>
      <c r="AA17" s="794"/>
      <c r="AB17" s="794"/>
      <c r="AC17" s="794"/>
      <c r="AD17" s="794" t="s">
        <v>66</v>
      </c>
      <c r="AE17" s="794"/>
      <c r="AF17" s="794"/>
      <c r="AG17" s="794"/>
      <c r="AH17" s="794"/>
      <c r="AI17" s="794"/>
      <c r="AJ17" s="794"/>
      <c r="AK17" s="794"/>
      <c r="AL17" s="794"/>
      <c r="AM17" s="794"/>
      <c r="AN17" s="794"/>
      <c r="AO17" s="794"/>
      <c r="AP17" s="799" t="s">
        <v>318</v>
      </c>
      <c r="AQ17" s="799"/>
      <c r="AR17" s="799"/>
      <c r="AS17" s="799"/>
      <c r="AT17" s="794" t="s">
        <v>13</v>
      </c>
      <c r="AU17" s="794"/>
      <c r="AV17" s="794"/>
      <c r="AW17" s="794"/>
      <c r="AX17" s="794"/>
      <c r="AY17" s="794"/>
    </row>
    <row r="18" spans="1:51" ht="30" customHeight="1">
      <c r="A18" s="798"/>
      <c r="B18" s="798"/>
      <c r="C18" s="798"/>
      <c r="D18" s="794" t="s">
        <v>812</v>
      </c>
      <c r="E18" s="794"/>
      <c r="F18" s="794"/>
      <c r="G18" s="794"/>
      <c r="H18" s="794"/>
      <c r="I18" s="794"/>
      <c r="J18" s="799"/>
      <c r="K18" s="799"/>
      <c r="L18" s="799"/>
      <c r="M18" s="799"/>
      <c r="N18" s="799"/>
      <c r="O18" s="799"/>
      <c r="P18" s="794" t="s">
        <v>845</v>
      </c>
      <c r="Q18" s="794"/>
      <c r="R18" s="794"/>
      <c r="S18" s="794"/>
      <c r="T18" s="794"/>
      <c r="U18" s="794"/>
      <c r="V18" s="794" t="s">
        <v>65</v>
      </c>
      <c r="W18" s="794"/>
      <c r="X18" s="794"/>
      <c r="Y18" s="794"/>
      <c r="Z18" s="794"/>
      <c r="AA18" s="794"/>
      <c r="AB18" s="794"/>
      <c r="AC18" s="794"/>
      <c r="AD18" s="794" t="s">
        <v>65</v>
      </c>
      <c r="AE18" s="794"/>
      <c r="AF18" s="794"/>
      <c r="AG18" s="794"/>
      <c r="AH18" s="794"/>
      <c r="AI18" s="794"/>
      <c r="AJ18" s="794"/>
      <c r="AK18" s="794"/>
      <c r="AL18" s="794"/>
      <c r="AM18" s="794"/>
      <c r="AN18" s="794"/>
      <c r="AO18" s="794"/>
      <c r="AP18" s="799"/>
      <c r="AQ18" s="799"/>
      <c r="AR18" s="799"/>
      <c r="AS18" s="799"/>
      <c r="AT18" s="794" t="s">
        <v>769</v>
      </c>
      <c r="AU18" s="794"/>
      <c r="AV18" s="794"/>
      <c r="AW18" s="794"/>
      <c r="AX18" s="794"/>
      <c r="AY18" s="794"/>
    </row>
    <row r="19" spans="1:51" ht="30" customHeight="1">
      <c r="A19" s="798"/>
      <c r="B19" s="798"/>
      <c r="C19" s="798"/>
      <c r="D19" s="794" t="s">
        <v>813</v>
      </c>
      <c r="E19" s="794"/>
      <c r="F19" s="794"/>
      <c r="G19" s="794"/>
      <c r="H19" s="794"/>
      <c r="I19" s="794"/>
      <c r="J19" s="799"/>
      <c r="K19" s="799"/>
      <c r="L19" s="799"/>
      <c r="M19" s="799"/>
      <c r="N19" s="799"/>
      <c r="O19" s="799"/>
      <c r="P19" s="794" t="s">
        <v>814</v>
      </c>
      <c r="Q19" s="794"/>
      <c r="R19" s="794"/>
      <c r="S19" s="794"/>
      <c r="T19" s="794"/>
      <c r="U19" s="794"/>
      <c r="V19" s="794" t="s">
        <v>297</v>
      </c>
      <c r="W19" s="794"/>
      <c r="X19" s="794"/>
      <c r="Y19" s="794"/>
      <c r="Z19" s="794"/>
      <c r="AA19" s="794"/>
      <c r="AB19" s="794"/>
      <c r="AC19" s="794"/>
      <c r="AD19" s="794" t="s">
        <v>297</v>
      </c>
      <c r="AE19" s="794"/>
      <c r="AF19" s="794"/>
      <c r="AG19" s="794"/>
      <c r="AH19" s="794"/>
      <c r="AI19" s="794"/>
      <c r="AJ19" s="794"/>
      <c r="AK19" s="794"/>
      <c r="AL19" s="794"/>
      <c r="AM19" s="794"/>
      <c r="AN19" s="794"/>
      <c r="AO19" s="794"/>
      <c r="AP19" s="799"/>
      <c r="AQ19" s="799"/>
      <c r="AR19" s="799"/>
      <c r="AS19" s="799"/>
      <c r="AT19" s="794" t="s">
        <v>75</v>
      </c>
      <c r="AU19" s="794"/>
      <c r="AV19" s="794"/>
      <c r="AW19" s="794"/>
      <c r="AX19" s="794"/>
      <c r="AY19" s="794"/>
    </row>
    <row r="26" ht="15">
      <c r="S26" s="113" t="s">
        <v>601</v>
      </c>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17:C19"/>
    <mergeCell ref="D17:I17"/>
    <mergeCell ref="J17:O19"/>
    <mergeCell ref="P17:U17"/>
    <mergeCell ref="V17:AC17"/>
    <mergeCell ref="AD17:AO17"/>
    <mergeCell ref="D19:I19"/>
    <mergeCell ref="AP17:AS19"/>
    <mergeCell ref="AT19:AY19"/>
    <mergeCell ref="AT17:AY17"/>
    <mergeCell ref="D18:I18"/>
    <mergeCell ref="P18:U18"/>
    <mergeCell ref="V18:AC18"/>
    <mergeCell ref="AD18:AO18"/>
    <mergeCell ref="AT18:AY18"/>
    <mergeCell ref="P19:U19"/>
    <mergeCell ref="V19:AC19"/>
    <mergeCell ref="AD19:AO19"/>
  </mergeCells>
  <printOptions/>
  <pageMargins left="0.7" right="0.7" top="0.75" bottom="0.75" header="0.3" footer="0.3"/>
  <pageSetup fitToHeight="0" fitToWidth="1" horizontalDpi="600" verticalDpi="600" orientation="landscape" scale="13" r:id="rId3"/>
  <legacyDrawing r:id="rId2"/>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AY27"/>
  <sheetViews>
    <sheetView view="pageBreakPreview" zoomScale="60" zoomScaleNormal="70" zoomScalePageLayoutView="0" workbookViewId="0" topLeftCell="AG6">
      <selection activeCell="AQ13" sqref="AQ13:AQ17"/>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9" width="39.7109375" style="113" customWidth="1"/>
    <col min="10" max="10" width="39.8515625" style="113" customWidth="1"/>
    <col min="11" max="11" width="18.421875" style="113" customWidth="1"/>
    <col min="12" max="12" width="11.8515625" style="113" customWidth="1"/>
    <col min="13" max="13" width="12.421875" style="113" customWidth="1"/>
    <col min="14" max="14" width="33.28125" style="113" customWidth="1"/>
    <col min="15" max="17" width="8.7109375" style="113" customWidth="1"/>
    <col min="18" max="18" width="8.7109375" style="131" customWidth="1"/>
    <col min="19" max="19" width="8.7109375" style="113" customWidth="1"/>
    <col min="20" max="20" width="16.7109375" style="113" customWidth="1"/>
    <col min="21" max="21" width="24.7109375" style="113" customWidth="1"/>
    <col min="22" max="45" width="8.28125" style="113" customWidth="1"/>
    <col min="46" max="46" width="17.140625" style="113" customWidth="1"/>
    <col min="47" max="47" width="15.8515625" style="217" customWidth="1"/>
    <col min="48" max="48" width="68.28125" style="113" customWidth="1"/>
    <col min="49" max="49" width="76.57421875" style="113" customWidth="1"/>
    <col min="50" max="51" width="52.140625" style="113" customWidth="1"/>
    <col min="52" max="16384" width="10.8515625" style="113" customWidth="1"/>
  </cols>
  <sheetData>
    <row r="1" spans="1:51" ht="15.75" customHeight="1">
      <c r="A1" s="777" t="s">
        <v>16</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M1" s="778"/>
      <c r="AN1" s="778"/>
      <c r="AO1" s="778"/>
      <c r="AP1" s="778"/>
      <c r="AQ1" s="778"/>
      <c r="AR1" s="778"/>
      <c r="AS1" s="778"/>
      <c r="AT1" s="778"/>
      <c r="AU1" s="778"/>
      <c r="AV1" s="778"/>
      <c r="AW1" s="779"/>
      <c r="AX1" s="1126" t="s">
        <v>423</v>
      </c>
      <c r="AY1" s="1127"/>
    </row>
    <row r="2" spans="1:51" ht="15.75" customHeight="1">
      <c r="A2" s="1152" t="s">
        <v>17</v>
      </c>
      <c r="B2" s="1153"/>
      <c r="C2" s="1153"/>
      <c r="D2" s="1153"/>
      <c r="E2" s="1153"/>
      <c r="F2" s="1153"/>
      <c r="G2" s="1153"/>
      <c r="H2" s="1153"/>
      <c r="I2" s="1153"/>
      <c r="J2" s="1153"/>
      <c r="K2" s="1153"/>
      <c r="L2" s="1153"/>
      <c r="M2" s="1153"/>
      <c r="N2" s="1153"/>
      <c r="O2" s="1153"/>
      <c r="P2" s="1153"/>
      <c r="Q2" s="1153"/>
      <c r="R2" s="1153"/>
      <c r="S2" s="1153"/>
      <c r="T2" s="1153"/>
      <c r="U2" s="1153"/>
      <c r="V2" s="1153"/>
      <c r="W2" s="1153"/>
      <c r="X2" s="1153"/>
      <c r="Y2" s="1153"/>
      <c r="Z2" s="1153"/>
      <c r="AA2" s="1153"/>
      <c r="AB2" s="1153"/>
      <c r="AC2" s="1153"/>
      <c r="AD2" s="1153"/>
      <c r="AE2" s="1153"/>
      <c r="AF2" s="1153"/>
      <c r="AG2" s="1153"/>
      <c r="AH2" s="1153"/>
      <c r="AI2" s="1153"/>
      <c r="AJ2" s="1153"/>
      <c r="AK2" s="1153"/>
      <c r="AL2" s="1153"/>
      <c r="AM2" s="1153"/>
      <c r="AN2" s="1153"/>
      <c r="AO2" s="1153"/>
      <c r="AP2" s="1153"/>
      <c r="AQ2" s="1153"/>
      <c r="AR2" s="1153"/>
      <c r="AS2" s="1153"/>
      <c r="AT2" s="1153"/>
      <c r="AU2" s="1153"/>
      <c r="AV2" s="1153"/>
      <c r="AW2" s="1154"/>
      <c r="AX2" s="1151" t="s">
        <v>418</v>
      </c>
      <c r="AY2" s="1172"/>
    </row>
    <row r="3" spans="1:51" ht="15" customHeight="1">
      <c r="A3" s="789" t="s">
        <v>195</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c r="AM3" s="790"/>
      <c r="AN3" s="790"/>
      <c r="AO3" s="790"/>
      <c r="AP3" s="790"/>
      <c r="AQ3" s="790"/>
      <c r="AR3" s="790"/>
      <c r="AS3" s="790"/>
      <c r="AT3" s="790"/>
      <c r="AU3" s="790"/>
      <c r="AV3" s="790"/>
      <c r="AW3" s="791"/>
      <c r="AX3" s="1151" t="s">
        <v>424</v>
      </c>
      <c r="AY3" s="1172"/>
    </row>
    <row r="4" spans="1:51" ht="15.75" customHeight="1">
      <c r="A4" s="777"/>
      <c r="B4" s="778"/>
      <c r="C4" s="778"/>
      <c r="D4" s="778"/>
      <c r="E4" s="778"/>
      <c r="F4" s="778"/>
      <c r="G4" s="778"/>
      <c r="H4" s="778"/>
      <c r="I4" s="778"/>
      <c r="J4" s="778"/>
      <c r="K4" s="778"/>
      <c r="L4" s="778"/>
      <c r="M4" s="778"/>
      <c r="N4" s="778"/>
      <c r="O4" s="778"/>
      <c r="P4" s="778"/>
      <c r="Q4" s="778"/>
      <c r="R4" s="778"/>
      <c r="S4" s="778"/>
      <c r="T4" s="778"/>
      <c r="U4" s="778"/>
      <c r="V4" s="778"/>
      <c r="W4" s="778"/>
      <c r="X4" s="778"/>
      <c r="Y4" s="778"/>
      <c r="Z4" s="778"/>
      <c r="AA4" s="778"/>
      <c r="AB4" s="778"/>
      <c r="AC4" s="778"/>
      <c r="AD4" s="778"/>
      <c r="AE4" s="778"/>
      <c r="AF4" s="778"/>
      <c r="AG4" s="778"/>
      <c r="AH4" s="778"/>
      <c r="AI4" s="778"/>
      <c r="AJ4" s="778"/>
      <c r="AK4" s="778"/>
      <c r="AL4" s="778"/>
      <c r="AM4" s="778"/>
      <c r="AN4" s="778"/>
      <c r="AO4" s="778"/>
      <c r="AP4" s="778"/>
      <c r="AQ4" s="778"/>
      <c r="AR4" s="778"/>
      <c r="AS4" s="778"/>
      <c r="AT4" s="778"/>
      <c r="AU4" s="778"/>
      <c r="AV4" s="778"/>
      <c r="AW4" s="779"/>
      <c r="AX4" s="776" t="s">
        <v>785</v>
      </c>
      <c r="AY4" s="776"/>
    </row>
    <row r="5" spans="1:51" ht="15" customHeight="1" thickBot="1">
      <c r="A5" s="780" t="s">
        <v>174</v>
      </c>
      <c r="B5" s="781"/>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2"/>
      <c r="AH5" s="805" t="s">
        <v>69</v>
      </c>
      <c r="AI5" s="806"/>
      <c r="AJ5" s="806"/>
      <c r="AK5" s="806"/>
      <c r="AL5" s="806"/>
      <c r="AM5" s="806"/>
      <c r="AN5" s="806"/>
      <c r="AO5" s="806"/>
      <c r="AP5" s="806"/>
      <c r="AQ5" s="806"/>
      <c r="AR5" s="806"/>
      <c r="AS5" s="806"/>
      <c r="AT5" s="806"/>
      <c r="AU5" s="807"/>
      <c r="AV5" s="795" t="s">
        <v>409</v>
      </c>
      <c r="AW5" s="795" t="s">
        <v>410</v>
      </c>
      <c r="AX5" s="795" t="s">
        <v>298</v>
      </c>
      <c r="AY5" s="795" t="s">
        <v>299</v>
      </c>
    </row>
    <row r="6" spans="1:51" ht="15" customHeight="1">
      <c r="A6" s="814" t="s">
        <v>71</v>
      </c>
      <c r="B6" s="814"/>
      <c r="C6" s="814"/>
      <c r="D6" s="864" t="s">
        <v>861</v>
      </c>
      <c r="E6" s="865"/>
      <c r="F6" s="805" t="s">
        <v>67</v>
      </c>
      <c r="G6" s="807"/>
      <c r="H6" s="1171" t="s">
        <v>70</v>
      </c>
      <c r="I6" s="1171"/>
      <c r="J6" s="121"/>
      <c r="K6" s="805"/>
      <c r="L6" s="806"/>
      <c r="M6" s="806"/>
      <c r="N6" s="806"/>
      <c r="O6" s="806"/>
      <c r="P6" s="806"/>
      <c r="Q6" s="806"/>
      <c r="R6" s="806"/>
      <c r="S6" s="806"/>
      <c r="T6" s="806"/>
      <c r="U6" s="806"/>
      <c r="V6" s="114"/>
      <c r="W6" s="114"/>
      <c r="X6" s="114"/>
      <c r="Y6" s="114"/>
      <c r="Z6" s="114"/>
      <c r="AA6" s="114"/>
      <c r="AB6" s="114"/>
      <c r="AC6" s="114"/>
      <c r="AD6" s="114"/>
      <c r="AE6" s="114"/>
      <c r="AF6" s="114"/>
      <c r="AG6" s="115"/>
      <c r="AH6" s="808"/>
      <c r="AI6" s="1170"/>
      <c r="AJ6" s="1170"/>
      <c r="AK6" s="1170"/>
      <c r="AL6" s="1170"/>
      <c r="AM6" s="1170"/>
      <c r="AN6" s="1170"/>
      <c r="AO6" s="1170"/>
      <c r="AP6" s="1170"/>
      <c r="AQ6" s="1170"/>
      <c r="AR6" s="1170"/>
      <c r="AS6" s="1170"/>
      <c r="AT6" s="1170"/>
      <c r="AU6" s="810"/>
      <c r="AV6" s="803"/>
      <c r="AW6" s="803"/>
      <c r="AX6" s="803"/>
      <c r="AY6" s="803"/>
    </row>
    <row r="7" spans="1:51" ht="15" customHeight="1">
      <c r="A7" s="814"/>
      <c r="B7" s="814"/>
      <c r="C7" s="814"/>
      <c r="D7" s="866"/>
      <c r="E7" s="867"/>
      <c r="F7" s="808"/>
      <c r="G7" s="810"/>
      <c r="H7" s="1171" t="s">
        <v>68</v>
      </c>
      <c r="I7" s="1171"/>
      <c r="J7" s="121"/>
      <c r="K7" s="808"/>
      <c r="L7" s="1170"/>
      <c r="M7" s="1170"/>
      <c r="N7" s="1170"/>
      <c r="O7" s="1170"/>
      <c r="P7" s="1170"/>
      <c r="Q7" s="1170"/>
      <c r="R7" s="1170"/>
      <c r="S7" s="1170"/>
      <c r="T7" s="1170"/>
      <c r="U7" s="1170"/>
      <c r="V7" s="231"/>
      <c r="W7" s="231"/>
      <c r="X7" s="231"/>
      <c r="Y7" s="231"/>
      <c r="Z7" s="231"/>
      <c r="AA7" s="231"/>
      <c r="AB7" s="231"/>
      <c r="AC7" s="231"/>
      <c r="AD7" s="231"/>
      <c r="AE7" s="231"/>
      <c r="AF7" s="231"/>
      <c r="AG7" s="117"/>
      <c r="AH7" s="808"/>
      <c r="AI7" s="1170"/>
      <c r="AJ7" s="1170"/>
      <c r="AK7" s="1170"/>
      <c r="AL7" s="1170"/>
      <c r="AM7" s="1170"/>
      <c r="AN7" s="1170"/>
      <c r="AO7" s="1170"/>
      <c r="AP7" s="1170"/>
      <c r="AQ7" s="1170"/>
      <c r="AR7" s="1170"/>
      <c r="AS7" s="1170"/>
      <c r="AT7" s="1170"/>
      <c r="AU7" s="810"/>
      <c r="AV7" s="803"/>
      <c r="AW7" s="803"/>
      <c r="AX7" s="803"/>
      <c r="AY7" s="803"/>
    </row>
    <row r="8" spans="1:51" ht="15" customHeight="1" thickBot="1">
      <c r="A8" s="814"/>
      <c r="B8" s="814"/>
      <c r="C8" s="814"/>
      <c r="D8" s="868"/>
      <c r="E8" s="869"/>
      <c r="F8" s="811"/>
      <c r="G8" s="813"/>
      <c r="H8" s="1171" t="s">
        <v>69</v>
      </c>
      <c r="I8" s="1171"/>
      <c r="J8" s="121" t="s">
        <v>425</v>
      </c>
      <c r="K8" s="811"/>
      <c r="L8" s="812"/>
      <c r="M8" s="812"/>
      <c r="N8" s="812"/>
      <c r="O8" s="812"/>
      <c r="P8" s="812"/>
      <c r="Q8" s="812"/>
      <c r="R8" s="812"/>
      <c r="S8" s="812"/>
      <c r="T8" s="812"/>
      <c r="U8" s="812"/>
      <c r="V8" s="118"/>
      <c r="W8" s="118"/>
      <c r="X8" s="118"/>
      <c r="Y8" s="118"/>
      <c r="Z8" s="118"/>
      <c r="AA8" s="118"/>
      <c r="AB8" s="118"/>
      <c r="AC8" s="118"/>
      <c r="AD8" s="118"/>
      <c r="AE8" s="118"/>
      <c r="AF8" s="118"/>
      <c r="AG8" s="119"/>
      <c r="AH8" s="808"/>
      <c r="AI8" s="1170"/>
      <c r="AJ8" s="1170"/>
      <c r="AK8" s="1170"/>
      <c r="AL8" s="1170"/>
      <c r="AM8" s="1170"/>
      <c r="AN8" s="1170"/>
      <c r="AO8" s="1170"/>
      <c r="AP8" s="1170"/>
      <c r="AQ8" s="1170"/>
      <c r="AR8" s="1170"/>
      <c r="AS8" s="1170"/>
      <c r="AT8" s="1170"/>
      <c r="AU8" s="810"/>
      <c r="AV8" s="803"/>
      <c r="AW8" s="803"/>
      <c r="AX8" s="803"/>
      <c r="AY8" s="803"/>
    </row>
    <row r="9" spans="1:51" ht="15" customHeight="1">
      <c r="A9" s="783" t="s">
        <v>399</v>
      </c>
      <c r="B9" s="784"/>
      <c r="C9" s="785"/>
      <c r="D9" s="819"/>
      <c r="E9" s="820"/>
      <c r="F9" s="820"/>
      <c r="G9" s="820"/>
      <c r="H9" s="820"/>
      <c r="I9" s="820"/>
      <c r="J9" s="820"/>
      <c r="K9" s="821"/>
      <c r="L9" s="821"/>
      <c r="M9" s="821"/>
      <c r="N9" s="821"/>
      <c r="O9" s="821"/>
      <c r="P9" s="821"/>
      <c r="Q9" s="821"/>
      <c r="R9" s="821"/>
      <c r="S9" s="821"/>
      <c r="T9" s="821"/>
      <c r="U9" s="821"/>
      <c r="V9" s="821"/>
      <c r="W9" s="821"/>
      <c r="X9" s="821"/>
      <c r="Y9" s="821"/>
      <c r="Z9" s="821"/>
      <c r="AA9" s="821"/>
      <c r="AB9" s="821"/>
      <c r="AC9" s="821"/>
      <c r="AD9" s="821"/>
      <c r="AE9" s="821"/>
      <c r="AF9" s="821"/>
      <c r="AG9" s="822"/>
      <c r="AH9" s="808"/>
      <c r="AI9" s="1170"/>
      <c r="AJ9" s="1170"/>
      <c r="AK9" s="1170"/>
      <c r="AL9" s="1170"/>
      <c r="AM9" s="1170"/>
      <c r="AN9" s="1170"/>
      <c r="AO9" s="1170"/>
      <c r="AP9" s="1170"/>
      <c r="AQ9" s="1170"/>
      <c r="AR9" s="1170"/>
      <c r="AS9" s="1170"/>
      <c r="AT9" s="1170"/>
      <c r="AU9" s="810"/>
      <c r="AV9" s="803"/>
      <c r="AW9" s="803"/>
      <c r="AX9" s="803"/>
      <c r="AY9" s="803"/>
    </row>
    <row r="10" spans="1:51" ht="15" customHeight="1">
      <c r="A10" s="816" t="s">
        <v>287</v>
      </c>
      <c r="B10" s="817"/>
      <c r="C10" s="818"/>
      <c r="D10" s="823" t="s">
        <v>500</v>
      </c>
      <c r="E10" s="821"/>
      <c r="F10" s="821"/>
      <c r="G10" s="821"/>
      <c r="H10" s="821"/>
      <c r="I10" s="821"/>
      <c r="J10" s="821"/>
      <c r="K10" s="821"/>
      <c r="L10" s="821"/>
      <c r="M10" s="821"/>
      <c r="N10" s="821"/>
      <c r="O10" s="821"/>
      <c r="P10" s="821"/>
      <c r="Q10" s="821"/>
      <c r="R10" s="821"/>
      <c r="S10" s="821"/>
      <c r="T10" s="821"/>
      <c r="U10" s="821"/>
      <c r="V10" s="821"/>
      <c r="W10" s="821"/>
      <c r="X10" s="821"/>
      <c r="Y10" s="821"/>
      <c r="Z10" s="821"/>
      <c r="AA10" s="821"/>
      <c r="AB10" s="821"/>
      <c r="AC10" s="821"/>
      <c r="AD10" s="821"/>
      <c r="AE10" s="821"/>
      <c r="AF10" s="821"/>
      <c r="AG10" s="822"/>
      <c r="AH10" s="811"/>
      <c r="AI10" s="812"/>
      <c r="AJ10" s="812"/>
      <c r="AK10" s="812"/>
      <c r="AL10" s="812"/>
      <c r="AM10" s="812"/>
      <c r="AN10" s="812"/>
      <c r="AO10" s="812"/>
      <c r="AP10" s="812"/>
      <c r="AQ10" s="812"/>
      <c r="AR10" s="812"/>
      <c r="AS10" s="812"/>
      <c r="AT10" s="812"/>
      <c r="AU10" s="813"/>
      <c r="AV10" s="803"/>
      <c r="AW10" s="803"/>
      <c r="AX10" s="803"/>
      <c r="AY10" s="803"/>
    </row>
    <row r="11" spans="1:51" ht="39.75" customHeight="1">
      <c r="A11" s="792" t="s">
        <v>168</v>
      </c>
      <c r="B11" s="797"/>
      <c r="C11" s="797"/>
      <c r="D11" s="797"/>
      <c r="E11" s="797"/>
      <c r="F11" s="793"/>
      <c r="G11" s="792" t="s">
        <v>278</v>
      </c>
      <c r="H11" s="793"/>
      <c r="I11" s="795" t="s">
        <v>179</v>
      </c>
      <c r="J11" s="795" t="s">
        <v>279</v>
      </c>
      <c r="K11" s="795" t="s">
        <v>323</v>
      </c>
      <c r="L11" s="795" t="s">
        <v>363</v>
      </c>
      <c r="M11" s="795" t="s">
        <v>167</v>
      </c>
      <c r="N11" s="795" t="s">
        <v>182</v>
      </c>
      <c r="O11" s="792" t="s">
        <v>284</v>
      </c>
      <c r="P11" s="797"/>
      <c r="Q11" s="797"/>
      <c r="R11" s="797"/>
      <c r="S11" s="793"/>
      <c r="T11" s="795" t="s">
        <v>173</v>
      </c>
      <c r="U11" s="795" t="s">
        <v>285</v>
      </c>
      <c r="V11" s="780" t="s">
        <v>370</v>
      </c>
      <c r="W11" s="781"/>
      <c r="X11" s="781"/>
      <c r="Y11" s="781"/>
      <c r="Z11" s="781"/>
      <c r="AA11" s="781"/>
      <c r="AB11" s="781"/>
      <c r="AC11" s="781"/>
      <c r="AD11" s="781"/>
      <c r="AE11" s="781"/>
      <c r="AF11" s="781"/>
      <c r="AG11" s="782"/>
      <c r="AH11" s="780" t="s">
        <v>87</v>
      </c>
      <c r="AI11" s="781"/>
      <c r="AJ11" s="781"/>
      <c r="AK11" s="781"/>
      <c r="AL11" s="781"/>
      <c r="AM11" s="781"/>
      <c r="AN11" s="781"/>
      <c r="AO11" s="781"/>
      <c r="AP11" s="781"/>
      <c r="AQ11" s="781"/>
      <c r="AR11" s="781"/>
      <c r="AS11" s="782"/>
      <c r="AT11" s="792" t="s">
        <v>8</v>
      </c>
      <c r="AU11" s="793"/>
      <c r="AV11" s="803"/>
      <c r="AW11" s="803"/>
      <c r="AX11" s="803"/>
      <c r="AY11" s="803"/>
    </row>
    <row r="12" spans="1:51" ht="42.75">
      <c r="A12" s="120" t="s">
        <v>169</v>
      </c>
      <c r="B12" s="120" t="s">
        <v>170</v>
      </c>
      <c r="C12" s="120" t="s">
        <v>171</v>
      </c>
      <c r="D12" s="120" t="s">
        <v>178</v>
      </c>
      <c r="E12" s="120" t="s">
        <v>185</v>
      </c>
      <c r="F12" s="120" t="s">
        <v>186</v>
      </c>
      <c r="G12" s="120" t="s">
        <v>277</v>
      </c>
      <c r="H12" s="120" t="s">
        <v>184</v>
      </c>
      <c r="I12" s="796"/>
      <c r="J12" s="796"/>
      <c r="K12" s="796"/>
      <c r="L12" s="796"/>
      <c r="M12" s="796"/>
      <c r="N12" s="796"/>
      <c r="O12" s="120">
        <v>2020</v>
      </c>
      <c r="P12" s="120">
        <v>2021</v>
      </c>
      <c r="Q12" s="120">
        <v>2022</v>
      </c>
      <c r="R12" s="393">
        <v>2023</v>
      </c>
      <c r="S12" s="120">
        <v>2024</v>
      </c>
      <c r="T12" s="796"/>
      <c r="U12" s="796"/>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96"/>
      <c r="AW12" s="796"/>
      <c r="AX12" s="796"/>
      <c r="AY12" s="796"/>
    </row>
    <row r="13" spans="1:51" ht="312" customHeight="1">
      <c r="A13" s="121"/>
      <c r="B13" s="121"/>
      <c r="C13" s="121"/>
      <c r="D13" s="121"/>
      <c r="E13" s="121" t="s">
        <v>425</v>
      </c>
      <c r="F13" s="121"/>
      <c r="G13" s="122" t="s">
        <v>717</v>
      </c>
      <c r="H13" s="121"/>
      <c r="I13" s="313" t="s">
        <v>583</v>
      </c>
      <c r="J13" s="313" t="s">
        <v>584</v>
      </c>
      <c r="K13" s="124" t="s">
        <v>430</v>
      </c>
      <c r="L13" s="314" t="s">
        <v>450</v>
      </c>
      <c r="M13" s="308" t="s">
        <v>585</v>
      </c>
      <c r="N13" s="313" t="s">
        <v>586</v>
      </c>
      <c r="O13" s="123"/>
      <c r="P13" s="123"/>
      <c r="Q13" s="123"/>
      <c r="R13" s="399">
        <v>6</v>
      </c>
      <c r="S13" s="123"/>
      <c r="T13" s="121" t="s">
        <v>433</v>
      </c>
      <c r="U13" s="122" t="s">
        <v>587</v>
      </c>
      <c r="V13" s="315">
        <v>1</v>
      </c>
      <c r="W13" s="315">
        <v>1</v>
      </c>
      <c r="X13" s="315"/>
      <c r="Y13" s="315">
        <v>1</v>
      </c>
      <c r="Z13" s="315"/>
      <c r="AA13" s="315"/>
      <c r="AB13" s="315">
        <v>1</v>
      </c>
      <c r="AC13" s="315">
        <v>1</v>
      </c>
      <c r="AD13" s="315"/>
      <c r="AE13" s="315">
        <v>1</v>
      </c>
      <c r="AF13" s="316"/>
      <c r="AG13" s="316"/>
      <c r="AH13" s="465">
        <v>1</v>
      </c>
      <c r="AI13" s="459">
        <v>0</v>
      </c>
      <c r="AJ13" s="459"/>
      <c r="AK13" s="459">
        <v>0</v>
      </c>
      <c r="AL13" s="459"/>
      <c r="AM13" s="459"/>
      <c r="AN13" s="372">
        <v>1</v>
      </c>
      <c r="AO13" s="471">
        <v>1</v>
      </c>
      <c r="AP13" s="465"/>
      <c r="AQ13" s="459">
        <v>1</v>
      </c>
      <c r="AR13" s="459"/>
      <c r="AS13" s="459"/>
      <c r="AT13" s="485">
        <f>SUM(AH13:AS13)</f>
        <v>4</v>
      </c>
      <c r="AU13" s="379">
        <f>+AT13/R13</f>
        <v>0.6666666666666666</v>
      </c>
      <c r="AV13" s="491" t="s">
        <v>961</v>
      </c>
      <c r="AW13" s="1207" t="s">
        <v>962</v>
      </c>
      <c r="AX13" s="445" t="s">
        <v>903</v>
      </c>
      <c r="AY13" s="494" t="s">
        <v>948</v>
      </c>
    </row>
    <row r="14" spans="1:51" s="324" customFormat="1" ht="287.25" customHeight="1">
      <c r="A14" s="397"/>
      <c r="B14" s="317"/>
      <c r="C14" s="317"/>
      <c r="D14" s="317"/>
      <c r="E14" s="121" t="s">
        <v>425</v>
      </c>
      <c r="F14" s="317"/>
      <c r="G14" s="122" t="s">
        <v>717</v>
      </c>
      <c r="H14" s="317"/>
      <c r="I14" s="318" t="s">
        <v>588</v>
      </c>
      <c r="J14" s="318" t="s">
        <v>589</v>
      </c>
      <c r="K14" s="319" t="s">
        <v>430</v>
      </c>
      <c r="L14" s="320" t="s">
        <v>450</v>
      </c>
      <c r="M14" s="321" t="s">
        <v>590</v>
      </c>
      <c r="N14" s="318" t="s">
        <v>589</v>
      </c>
      <c r="O14" s="322"/>
      <c r="P14" s="322"/>
      <c r="Q14" s="322"/>
      <c r="R14" s="399">
        <v>1</v>
      </c>
      <c r="S14" s="322"/>
      <c r="T14" s="232" t="s">
        <v>591</v>
      </c>
      <c r="U14" s="232" t="s">
        <v>592</v>
      </c>
      <c r="V14" s="315"/>
      <c r="W14" s="315"/>
      <c r="X14" s="315"/>
      <c r="Y14" s="315"/>
      <c r="Z14" s="315"/>
      <c r="AA14" s="315"/>
      <c r="AB14" s="315"/>
      <c r="AC14" s="315"/>
      <c r="AD14" s="315">
        <v>1</v>
      </c>
      <c r="AE14" s="315"/>
      <c r="AF14" s="316"/>
      <c r="AG14" s="316"/>
      <c r="AH14" s="416"/>
      <c r="AI14" s="323"/>
      <c r="AJ14" s="323"/>
      <c r="AK14" s="323"/>
      <c r="AL14" s="323"/>
      <c r="AM14" s="323"/>
      <c r="AN14" s="501"/>
      <c r="AO14" s="416"/>
      <c r="AP14" s="532">
        <v>1</v>
      </c>
      <c r="AQ14" s="323"/>
      <c r="AR14" s="323"/>
      <c r="AS14" s="323"/>
      <c r="AT14" s="124">
        <f>SUM(AH14:AS14)</f>
        <v>1</v>
      </c>
      <c r="AU14" s="379">
        <f>+AT14/R14</f>
        <v>1</v>
      </c>
      <c r="AV14" s="1208" t="s">
        <v>963</v>
      </c>
      <c r="AW14" s="443" t="s">
        <v>964</v>
      </c>
      <c r="AX14" s="494" t="s">
        <v>948</v>
      </c>
      <c r="AY14" s="494" t="s">
        <v>948</v>
      </c>
    </row>
    <row r="15" spans="1:51" s="326" customFormat="1" ht="318" customHeight="1">
      <c r="A15" s="398"/>
      <c r="B15" s="325"/>
      <c r="C15" s="325"/>
      <c r="D15" s="325"/>
      <c r="E15" s="121" t="s">
        <v>425</v>
      </c>
      <c r="F15" s="325"/>
      <c r="G15" s="122" t="s">
        <v>717</v>
      </c>
      <c r="H15" s="325"/>
      <c r="I15" s="318" t="s">
        <v>764</v>
      </c>
      <c r="J15" s="318" t="s">
        <v>593</v>
      </c>
      <c r="K15" s="319" t="s">
        <v>453</v>
      </c>
      <c r="L15" s="320" t="s">
        <v>450</v>
      </c>
      <c r="M15" s="321" t="s">
        <v>431</v>
      </c>
      <c r="N15" s="318" t="s">
        <v>594</v>
      </c>
      <c r="O15" s="319"/>
      <c r="P15" s="319"/>
      <c r="Q15" s="319"/>
      <c r="R15" s="400">
        <v>1</v>
      </c>
      <c r="S15" s="319"/>
      <c r="T15" s="325" t="s">
        <v>460</v>
      </c>
      <c r="U15" s="232" t="s">
        <v>595</v>
      </c>
      <c r="V15" s="392">
        <v>1</v>
      </c>
      <c r="W15" s="392">
        <v>1</v>
      </c>
      <c r="X15" s="392">
        <v>1</v>
      </c>
      <c r="Y15" s="392">
        <v>1</v>
      </c>
      <c r="Z15" s="392">
        <v>1</v>
      </c>
      <c r="AA15" s="392">
        <v>1</v>
      </c>
      <c r="AB15" s="392">
        <v>1</v>
      </c>
      <c r="AC15" s="392">
        <v>1</v>
      </c>
      <c r="AD15" s="392">
        <v>1</v>
      </c>
      <c r="AE15" s="392">
        <v>1</v>
      </c>
      <c r="AF15" s="392">
        <v>1</v>
      </c>
      <c r="AG15" s="392">
        <v>1</v>
      </c>
      <c r="AH15" s="392">
        <v>0.8444</v>
      </c>
      <c r="AI15" s="444">
        <v>1.16</v>
      </c>
      <c r="AJ15" s="444">
        <v>1</v>
      </c>
      <c r="AK15" s="444">
        <v>1</v>
      </c>
      <c r="AL15" s="444">
        <v>1</v>
      </c>
      <c r="AM15" s="444">
        <v>1</v>
      </c>
      <c r="AN15" s="502">
        <v>1</v>
      </c>
      <c r="AO15" s="382">
        <v>1</v>
      </c>
      <c r="AP15" s="382">
        <v>1</v>
      </c>
      <c r="AQ15" s="382">
        <v>1</v>
      </c>
      <c r="AR15" s="319"/>
      <c r="AS15" s="319"/>
      <c r="AT15" s="127">
        <f>AVERAGE(AH15:AS15)</f>
        <v>1.00044</v>
      </c>
      <c r="AU15" s="379">
        <f>+(SUM(AH15:AS15)/+SUM(V15:AG15))</f>
        <v>0.8337</v>
      </c>
      <c r="AV15" s="486" t="s">
        <v>965</v>
      </c>
      <c r="AW15" s="1209" t="s">
        <v>966</v>
      </c>
      <c r="AX15" s="445" t="s">
        <v>903</v>
      </c>
      <c r="AY15" s="494" t="s">
        <v>948</v>
      </c>
    </row>
    <row r="16" spans="1:51" s="326" customFormat="1" ht="249.75" customHeight="1">
      <c r="A16" s="398"/>
      <c r="B16" s="325"/>
      <c r="C16" s="325"/>
      <c r="D16" s="325"/>
      <c r="E16" s="121" t="s">
        <v>425</v>
      </c>
      <c r="F16" s="325"/>
      <c r="G16" s="122" t="s">
        <v>717</v>
      </c>
      <c r="H16" s="325"/>
      <c r="I16" s="318" t="s">
        <v>765</v>
      </c>
      <c r="J16" s="318" t="s">
        <v>766</v>
      </c>
      <c r="K16" s="319" t="s">
        <v>453</v>
      </c>
      <c r="L16" s="320" t="s">
        <v>450</v>
      </c>
      <c r="M16" s="321" t="s">
        <v>431</v>
      </c>
      <c r="N16" s="318" t="s">
        <v>767</v>
      </c>
      <c r="O16" s="319"/>
      <c r="P16" s="319"/>
      <c r="Q16" s="319"/>
      <c r="R16" s="400">
        <v>0.7</v>
      </c>
      <c r="S16" s="319"/>
      <c r="T16" s="325" t="s">
        <v>460</v>
      </c>
      <c r="U16" s="232" t="s">
        <v>595</v>
      </c>
      <c r="V16" s="392">
        <v>0.7</v>
      </c>
      <c r="W16" s="392">
        <v>0.7</v>
      </c>
      <c r="X16" s="392">
        <v>0.7</v>
      </c>
      <c r="Y16" s="392">
        <v>0.7</v>
      </c>
      <c r="Z16" s="392">
        <v>0.7</v>
      </c>
      <c r="AA16" s="392">
        <v>0.7</v>
      </c>
      <c r="AB16" s="392">
        <v>0.7</v>
      </c>
      <c r="AC16" s="392">
        <v>0.7</v>
      </c>
      <c r="AD16" s="392">
        <v>0.7</v>
      </c>
      <c r="AE16" s="392">
        <v>0.7</v>
      </c>
      <c r="AF16" s="392">
        <v>0.7</v>
      </c>
      <c r="AG16" s="392">
        <v>0.7</v>
      </c>
      <c r="AH16" s="382">
        <v>0.4651</v>
      </c>
      <c r="AI16" s="444">
        <v>0.79</v>
      </c>
      <c r="AJ16" s="444">
        <v>0.92</v>
      </c>
      <c r="AK16" s="444">
        <v>0.91</v>
      </c>
      <c r="AL16" s="444">
        <v>0.92</v>
      </c>
      <c r="AM16" s="382">
        <v>0.89</v>
      </c>
      <c r="AN16" s="503">
        <v>0.89</v>
      </c>
      <c r="AO16" s="392">
        <v>0.93</v>
      </c>
      <c r="AP16" s="392">
        <v>0.92</v>
      </c>
      <c r="AQ16" s="497">
        <v>0.92</v>
      </c>
      <c r="AR16" s="319"/>
      <c r="AS16" s="319"/>
      <c r="AT16" s="127">
        <f>AVERAGE(AH16:AS16)</f>
        <v>0.85551</v>
      </c>
      <c r="AU16" s="379">
        <f>+(SUM(AH16:AS16)/+SUM(V16:AG16))</f>
        <v>1.0184642857142856</v>
      </c>
      <c r="AV16" s="510" t="s">
        <v>967</v>
      </c>
      <c r="AW16" s="486" t="s">
        <v>968</v>
      </c>
      <c r="AX16" s="445" t="s">
        <v>903</v>
      </c>
      <c r="AY16" s="494" t="s">
        <v>948</v>
      </c>
    </row>
    <row r="17" spans="1:51" s="326" customFormat="1" ht="294" customHeight="1">
      <c r="A17" s="325"/>
      <c r="B17" s="325"/>
      <c r="C17" s="325"/>
      <c r="D17" s="325"/>
      <c r="E17" s="121" t="s">
        <v>425</v>
      </c>
      <c r="F17" s="325"/>
      <c r="G17" s="122" t="s">
        <v>717</v>
      </c>
      <c r="H17" s="325"/>
      <c r="I17" s="318" t="s">
        <v>596</v>
      </c>
      <c r="J17" s="318" t="s">
        <v>597</v>
      </c>
      <c r="K17" s="319" t="s">
        <v>430</v>
      </c>
      <c r="L17" s="325" t="s">
        <v>450</v>
      </c>
      <c r="M17" s="321" t="s">
        <v>598</v>
      </c>
      <c r="N17" s="318" t="s">
        <v>599</v>
      </c>
      <c r="O17" s="319"/>
      <c r="P17" s="319"/>
      <c r="Q17" s="319"/>
      <c r="R17" s="401">
        <v>2</v>
      </c>
      <c r="S17" s="319"/>
      <c r="T17" s="325" t="s">
        <v>455</v>
      </c>
      <c r="U17" s="232" t="s">
        <v>600</v>
      </c>
      <c r="V17" s="316"/>
      <c r="W17" s="316"/>
      <c r="X17" s="316"/>
      <c r="Y17" s="316"/>
      <c r="Z17" s="316"/>
      <c r="AA17" s="316"/>
      <c r="AB17" s="316">
        <v>1</v>
      </c>
      <c r="AC17" s="316"/>
      <c r="AD17" s="316"/>
      <c r="AE17" s="316"/>
      <c r="AF17" s="316"/>
      <c r="AG17" s="316">
        <v>1</v>
      </c>
      <c r="AH17" s="417"/>
      <c r="AI17" s="319"/>
      <c r="AJ17" s="319"/>
      <c r="AK17" s="319"/>
      <c r="AL17" s="319"/>
      <c r="AM17" s="319"/>
      <c r="AN17" s="319">
        <v>1</v>
      </c>
      <c r="AO17" s="417"/>
      <c r="AP17" s="417"/>
      <c r="AQ17" s="319"/>
      <c r="AR17" s="319"/>
      <c r="AS17" s="319"/>
      <c r="AT17" s="124">
        <f>SUM(AH17:AS17)</f>
        <v>1</v>
      </c>
      <c r="AU17" s="379">
        <f>+AT17/R17</f>
        <v>0.5</v>
      </c>
      <c r="AV17" s="496" t="s">
        <v>901</v>
      </c>
      <c r="AW17" s="321" t="s">
        <v>969</v>
      </c>
      <c r="AX17" s="445" t="s">
        <v>903</v>
      </c>
      <c r="AY17" s="494" t="s">
        <v>948</v>
      </c>
    </row>
    <row r="18" spans="1:51" ht="54" customHeight="1">
      <c r="A18" s="798" t="s">
        <v>64</v>
      </c>
      <c r="B18" s="798"/>
      <c r="C18" s="798"/>
      <c r="D18" s="794" t="s">
        <v>66</v>
      </c>
      <c r="E18" s="794"/>
      <c r="F18" s="794"/>
      <c r="G18" s="794"/>
      <c r="H18" s="794"/>
      <c r="I18" s="794"/>
      <c r="J18" s="799" t="s">
        <v>300</v>
      </c>
      <c r="K18" s="799"/>
      <c r="L18" s="799"/>
      <c r="M18" s="799"/>
      <c r="N18" s="799"/>
      <c r="O18" s="799"/>
      <c r="P18" s="794" t="s">
        <v>66</v>
      </c>
      <c r="Q18" s="794"/>
      <c r="R18" s="794"/>
      <c r="S18" s="794"/>
      <c r="T18" s="794"/>
      <c r="U18" s="794"/>
      <c r="V18" s="794" t="s">
        <v>66</v>
      </c>
      <c r="W18" s="794"/>
      <c r="X18" s="794"/>
      <c r="Y18" s="794"/>
      <c r="Z18" s="794"/>
      <c r="AA18" s="794"/>
      <c r="AB18" s="794"/>
      <c r="AC18" s="794"/>
      <c r="AD18" s="794" t="s">
        <v>66</v>
      </c>
      <c r="AE18" s="794"/>
      <c r="AF18" s="794"/>
      <c r="AG18" s="794"/>
      <c r="AH18" s="794"/>
      <c r="AI18" s="794"/>
      <c r="AJ18" s="794"/>
      <c r="AK18" s="794"/>
      <c r="AL18" s="794"/>
      <c r="AM18" s="794"/>
      <c r="AN18" s="794"/>
      <c r="AO18" s="794"/>
      <c r="AP18" s="799" t="s">
        <v>318</v>
      </c>
      <c r="AQ18" s="799"/>
      <c r="AR18" s="799"/>
      <c r="AS18" s="799"/>
      <c r="AT18" s="794" t="s">
        <v>13</v>
      </c>
      <c r="AU18" s="794"/>
      <c r="AV18" s="794"/>
      <c r="AW18" s="794"/>
      <c r="AX18" s="794"/>
      <c r="AY18" s="794"/>
    </row>
    <row r="19" spans="1:51" ht="30" customHeight="1">
      <c r="A19" s="798"/>
      <c r="B19" s="798"/>
      <c r="C19" s="798"/>
      <c r="D19" s="794" t="s">
        <v>812</v>
      </c>
      <c r="E19" s="794"/>
      <c r="F19" s="794"/>
      <c r="G19" s="794"/>
      <c r="H19" s="794"/>
      <c r="I19" s="794"/>
      <c r="J19" s="799"/>
      <c r="K19" s="799"/>
      <c r="L19" s="799"/>
      <c r="M19" s="799"/>
      <c r="N19" s="799"/>
      <c r="O19" s="799"/>
      <c r="P19" s="794" t="s">
        <v>845</v>
      </c>
      <c r="Q19" s="794"/>
      <c r="R19" s="794"/>
      <c r="S19" s="794"/>
      <c r="T19" s="794"/>
      <c r="U19" s="794"/>
      <c r="V19" s="794" t="s">
        <v>65</v>
      </c>
      <c r="W19" s="794"/>
      <c r="X19" s="794"/>
      <c r="Y19" s="794"/>
      <c r="Z19" s="794"/>
      <c r="AA19" s="794"/>
      <c r="AB19" s="794"/>
      <c r="AC19" s="794"/>
      <c r="AD19" s="794" t="s">
        <v>65</v>
      </c>
      <c r="AE19" s="794"/>
      <c r="AF19" s="794"/>
      <c r="AG19" s="794"/>
      <c r="AH19" s="794"/>
      <c r="AI19" s="794"/>
      <c r="AJ19" s="794"/>
      <c r="AK19" s="794"/>
      <c r="AL19" s="794"/>
      <c r="AM19" s="794"/>
      <c r="AN19" s="794"/>
      <c r="AO19" s="794"/>
      <c r="AP19" s="799"/>
      <c r="AQ19" s="799"/>
      <c r="AR19" s="799"/>
      <c r="AS19" s="799"/>
      <c r="AT19" s="794" t="s">
        <v>769</v>
      </c>
      <c r="AU19" s="794"/>
      <c r="AV19" s="794"/>
      <c r="AW19" s="794"/>
      <c r="AX19" s="794"/>
      <c r="AY19" s="794"/>
    </row>
    <row r="20" spans="1:51" ht="30" customHeight="1">
      <c r="A20" s="798"/>
      <c r="B20" s="798"/>
      <c r="C20" s="798"/>
      <c r="D20" s="794" t="s">
        <v>813</v>
      </c>
      <c r="E20" s="794"/>
      <c r="F20" s="794"/>
      <c r="G20" s="794"/>
      <c r="H20" s="794"/>
      <c r="I20" s="794"/>
      <c r="J20" s="799"/>
      <c r="K20" s="799"/>
      <c r="L20" s="799"/>
      <c r="M20" s="799"/>
      <c r="N20" s="799"/>
      <c r="O20" s="799"/>
      <c r="P20" s="794" t="s">
        <v>814</v>
      </c>
      <c r="Q20" s="794"/>
      <c r="R20" s="794"/>
      <c r="S20" s="794"/>
      <c r="T20" s="794"/>
      <c r="U20" s="794"/>
      <c r="V20" s="794" t="s">
        <v>297</v>
      </c>
      <c r="W20" s="794"/>
      <c r="X20" s="794"/>
      <c r="Y20" s="794"/>
      <c r="Z20" s="794"/>
      <c r="AA20" s="794"/>
      <c r="AB20" s="794"/>
      <c r="AC20" s="794"/>
      <c r="AD20" s="794" t="s">
        <v>297</v>
      </c>
      <c r="AE20" s="794"/>
      <c r="AF20" s="794"/>
      <c r="AG20" s="794"/>
      <c r="AH20" s="794"/>
      <c r="AI20" s="794"/>
      <c r="AJ20" s="794"/>
      <c r="AK20" s="794"/>
      <c r="AL20" s="794"/>
      <c r="AM20" s="794"/>
      <c r="AN20" s="794"/>
      <c r="AO20" s="794"/>
      <c r="AP20" s="799"/>
      <c r="AQ20" s="799"/>
      <c r="AR20" s="799"/>
      <c r="AS20" s="799"/>
      <c r="AT20" s="794" t="s">
        <v>75</v>
      </c>
      <c r="AU20" s="794"/>
      <c r="AV20" s="794"/>
      <c r="AW20" s="794"/>
      <c r="AX20" s="794"/>
      <c r="AY20" s="794"/>
    </row>
    <row r="27" ht="15">
      <c r="S27" s="113" t="s">
        <v>601</v>
      </c>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T19:AY19"/>
    <mergeCell ref="AH11:AS11"/>
    <mergeCell ref="AT11:AU11"/>
    <mergeCell ref="A18:C20"/>
    <mergeCell ref="D18:I18"/>
    <mergeCell ref="J18:O20"/>
    <mergeCell ref="P18:U18"/>
    <mergeCell ref="V18:AC18"/>
    <mergeCell ref="AD18:AO18"/>
    <mergeCell ref="AP18:AS20"/>
    <mergeCell ref="D20:I20"/>
    <mergeCell ref="P20:U20"/>
    <mergeCell ref="V20:AC20"/>
    <mergeCell ref="AD20:AO20"/>
    <mergeCell ref="AT20:AY20"/>
    <mergeCell ref="AT18:AY18"/>
    <mergeCell ref="D19:I19"/>
    <mergeCell ref="P19:U19"/>
    <mergeCell ref="V19:AC19"/>
    <mergeCell ref="AD19:AO19"/>
  </mergeCells>
  <printOptions/>
  <pageMargins left="0.7" right="0.7" top="0.75" bottom="0.75" header="0.3" footer="0.3"/>
  <pageSetup fitToHeight="1" fitToWidth="1" horizontalDpi="600" verticalDpi="600" orientation="landscape" scale="15" r:id="rId3"/>
  <legacyDrawing r:id="rId2"/>
</worksheet>
</file>

<file path=xl/worksheets/sheet22.xml><?xml version="1.0" encoding="utf-8"?>
<worksheet xmlns="http://schemas.openxmlformats.org/spreadsheetml/2006/main" xmlns:r="http://schemas.openxmlformats.org/officeDocument/2006/relationships">
  <sheetPr>
    <tabColor rgb="FF00B0F0"/>
    <pageSetUpPr fitToPage="1"/>
  </sheetPr>
  <dimension ref="A1:AY18"/>
  <sheetViews>
    <sheetView view="pageBreakPreview" zoomScale="60" zoomScaleNormal="70" zoomScalePageLayoutView="0" workbookViewId="0" topLeftCell="AG12">
      <selection activeCell="AQ13" sqref="AQ13:AQ15"/>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7" width="36.7109375" style="113" customWidth="1"/>
    <col min="8" max="8" width="14.7109375" style="113" customWidth="1"/>
    <col min="9" max="9" width="40.7109375" style="113" customWidth="1"/>
    <col min="10" max="10" width="32.140625" style="113" customWidth="1"/>
    <col min="11" max="11" width="16.8515625" style="113" customWidth="1"/>
    <col min="12" max="13" width="15.28125" style="113" customWidth="1"/>
    <col min="14" max="14" width="21.140625" style="113" customWidth="1"/>
    <col min="15" max="19" width="8.7109375" style="113" customWidth="1"/>
    <col min="20" max="20" width="22.28125" style="113" customWidth="1"/>
    <col min="21" max="21" width="22.57421875" style="113" customWidth="1"/>
    <col min="22" max="45" width="8.28125" style="113" customWidth="1"/>
    <col min="46" max="46" width="17.140625" style="113" customWidth="1"/>
    <col min="47" max="47" width="15.8515625" style="217" customWidth="1"/>
    <col min="48" max="49" width="57.28125" style="113" customWidth="1"/>
    <col min="50" max="51" width="33.8515625" style="113" customWidth="1"/>
    <col min="52" max="16384" width="10.8515625" style="113" customWidth="1"/>
  </cols>
  <sheetData>
    <row r="1" spans="1:51" ht="15.75" customHeight="1">
      <c r="A1" s="777" t="s">
        <v>16</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M1" s="778"/>
      <c r="AN1" s="778"/>
      <c r="AO1" s="778"/>
      <c r="AP1" s="778"/>
      <c r="AQ1" s="778"/>
      <c r="AR1" s="778"/>
      <c r="AS1" s="778"/>
      <c r="AT1" s="778"/>
      <c r="AU1" s="778"/>
      <c r="AV1" s="778"/>
      <c r="AW1" s="779"/>
      <c r="AX1" s="1126" t="s">
        <v>423</v>
      </c>
      <c r="AY1" s="1127"/>
    </row>
    <row r="2" spans="1:51" ht="15.75" customHeight="1">
      <c r="A2" s="1152" t="s">
        <v>17</v>
      </c>
      <c r="B2" s="1153"/>
      <c r="C2" s="1153"/>
      <c r="D2" s="1153"/>
      <c r="E2" s="1153"/>
      <c r="F2" s="1153"/>
      <c r="G2" s="1153"/>
      <c r="H2" s="1153"/>
      <c r="I2" s="1153"/>
      <c r="J2" s="1153"/>
      <c r="K2" s="1153"/>
      <c r="L2" s="1153"/>
      <c r="M2" s="1153"/>
      <c r="N2" s="1153"/>
      <c r="O2" s="1153"/>
      <c r="P2" s="1153"/>
      <c r="Q2" s="1153"/>
      <c r="R2" s="1153"/>
      <c r="S2" s="1153"/>
      <c r="T2" s="1153"/>
      <c r="U2" s="1153"/>
      <c r="V2" s="1153"/>
      <c r="W2" s="1153"/>
      <c r="X2" s="1153"/>
      <c r="Y2" s="1153"/>
      <c r="Z2" s="1153"/>
      <c r="AA2" s="1153"/>
      <c r="AB2" s="1153"/>
      <c r="AC2" s="1153"/>
      <c r="AD2" s="1153"/>
      <c r="AE2" s="1153"/>
      <c r="AF2" s="1153"/>
      <c r="AG2" s="1153"/>
      <c r="AH2" s="1153"/>
      <c r="AI2" s="1153"/>
      <c r="AJ2" s="1153"/>
      <c r="AK2" s="1153"/>
      <c r="AL2" s="1153"/>
      <c r="AM2" s="1153"/>
      <c r="AN2" s="1153"/>
      <c r="AO2" s="1153"/>
      <c r="AP2" s="1153"/>
      <c r="AQ2" s="1153"/>
      <c r="AR2" s="1153"/>
      <c r="AS2" s="1153"/>
      <c r="AT2" s="1153"/>
      <c r="AU2" s="1153"/>
      <c r="AV2" s="1153"/>
      <c r="AW2" s="1154"/>
      <c r="AX2" s="1151" t="s">
        <v>418</v>
      </c>
      <c r="AY2" s="1172"/>
    </row>
    <row r="3" spans="1:51" ht="15" customHeight="1">
      <c r="A3" s="789" t="s">
        <v>195</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c r="AM3" s="790"/>
      <c r="AN3" s="790"/>
      <c r="AO3" s="790"/>
      <c r="AP3" s="790"/>
      <c r="AQ3" s="790"/>
      <c r="AR3" s="790"/>
      <c r="AS3" s="790"/>
      <c r="AT3" s="790"/>
      <c r="AU3" s="790"/>
      <c r="AV3" s="790"/>
      <c r="AW3" s="791"/>
      <c r="AX3" s="1151" t="s">
        <v>424</v>
      </c>
      <c r="AY3" s="1172"/>
    </row>
    <row r="4" spans="1:51" ht="15.75" customHeight="1">
      <c r="A4" s="777"/>
      <c r="B4" s="778"/>
      <c r="C4" s="778"/>
      <c r="D4" s="778"/>
      <c r="E4" s="778"/>
      <c r="F4" s="778"/>
      <c r="G4" s="778"/>
      <c r="H4" s="778"/>
      <c r="I4" s="778"/>
      <c r="J4" s="778"/>
      <c r="K4" s="778"/>
      <c r="L4" s="778"/>
      <c r="M4" s="778"/>
      <c r="N4" s="778"/>
      <c r="O4" s="778"/>
      <c r="P4" s="778"/>
      <c r="Q4" s="778"/>
      <c r="R4" s="778"/>
      <c r="S4" s="778"/>
      <c r="T4" s="778"/>
      <c r="U4" s="778"/>
      <c r="V4" s="778"/>
      <c r="W4" s="778"/>
      <c r="X4" s="778"/>
      <c r="Y4" s="778"/>
      <c r="Z4" s="778"/>
      <c r="AA4" s="778"/>
      <c r="AB4" s="778"/>
      <c r="AC4" s="778"/>
      <c r="AD4" s="778"/>
      <c r="AE4" s="778"/>
      <c r="AF4" s="778"/>
      <c r="AG4" s="778"/>
      <c r="AH4" s="778"/>
      <c r="AI4" s="778"/>
      <c r="AJ4" s="778"/>
      <c r="AK4" s="778"/>
      <c r="AL4" s="778"/>
      <c r="AM4" s="778"/>
      <c r="AN4" s="778"/>
      <c r="AO4" s="778"/>
      <c r="AP4" s="778"/>
      <c r="AQ4" s="778"/>
      <c r="AR4" s="778"/>
      <c r="AS4" s="778"/>
      <c r="AT4" s="778"/>
      <c r="AU4" s="778"/>
      <c r="AV4" s="778"/>
      <c r="AW4" s="779"/>
      <c r="AX4" s="776" t="s">
        <v>786</v>
      </c>
      <c r="AY4" s="776"/>
    </row>
    <row r="5" spans="1:51" ht="15" customHeight="1" thickBot="1">
      <c r="A5" s="780" t="s">
        <v>174</v>
      </c>
      <c r="B5" s="781"/>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2"/>
      <c r="AH5" s="805" t="s">
        <v>69</v>
      </c>
      <c r="AI5" s="806"/>
      <c r="AJ5" s="806"/>
      <c r="AK5" s="806"/>
      <c r="AL5" s="806"/>
      <c r="AM5" s="806"/>
      <c r="AN5" s="806"/>
      <c r="AO5" s="806"/>
      <c r="AP5" s="806"/>
      <c r="AQ5" s="806"/>
      <c r="AR5" s="806"/>
      <c r="AS5" s="806"/>
      <c r="AT5" s="806"/>
      <c r="AU5" s="807"/>
      <c r="AV5" s="795" t="s">
        <v>409</v>
      </c>
      <c r="AW5" s="795" t="s">
        <v>410</v>
      </c>
      <c r="AX5" s="795" t="s">
        <v>298</v>
      </c>
      <c r="AY5" s="795" t="s">
        <v>299</v>
      </c>
    </row>
    <row r="6" spans="1:51" ht="15" customHeight="1">
      <c r="A6" s="814" t="s">
        <v>71</v>
      </c>
      <c r="B6" s="814"/>
      <c r="C6" s="814"/>
      <c r="D6" s="864" t="s">
        <v>861</v>
      </c>
      <c r="E6" s="865"/>
      <c r="F6" s="805" t="s">
        <v>67</v>
      </c>
      <c r="G6" s="807"/>
      <c r="H6" s="1171" t="s">
        <v>70</v>
      </c>
      <c r="I6" s="1171"/>
      <c r="J6" s="121"/>
      <c r="K6" s="805"/>
      <c r="L6" s="806"/>
      <c r="M6" s="806"/>
      <c r="N6" s="806"/>
      <c r="O6" s="806"/>
      <c r="P6" s="806"/>
      <c r="Q6" s="806"/>
      <c r="R6" s="806"/>
      <c r="S6" s="806"/>
      <c r="T6" s="806"/>
      <c r="U6" s="806"/>
      <c r="V6" s="114"/>
      <c r="W6" s="114"/>
      <c r="X6" s="114"/>
      <c r="Y6" s="114"/>
      <c r="Z6" s="114"/>
      <c r="AA6" s="114"/>
      <c r="AB6" s="114"/>
      <c r="AC6" s="114"/>
      <c r="AD6" s="114"/>
      <c r="AE6" s="114"/>
      <c r="AF6" s="114"/>
      <c r="AG6" s="115"/>
      <c r="AH6" s="808"/>
      <c r="AI6" s="1170"/>
      <c r="AJ6" s="1170"/>
      <c r="AK6" s="1170"/>
      <c r="AL6" s="1170"/>
      <c r="AM6" s="1170"/>
      <c r="AN6" s="1170"/>
      <c r="AO6" s="1170"/>
      <c r="AP6" s="1170"/>
      <c r="AQ6" s="1170"/>
      <c r="AR6" s="1170"/>
      <c r="AS6" s="1170"/>
      <c r="AT6" s="1170"/>
      <c r="AU6" s="810"/>
      <c r="AV6" s="803"/>
      <c r="AW6" s="803"/>
      <c r="AX6" s="803"/>
      <c r="AY6" s="803"/>
    </row>
    <row r="7" spans="1:51" ht="15" customHeight="1">
      <c r="A7" s="814"/>
      <c r="B7" s="814"/>
      <c r="C7" s="814"/>
      <c r="D7" s="866"/>
      <c r="E7" s="867"/>
      <c r="F7" s="808"/>
      <c r="G7" s="810"/>
      <c r="H7" s="1171" t="s">
        <v>68</v>
      </c>
      <c r="I7" s="1171"/>
      <c r="J7" s="121"/>
      <c r="K7" s="808"/>
      <c r="L7" s="1170"/>
      <c r="M7" s="1170"/>
      <c r="N7" s="1170"/>
      <c r="O7" s="1170"/>
      <c r="P7" s="1170"/>
      <c r="Q7" s="1170"/>
      <c r="R7" s="1170"/>
      <c r="S7" s="1170"/>
      <c r="T7" s="1170"/>
      <c r="U7" s="1170"/>
      <c r="V7" s="231"/>
      <c r="W7" s="231"/>
      <c r="X7" s="231"/>
      <c r="Y7" s="231"/>
      <c r="Z7" s="231"/>
      <c r="AA7" s="231"/>
      <c r="AB7" s="231"/>
      <c r="AC7" s="231"/>
      <c r="AD7" s="231"/>
      <c r="AE7" s="231"/>
      <c r="AF7" s="231"/>
      <c r="AG7" s="117"/>
      <c r="AH7" s="808"/>
      <c r="AI7" s="1170"/>
      <c r="AJ7" s="1170"/>
      <c r="AK7" s="1170"/>
      <c r="AL7" s="1170"/>
      <c r="AM7" s="1170"/>
      <c r="AN7" s="1170"/>
      <c r="AO7" s="1170"/>
      <c r="AP7" s="1170"/>
      <c r="AQ7" s="1170"/>
      <c r="AR7" s="1170"/>
      <c r="AS7" s="1170"/>
      <c r="AT7" s="1170"/>
      <c r="AU7" s="810"/>
      <c r="AV7" s="803"/>
      <c r="AW7" s="803"/>
      <c r="AX7" s="803"/>
      <c r="AY7" s="803"/>
    </row>
    <row r="8" spans="1:51" ht="15" customHeight="1" thickBot="1">
      <c r="A8" s="814"/>
      <c r="B8" s="814"/>
      <c r="C8" s="814"/>
      <c r="D8" s="868"/>
      <c r="E8" s="869"/>
      <c r="F8" s="811"/>
      <c r="G8" s="813"/>
      <c r="H8" s="1171" t="s">
        <v>69</v>
      </c>
      <c r="I8" s="1171"/>
      <c r="J8" s="121" t="s">
        <v>425</v>
      </c>
      <c r="K8" s="811"/>
      <c r="L8" s="812"/>
      <c r="M8" s="812"/>
      <c r="N8" s="812"/>
      <c r="O8" s="812"/>
      <c r="P8" s="812"/>
      <c r="Q8" s="812"/>
      <c r="R8" s="812"/>
      <c r="S8" s="812"/>
      <c r="T8" s="812"/>
      <c r="U8" s="812"/>
      <c r="V8" s="118"/>
      <c r="W8" s="118"/>
      <c r="X8" s="118"/>
      <c r="Y8" s="118"/>
      <c r="Z8" s="118"/>
      <c r="AA8" s="118"/>
      <c r="AB8" s="118"/>
      <c r="AC8" s="118"/>
      <c r="AD8" s="118"/>
      <c r="AE8" s="118"/>
      <c r="AF8" s="118"/>
      <c r="AG8" s="119"/>
      <c r="AH8" s="808"/>
      <c r="AI8" s="1170"/>
      <c r="AJ8" s="1170"/>
      <c r="AK8" s="1170"/>
      <c r="AL8" s="1170"/>
      <c r="AM8" s="1170"/>
      <c r="AN8" s="1170"/>
      <c r="AO8" s="1170"/>
      <c r="AP8" s="1170"/>
      <c r="AQ8" s="1170"/>
      <c r="AR8" s="1170"/>
      <c r="AS8" s="1170"/>
      <c r="AT8" s="1170"/>
      <c r="AU8" s="810"/>
      <c r="AV8" s="803"/>
      <c r="AW8" s="803"/>
      <c r="AX8" s="803"/>
      <c r="AY8" s="803"/>
    </row>
    <row r="9" spans="1:51" ht="15" customHeight="1">
      <c r="A9" s="783" t="s">
        <v>399</v>
      </c>
      <c r="B9" s="784"/>
      <c r="C9" s="785"/>
      <c r="D9" s="819"/>
      <c r="E9" s="820"/>
      <c r="F9" s="820"/>
      <c r="G9" s="820"/>
      <c r="H9" s="820"/>
      <c r="I9" s="820"/>
      <c r="J9" s="820"/>
      <c r="K9" s="821"/>
      <c r="L9" s="821"/>
      <c r="M9" s="821"/>
      <c r="N9" s="821"/>
      <c r="O9" s="821"/>
      <c r="P9" s="821"/>
      <c r="Q9" s="821"/>
      <c r="R9" s="821"/>
      <c r="S9" s="821"/>
      <c r="T9" s="821"/>
      <c r="U9" s="821"/>
      <c r="V9" s="821"/>
      <c r="W9" s="821"/>
      <c r="X9" s="821"/>
      <c r="Y9" s="821"/>
      <c r="Z9" s="821"/>
      <c r="AA9" s="821"/>
      <c r="AB9" s="821"/>
      <c r="AC9" s="821"/>
      <c r="AD9" s="821"/>
      <c r="AE9" s="821"/>
      <c r="AF9" s="821"/>
      <c r="AG9" s="822"/>
      <c r="AH9" s="808"/>
      <c r="AI9" s="1170"/>
      <c r="AJ9" s="1170"/>
      <c r="AK9" s="1170"/>
      <c r="AL9" s="1170"/>
      <c r="AM9" s="1170"/>
      <c r="AN9" s="1170"/>
      <c r="AO9" s="1170"/>
      <c r="AP9" s="1170"/>
      <c r="AQ9" s="1170"/>
      <c r="AR9" s="1170"/>
      <c r="AS9" s="1170"/>
      <c r="AT9" s="1170"/>
      <c r="AU9" s="810"/>
      <c r="AV9" s="803"/>
      <c r="AW9" s="803"/>
      <c r="AX9" s="803"/>
      <c r="AY9" s="803"/>
    </row>
    <row r="10" spans="1:51" ht="15" customHeight="1">
      <c r="A10" s="816" t="s">
        <v>287</v>
      </c>
      <c r="B10" s="817"/>
      <c r="C10" s="818"/>
      <c r="D10" s="823" t="s">
        <v>500</v>
      </c>
      <c r="E10" s="821"/>
      <c r="F10" s="821"/>
      <c r="G10" s="821"/>
      <c r="H10" s="821"/>
      <c r="I10" s="821"/>
      <c r="J10" s="821"/>
      <c r="K10" s="821"/>
      <c r="L10" s="821"/>
      <c r="M10" s="821"/>
      <c r="N10" s="821"/>
      <c r="O10" s="821"/>
      <c r="P10" s="821"/>
      <c r="Q10" s="821"/>
      <c r="R10" s="821"/>
      <c r="S10" s="821"/>
      <c r="T10" s="821"/>
      <c r="U10" s="821"/>
      <c r="V10" s="821"/>
      <c r="W10" s="821"/>
      <c r="X10" s="821"/>
      <c r="Y10" s="821"/>
      <c r="Z10" s="821"/>
      <c r="AA10" s="821"/>
      <c r="AB10" s="821"/>
      <c r="AC10" s="821"/>
      <c r="AD10" s="821"/>
      <c r="AE10" s="821"/>
      <c r="AF10" s="821"/>
      <c r="AG10" s="822"/>
      <c r="AH10" s="811"/>
      <c r="AI10" s="812"/>
      <c r="AJ10" s="812"/>
      <c r="AK10" s="812"/>
      <c r="AL10" s="812"/>
      <c r="AM10" s="812"/>
      <c r="AN10" s="812"/>
      <c r="AO10" s="812"/>
      <c r="AP10" s="812"/>
      <c r="AQ10" s="812"/>
      <c r="AR10" s="812"/>
      <c r="AS10" s="812"/>
      <c r="AT10" s="812"/>
      <c r="AU10" s="813"/>
      <c r="AV10" s="803"/>
      <c r="AW10" s="803"/>
      <c r="AX10" s="803"/>
      <c r="AY10" s="803"/>
    </row>
    <row r="11" spans="1:51" ht="39.75" customHeight="1">
      <c r="A11" s="792" t="s">
        <v>168</v>
      </c>
      <c r="B11" s="797"/>
      <c r="C11" s="797"/>
      <c r="D11" s="797"/>
      <c r="E11" s="797"/>
      <c r="F11" s="793"/>
      <c r="G11" s="792" t="s">
        <v>278</v>
      </c>
      <c r="H11" s="793"/>
      <c r="I11" s="795" t="s">
        <v>179</v>
      </c>
      <c r="J11" s="795" t="s">
        <v>279</v>
      </c>
      <c r="K11" s="795" t="s">
        <v>323</v>
      </c>
      <c r="L11" s="795" t="s">
        <v>363</v>
      </c>
      <c r="M11" s="795" t="s">
        <v>167</v>
      </c>
      <c r="N11" s="795" t="s">
        <v>182</v>
      </c>
      <c r="O11" s="792" t="s">
        <v>284</v>
      </c>
      <c r="P11" s="797"/>
      <c r="Q11" s="797"/>
      <c r="R11" s="797"/>
      <c r="S11" s="793"/>
      <c r="T11" s="795" t="s">
        <v>173</v>
      </c>
      <c r="U11" s="795" t="s">
        <v>285</v>
      </c>
      <c r="V11" s="780" t="s">
        <v>370</v>
      </c>
      <c r="W11" s="781"/>
      <c r="X11" s="781"/>
      <c r="Y11" s="781"/>
      <c r="Z11" s="781"/>
      <c r="AA11" s="781"/>
      <c r="AB11" s="781"/>
      <c r="AC11" s="781"/>
      <c r="AD11" s="781"/>
      <c r="AE11" s="781"/>
      <c r="AF11" s="781"/>
      <c r="AG11" s="782"/>
      <c r="AH11" s="780" t="s">
        <v>87</v>
      </c>
      <c r="AI11" s="781"/>
      <c r="AJ11" s="781"/>
      <c r="AK11" s="781"/>
      <c r="AL11" s="781"/>
      <c r="AM11" s="781"/>
      <c r="AN11" s="781"/>
      <c r="AO11" s="781"/>
      <c r="AP11" s="781"/>
      <c r="AQ11" s="781"/>
      <c r="AR11" s="781"/>
      <c r="AS11" s="782"/>
      <c r="AT11" s="792" t="s">
        <v>8</v>
      </c>
      <c r="AU11" s="793"/>
      <c r="AV11" s="803"/>
      <c r="AW11" s="803"/>
      <c r="AX11" s="803"/>
      <c r="AY11" s="803"/>
    </row>
    <row r="12" spans="1:51" ht="42.75">
      <c r="A12" s="120" t="s">
        <v>169</v>
      </c>
      <c r="B12" s="120" t="s">
        <v>170</v>
      </c>
      <c r="C12" s="120" t="s">
        <v>171</v>
      </c>
      <c r="D12" s="120" t="s">
        <v>178</v>
      </c>
      <c r="E12" s="120" t="s">
        <v>185</v>
      </c>
      <c r="F12" s="120" t="s">
        <v>186</v>
      </c>
      <c r="G12" s="120" t="s">
        <v>277</v>
      </c>
      <c r="H12" s="120" t="s">
        <v>184</v>
      </c>
      <c r="I12" s="796"/>
      <c r="J12" s="796"/>
      <c r="K12" s="796"/>
      <c r="L12" s="796"/>
      <c r="M12" s="796"/>
      <c r="N12" s="796"/>
      <c r="O12" s="120">
        <v>2020</v>
      </c>
      <c r="P12" s="120">
        <v>2021</v>
      </c>
      <c r="Q12" s="120">
        <v>2022</v>
      </c>
      <c r="R12" s="120">
        <v>2023</v>
      </c>
      <c r="S12" s="120">
        <v>2024</v>
      </c>
      <c r="T12" s="796"/>
      <c r="U12" s="796"/>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96"/>
      <c r="AW12" s="796"/>
      <c r="AX12" s="796"/>
      <c r="AY12" s="796"/>
    </row>
    <row r="13" spans="1:51" ht="115.5" customHeight="1">
      <c r="A13" s="121"/>
      <c r="B13" s="121"/>
      <c r="C13" s="121"/>
      <c r="D13" s="121"/>
      <c r="E13" s="121" t="s">
        <v>425</v>
      </c>
      <c r="F13" s="121"/>
      <c r="G13" s="121" t="s">
        <v>519</v>
      </c>
      <c r="H13" s="121"/>
      <c r="I13" s="294" t="s">
        <v>520</v>
      </c>
      <c r="J13" s="294" t="s">
        <v>521</v>
      </c>
      <c r="K13" s="122" t="s">
        <v>430</v>
      </c>
      <c r="L13" s="122">
        <v>140</v>
      </c>
      <c r="M13" s="122" t="s">
        <v>523</v>
      </c>
      <c r="N13" s="122" t="s">
        <v>524</v>
      </c>
      <c r="O13" s="123"/>
      <c r="P13" s="123"/>
      <c r="Q13" s="123"/>
      <c r="R13" s="121">
        <v>50</v>
      </c>
      <c r="S13" s="123"/>
      <c r="T13" s="123" t="s">
        <v>455</v>
      </c>
      <c r="U13" s="122" t="s">
        <v>525</v>
      </c>
      <c r="V13" s="124"/>
      <c r="W13" s="124"/>
      <c r="X13" s="124"/>
      <c r="Y13" s="124"/>
      <c r="Z13" s="124"/>
      <c r="AA13" s="121">
        <v>25</v>
      </c>
      <c r="AB13" s="121"/>
      <c r="AC13" s="121"/>
      <c r="AD13" s="121"/>
      <c r="AE13" s="121"/>
      <c r="AF13" s="121"/>
      <c r="AG13" s="121">
        <v>25</v>
      </c>
      <c r="AH13" s="124"/>
      <c r="AI13" s="124"/>
      <c r="AJ13" s="124"/>
      <c r="AK13" s="124"/>
      <c r="AL13" s="124"/>
      <c r="AM13" s="124">
        <v>44</v>
      </c>
      <c r="AN13" s="124"/>
      <c r="AO13" s="124"/>
      <c r="AP13" s="124"/>
      <c r="AQ13" s="124"/>
      <c r="AR13" s="124"/>
      <c r="AS13" s="124"/>
      <c r="AT13" s="124">
        <f>SUM(AH13:AS13)</f>
        <v>44</v>
      </c>
      <c r="AU13" s="127">
        <f>+AT13/R13</f>
        <v>0.88</v>
      </c>
      <c r="AV13" s="321" t="s">
        <v>970</v>
      </c>
      <c r="AW13" s="473" t="s">
        <v>971</v>
      </c>
      <c r="AX13" s="412" t="s">
        <v>450</v>
      </c>
      <c r="AY13" s="412" t="s">
        <v>450</v>
      </c>
    </row>
    <row r="14" spans="1:51" ht="226.5" customHeight="1">
      <c r="A14" s="121"/>
      <c r="B14" s="121"/>
      <c r="C14" s="121"/>
      <c r="D14" s="121"/>
      <c r="E14" s="121" t="s">
        <v>425</v>
      </c>
      <c r="F14" s="121"/>
      <c r="G14" s="121" t="s">
        <v>519</v>
      </c>
      <c r="H14" s="121"/>
      <c r="I14" s="294" t="s">
        <v>526</v>
      </c>
      <c r="J14" s="294" t="s">
        <v>527</v>
      </c>
      <c r="K14" s="122" t="s">
        <v>430</v>
      </c>
      <c r="L14" s="121">
        <v>30</v>
      </c>
      <c r="M14" s="121" t="s">
        <v>528</v>
      </c>
      <c r="N14" s="122" t="s">
        <v>529</v>
      </c>
      <c r="O14" s="124"/>
      <c r="P14" s="124"/>
      <c r="Q14" s="124"/>
      <c r="R14" s="121">
        <v>20</v>
      </c>
      <c r="S14" s="124"/>
      <c r="T14" s="121" t="s">
        <v>460</v>
      </c>
      <c r="U14" s="122" t="s">
        <v>530</v>
      </c>
      <c r="V14" s="124"/>
      <c r="W14" s="121">
        <v>2</v>
      </c>
      <c r="X14" s="121">
        <v>2</v>
      </c>
      <c r="Y14" s="121">
        <v>2</v>
      </c>
      <c r="Z14" s="121">
        <v>2</v>
      </c>
      <c r="AA14" s="121">
        <v>2</v>
      </c>
      <c r="AB14" s="121">
        <v>2</v>
      </c>
      <c r="AC14" s="121">
        <v>2</v>
      </c>
      <c r="AD14" s="121">
        <v>2</v>
      </c>
      <c r="AE14" s="121">
        <v>2</v>
      </c>
      <c r="AF14" s="121">
        <v>2</v>
      </c>
      <c r="AG14" s="124"/>
      <c r="AH14" s="124"/>
      <c r="AI14" s="459">
        <v>2</v>
      </c>
      <c r="AJ14" s="459">
        <v>2</v>
      </c>
      <c r="AK14" s="459">
        <v>2</v>
      </c>
      <c r="AL14" s="459">
        <v>2</v>
      </c>
      <c r="AM14" s="459">
        <v>2</v>
      </c>
      <c r="AN14" s="459">
        <v>2</v>
      </c>
      <c r="AO14" s="459">
        <v>2</v>
      </c>
      <c r="AP14" s="124">
        <v>2</v>
      </c>
      <c r="AQ14" s="124">
        <v>2</v>
      </c>
      <c r="AR14" s="124"/>
      <c r="AS14" s="124"/>
      <c r="AT14" s="124">
        <f>SUM(AH14:AS14)</f>
        <v>18</v>
      </c>
      <c r="AU14" s="127">
        <f>+AT14/R14</f>
        <v>0.9</v>
      </c>
      <c r="AV14" s="443" t="s">
        <v>972</v>
      </c>
      <c r="AW14" s="473" t="s">
        <v>973</v>
      </c>
      <c r="AX14" s="412" t="s">
        <v>450</v>
      </c>
      <c r="AY14" s="412" t="s">
        <v>450</v>
      </c>
    </row>
    <row r="15" spans="1:51" ht="198" customHeight="1">
      <c r="A15" s="121"/>
      <c r="B15" s="121"/>
      <c r="C15" s="121"/>
      <c r="D15" s="121"/>
      <c r="E15" s="121" t="s">
        <v>425</v>
      </c>
      <c r="F15" s="121"/>
      <c r="G15" s="121" t="s">
        <v>519</v>
      </c>
      <c r="H15" s="121"/>
      <c r="I15" s="294" t="s">
        <v>531</v>
      </c>
      <c r="J15" s="294" t="s">
        <v>532</v>
      </c>
      <c r="K15" s="122" t="s">
        <v>430</v>
      </c>
      <c r="L15" s="121">
        <v>2</v>
      </c>
      <c r="M15" s="124" t="s">
        <v>533</v>
      </c>
      <c r="N15" s="122" t="s">
        <v>465</v>
      </c>
      <c r="O15" s="124"/>
      <c r="P15" s="124"/>
      <c r="Q15" s="124"/>
      <c r="R15" s="121">
        <v>2</v>
      </c>
      <c r="S15" s="124"/>
      <c r="T15" s="122" t="s">
        <v>768</v>
      </c>
      <c r="U15" s="121" t="s">
        <v>465</v>
      </c>
      <c r="V15" s="124"/>
      <c r="W15" s="124"/>
      <c r="X15" s="124"/>
      <c r="Y15" s="124"/>
      <c r="Z15" s="124"/>
      <c r="AA15" s="121">
        <v>1</v>
      </c>
      <c r="AB15" s="121"/>
      <c r="AC15" s="121"/>
      <c r="AD15" s="121"/>
      <c r="AE15" s="121"/>
      <c r="AF15" s="121">
        <v>1</v>
      </c>
      <c r="AG15" s="124"/>
      <c r="AH15" s="124"/>
      <c r="AI15" s="124"/>
      <c r="AJ15" s="124"/>
      <c r="AK15" s="124"/>
      <c r="AL15" s="124"/>
      <c r="AM15" s="124"/>
      <c r="AN15" s="124">
        <v>1</v>
      </c>
      <c r="AO15" s="124"/>
      <c r="AP15" s="124"/>
      <c r="AQ15" s="124"/>
      <c r="AR15" s="124"/>
      <c r="AS15" s="124"/>
      <c r="AT15" s="124">
        <f>SUM(AH15:AS15)</f>
        <v>1</v>
      </c>
      <c r="AU15" s="127">
        <f>+AT15/R15</f>
        <v>0.5</v>
      </c>
      <c r="AV15" s="321" t="s">
        <v>974</v>
      </c>
      <c r="AW15" s="473" t="s">
        <v>975</v>
      </c>
      <c r="AX15" s="412" t="s">
        <v>450</v>
      </c>
      <c r="AY15" s="412" t="s">
        <v>450</v>
      </c>
    </row>
    <row r="16" spans="1:51" ht="54" customHeight="1">
      <c r="A16" s="798" t="s">
        <v>64</v>
      </c>
      <c r="B16" s="798"/>
      <c r="C16" s="798"/>
      <c r="D16" s="794" t="s">
        <v>66</v>
      </c>
      <c r="E16" s="794"/>
      <c r="F16" s="794"/>
      <c r="G16" s="794"/>
      <c r="H16" s="794"/>
      <c r="I16" s="794"/>
      <c r="J16" s="799" t="s">
        <v>300</v>
      </c>
      <c r="K16" s="799"/>
      <c r="L16" s="799"/>
      <c r="M16" s="799"/>
      <c r="N16" s="799"/>
      <c r="O16" s="799"/>
      <c r="P16" s="794" t="s">
        <v>66</v>
      </c>
      <c r="Q16" s="794"/>
      <c r="R16" s="794"/>
      <c r="S16" s="794"/>
      <c r="T16" s="794"/>
      <c r="U16" s="794"/>
      <c r="V16" s="794" t="s">
        <v>66</v>
      </c>
      <c r="W16" s="794"/>
      <c r="X16" s="794"/>
      <c r="Y16" s="794"/>
      <c r="Z16" s="794"/>
      <c r="AA16" s="794"/>
      <c r="AB16" s="794"/>
      <c r="AC16" s="794"/>
      <c r="AD16" s="794" t="s">
        <v>66</v>
      </c>
      <c r="AE16" s="794"/>
      <c r="AF16" s="794"/>
      <c r="AG16" s="794"/>
      <c r="AH16" s="794"/>
      <c r="AI16" s="794"/>
      <c r="AJ16" s="794"/>
      <c r="AK16" s="794"/>
      <c r="AL16" s="794"/>
      <c r="AM16" s="794"/>
      <c r="AN16" s="794"/>
      <c r="AO16" s="794"/>
      <c r="AP16" s="799" t="s">
        <v>318</v>
      </c>
      <c r="AQ16" s="799"/>
      <c r="AR16" s="799"/>
      <c r="AS16" s="799"/>
      <c r="AT16" s="794" t="s">
        <v>13</v>
      </c>
      <c r="AU16" s="794"/>
      <c r="AV16" s="794"/>
      <c r="AW16" s="794"/>
      <c r="AX16" s="794"/>
      <c r="AY16" s="794"/>
    </row>
    <row r="17" spans="1:51" ht="30" customHeight="1">
      <c r="A17" s="798"/>
      <c r="B17" s="798"/>
      <c r="C17" s="798"/>
      <c r="D17" s="794" t="s">
        <v>799</v>
      </c>
      <c r="E17" s="794"/>
      <c r="F17" s="794"/>
      <c r="G17" s="794"/>
      <c r="H17" s="794"/>
      <c r="I17" s="794"/>
      <c r="J17" s="799"/>
      <c r="K17" s="799"/>
      <c r="L17" s="799"/>
      <c r="M17" s="799"/>
      <c r="N17" s="799"/>
      <c r="O17" s="799"/>
      <c r="P17" s="794" t="s">
        <v>799</v>
      </c>
      <c r="Q17" s="794"/>
      <c r="R17" s="794"/>
      <c r="S17" s="794"/>
      <c r="T17" s="794"/>
      <c r="U17" s="794"/>
      <c r="V17" s="794" t="s">
        <v>65</v>
      </c>
      <c r="W17" s="794"/>
      <c r="X17" s="794"/>
      <c r="Y17" s="794"/>
      <c r="Z17" s="794"/>
      <c r="AA17" s="794"/>
      <c r="AB17" s="794"/>
      <c r="AC17" s="794"/>
      <c r="AD17" s="794" t="s">
        <v>65</v>
      </c>
      <c r="AE17" s="794"/>
      <c r="AF17" s="794"/>
      <c r="AG17" s="794"/>
      <c r="AH17" s="794"/>
      <c r="AI17" s="794"/>
      <c r="AJ17" s="794"/>
      <c r="AK17" s="794"/>
      <c r="AL17" s="794"/>
      <c r="AM17" s="794"/>
      <c r="AN17" s="794"/>
      <c r="AO17" s="794"/>
      <c r="AP17" s="799"/>
      <c r="AQ17" s="799"/>
      <c r="AR17" s="799"/>
      <c r="AS17" s="799"/>
      <c r="AT17" s="794" t="s">
        <v>769</v>
      </c>
      <c r="AU17" s="794"/>
      <c r="AV17" s="794"/>
      <c r="AW17" s="794"/>
      <c r="AX17" s="794"/>
      <c r="AY17" s="794"/>
    </row>
    <row r="18" spans="1:51" ht="30" customHeight="1">
      <c r="A18" s="798"/>
      <c r="B18" s="798"/>
      <c r="C18" s="798"/>
      <c r="D18" s="794" t="s">
        <v>800</v>
      </c>
      <c r="E18" s="794"/>
      <c r="F18" s="794"/>
      <c r="G18" s="794"/>
      <c r="H18" s="794"/>
      <c r="I18" s="794"/>
      <c r="J18" s="799"/>
      <c r="K18" s="799"/>
      <c r="L18" s="799"/>
      <c r="M18" s="799"/>
      <c r="N18" s="799"/>
      <c r="O18" s="799"/>
      <c r="P18" s="794" t="s">
        <v>800</v>
      </c>
      <c r="Q18" s="794"/>
      <c r="R18" s="794"/>
      <c r="S18" s="794"/>
      <c r="T18" s="794"/>
      <c r="U18" s="794"/>
      <c r="V18" s="794" t="s">
        <v>297</v>
      </c>
      <c r="W18" s="794"/>
      <c r="X18" s="794"/>
      <c r="Y18" s="794"/>
      <c r="Z18" s="794"/>
      <c r="AA18" s="794"/>
      <c r="AB18" s="794"/>
      <c r="AC18" s="794"/>
      <c r="AD18" s="794" t="s">
        <v>297</v>
      </c>
      <c r="AE18" s="794"/>
      <c r="AF18" s="794"/>
      <c r="AG18" s="794"/>
      <c r="AH18" s="794"/>
      <c r="AI18" s="794"/>
      <c r="AJ18" s="794"/>
      <c r="AK18" s="794"/>
      <c r="AL18" s="794"/>
      <c r="AM18" s="794"/>
      <c r="AN18" s="794"/>
      <c r="AO18" s="794"/>
      <c r="AP18" s="799"/>
      <c r="AQ18" s="799"/>
      <c r="AR18" s="799"/>
      <c r="AS18" s="799"/>
      <c r="AT18" s="794" t="s">
        <v>75</v>
      </c>
      <c r="AU18" s="794"/>
      <c r="AV18" s="794"/>
      <c r="AW18" s="794"/>
      <c r="AX18" s="794"/>
      <c r="AY18" s="794"/>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16:C18"/>
    <mergeCell ref="D16:I16"/>
    <mergeCell ref="J16:O18"/>
    <mergeCell ref="P16:U16"/>
    <mergeCell ref="V16:AC16"/>
    <mergeCell ref="AD16:AO16"/>
    <mergeCell ref="D18:I18"/>
    <mergeCell ref="AP16:AS18"/>
    <mergeCell ref="AT18:AY18"/>
    <mergeCell ref="AT16:AY16"/>
    <mergeCell ref="D17:I17"/>
    <mergeCell ref="P17:U17"/>
    <mergeCell ref="V17:AC17"/>
    <mergeCell ref="AD17:AO17"/>
    <mergeCell ref="AT17:AY17"/>
    <mergeCell ref="P18:U18"/>
    <mergeCell ref="V18:AC18"/>
    <mergeCell ref="AD18:AO18"/>
  </mergeCells>
  <printOptions/>
  <pageMargins left="0.7" right="0.7" top="0.75" bottom="0.75" header="0.3" footer="0.3"/>
  <pageSetup fitToHeight="1" fitToWidth="1" horizontalDpi="600" verticalDpi="600" orientation="landscape" scale="16" r:id="rId3"/>
  <legacyDrawing r:id="rId2"/>
</worksheet>
</file>

<file path=xl/worksheets/sheet23.xml><?xml version="1.0" encoding="utf-8"?>
<worksheet xmlns="http://schemas.openxmlformats.org/spreadsheetml/2006/main" xmlns:r="http://schemas.openxmlformats.org/officeDocument/2006/relationships">
  <sheetPr>
    <tabColor rgb="FF00B0F0"/>
    <pageSetUpPr fitToPage="1"/>
  </sheetPr>
  <dimension ref="A1:AY23"/>
  <sheetViews>
    <sheetView view="pageBreakPreview" zoomScale="60" zoomScaleNormal="85" zoomScalePageLayoutView="0" workbookViewId="0" topLeftCell="AG18">
      <selection activeCell="AQ13" sqref="AQ13"/>
    </sheetView>
  </sheetViews>
  <sheetFormatPr defaultColWidth="11.421875" defaultRowHeight="15"/>
  <cols>
    <col min="7" max="8" width="17.421875" style="0" customWidth="1"/>
    <col min="9" max="10" width="28.28125" style="0" customWidth="1"/>
    <col min="14" max="14" width="26.28125" style="0" customWidth="1"/>
    <col min="21" max="21" width="28.00390625" style="0" customWidth="1"/>
    <col min="22" max="47" width="8.8515625" style="0" customWidth="1"/>
    <col min="48" max="49" width="43.28125" style="0" customWidth="1"/>
    <col min="50" max="51" width="27.00390625" style="0" customWidth="1"/>
  </cols>
  <sheetData>
    <row r="1" spans="1:51" ht="15">
      <c r="A1" s="777" t="s">
        <v>16</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M1" s="778"/>
      <c r="AN1" s="778"/>
      <c r="AO1" s="778"/>
      <c r="AP1" s="778"/>
      <c r="AQ1" s="778"/>
      <c r="AR1" s="778"/>
      <c r="AS1" s="778"/>
      <c r="AT1" s="778"/>
      <c r="AU1" s="778"/>
      <c r="AV1" s="778"/>
      <c r="AW1" s="779"/>
      <c r="AX1" s="1126" t="s">
        <v>423</v>
      </c>
      <c r="AY1" s="1127"/>
    </row>
    <row r="2" spans="1:51" ht="15">
      <c r="A2" s="1152" t="s">
        <v>17</v>
      </c>
      <c r="B2" s="1153"/>
      <c r="C2" s="1153"/>
      <c r="D2" s="1153"/>
      <c r="E2" s="1153"/>
      <c r="F2" s="1153"/>
      <c r="G2" s="1153"/>
      <c r="H2" s="1153"/>
      <c r="I2" s="1153"/>
      <c r="J2" s="1153"/>
      <c r="K2" s="1153"/>
      <c r="L2" s="1153"/>
      <c r="M2" s="1153"/>
      <c r="N2" s="1153"/>
      <c r="O2" s="1153"/>
      <c r="P2" s="1153"/>
      <c r="Q2" s="1153"/>
      <c r="R2" s="1153"/>
      <c r="S2" s="1153"/>
      <c r="T2" s="1153"/>
      <c r="U2" s="1153"/>
      <c r="V2" s="1153"/>
      <c r="W2" s="1153"/>
      <c r="X2" s="1153"/>
      <c r="Y2" s="1153"/>
      <c r="Z2" s="1153"/>
      <c r="AA2" s="1153"/>
      <c r="AB2" s="1153"/>
      <c r="AC2" s="1153"/>
      <c r="AD2" s="1153"/>
      <c r="AE2" s="1153"/>
      <c r="AF2" s="1153"/>
      <c r="AG2" s="1153"/>
      <c r="AH2" s="1153"/>
      <c r="AI2" s="1153"/>
      <c r="AJ2" s="1153"/>
      <c r="AK2" s="1153"/>
      <c r="AL2" s="1153"/>
      <c r="AM2" s="1153"/>
      <c r="AN2" s="1153"/>
      <c r="AO2" s="1153"/>
      <c r="AP2" s="1153"/>
      <c r="AQ2" s="1153"/>
      <c r="AR2" s="1153"/>
      <c r="AS2" s="1153"/>
      <c r="AT2" s="1153"/>
      <c r="AU2" s="1153"/>
      <c r="AV2" s="1153"/>
      <c r="AW2" s="1154"/>
      <c r="AX2" s="1151" t="s">
        <v>418</v>
      </c>
      <c r="AY2" s="1172"/>
    </row>
    <row r="3" spans="1:51" ht="15">
      <c r="A3" s="789" t="s">
        <v>195</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c r="AM3" s="790"/>
      <c r="AN3" s="790"/>
      <c r="AO3" s="790"/>
      <c r="AP3" s="790"/>
      <c r="AQ3" s="790"/>
      <c r="AR3" s="790"/>
      <c r="AS3" s="790"/>
      <c r="AT3" s="790"/>
      <c r="AU3" s="790"/>
      <c r="AV3" s="790"/>
      <c r="AW3" s="791"/>
      <c r="AX3" s="1151" t="s">
        <v>424</v>
      </c>
      <c r="AY3" s="1172"/>
    </row>
    <row r="4" spans="1:51" ht="15">
      <c r="A4" s="777"/>
      <c r="B4" s="778"/>
      <c r="C4" s="778"/>
      <c r="D4" s="778"/>
      <c r="E4" s="778"/>
      <c r="F4" s="778"/>
      <c r="G4" s="778"/>
      <c r="H4" s="778"/>
      <c r="I4" s="778"/>
      <c r="J4" s="778"/>
      <c r="K4" s="778"/>
      <c r="L4" s="778"/>
      <c r="M4" s="778"/>
      <c r="N4" s="778"/>
      <c r="O4" s="778"/>
      <c r="P4" s="778"/>
      <c r="Q4" s="778"/>
      <c r="R4" s="778"/>
      <c r="S4" s="778"/>
      <c r="T4" s="778"/>
      <c r="U4" s="778"/>
      <c r="V4" s="778"/>
      <c r="W4" s="778"/>
      <c r="X4" s="778"/>
      <c r="Y4" s="778"/>
      <c r="Z4" s="778"/>
      <c r="AA4" s="778"/>
      <c r="AB4" s="778"/>
      <c r="AC4" s="778"/>
      <c r="AD4" s="778"/>
      <c r="AE4" s="778"/>
      <c r="AF4" s="778"/>
      <c r="AG4" s="778"/>
      <c r="AH4" s="778"/>
      <c r="AI4" s="778"/>
      <c r="AJ4" s="778"/>
      <c r="AK4" s="778"/>
      <c r="AL4" s="778"/>
      <c r="AM4" s="778"/>
      <c r="AN4" s="778"/>
      <c r="AO4" s="778"/>
      <c r="AP4" s="778"/>
      <c r="AQ4" s="778"/>
      <c r="AR4" s="778"/>
      <c r="AS4" s="778"/>
      <c r="AT4" s="778"/>
      <c r="AU4" s="778"/>
      <c r="AV4" s="778"/>
      <c r="AW4" s="779"/>
      <c r="AX4" s="776" t="s">
        <v>787</v>
      </c>
      <c r="AY4" s="776"/>
    </row>
    <row r="5" spans="1:51" ht="15.75" thickBot="1">
      <c r="A5" s="780" t="s">
        <v>174</v>
      </c>
      <c r="B5" s="781"/>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2"/>
      <c r="AH5" s="805" t="s">
        <v>69</v>
      </c>
      <c r="AI5" s="806"/>
      <c r="AJ5" s="806"/>
      <c r="AK5" s="806"/>
      <c r="AL5" s="806"/>
      <c r="AM5" s="806"/>
      <c r="AN5" s="806"/>
      <c r="AO5" s="806"/>
      <c r="AP5" s="806"/>
      <c r="AQ5" s="806"/>
      <c r="AR5" s="806"/>
      <c r="AS5" s="806"/>
      <c r="AT5" s="806"/>
      <c r="AU5" s="807"/>
      <c r="AV5" s="795" t="s">
        <v>409</v>
      </c>
      <c r="AW5" s="795" t="s">
        <v>410</v>
      </c>
      <c r="AX5" s="795" t="s">
        <v>298</v>
      </c>
      <c r="AY5" s="795" t="s">
        <v>299</v>
      </c>
    </row>
    <row r="6" spans="1:51" ht="15">
      <c r="A6" s="814" t="s">
        <v>71</v>
      </c>
      <c r="B6" s="814"/>
      <c r="C6" s="814"/>
      <c r="D6" s="864" t="s">
        <v>861</v>
      </c>
      <c r="E6" s="865"/>
      <c r="F6" s="805" t="s">
        <v>67</v>
      </c>
      <c r="G6" s="807"/>
      <c r="H6" s="1171" t="s">
        <v>70</v>
      </c>
      <c r="I6" s="1171"/>
      <c r="J6" s="121"/>
      <c r="K6" s="805"/>
      <c r="L6" s="806"/>
      <c r="M6" s="806"/>
      <c r="N6" s="806"/>
      <c r="O6" s="806"/>
      <c r="P6" s="806"/>
      <c r="Q6" s="806"/>
      <c r="R6" s="806"/>
      <c r="S6" s="806"/>
      <c r="T6" s="806"/>
      <c r="U6" s="806"/>
      <c r="V6" s="114"/>
      <c r="W6" s="114"/>
      <c r="X6" s="114"/>
      <c r="Y6" s="114"/>
      <c r="Z6" s="114"/>
      <c r="AA6" s="114"/>
      <c r="AB6" s="114"/>
      <c r="AC6" s="114"/>
      <c r="AD6" s="114"/>
      <c r="AE6" s="114"/>
      <c r="AF6" s="114"/>
      <c r="AG6" s="115"/>
      <c r="AH6" s="808"/>
      <c r="AI6" s="1170"/>
      <c r="AJ6" s="1170"/>
      <c r="AK6" s="1170"/>
      <c r="AL6" s="1170"/>
      <c r="AM6" s="1170"/>
      <c r="AN6" s="1170"/>
      <c r="AO6" s="1170"/>
      <c r="AP6" s="1170"/>
      <c r="AQ6" s="1170"/>
      <c r="AR6" s="1170"/>
      <c r="AS6" s="1170"/>
      <c r="AT6" s="1170"/>
      <c r="AU6" s="810"/>
      <c r="AV6" s="803"/>
      <c r="AW6" s="803"/>
      <c r="AX6" s="803"/>
      <c r="AY6" s="803"/>
    </row>
    <row r="7" spans="1:51" ht="15">
      <c r="A7" s="814"/>
      <c r="B7" s="814"/>
      <c r="C7" s="814"/>
      <c r="D7" s="866"/>
      <c r="E7" s="867"/>
      <c r="F7" s="808"/>
      <c r="G7" s="810"/>
      <c r="H7" s="1171" t="s">
        <v>68</v>
      </c>
      <c r="I7" s="1171"/>
      <c r="J7" s="121"/>
      <c r="K7" s="808"/>
      <c r="L7" s="1170"/>
      <c r="M7" s="1170"/>
      <c r="N7" s="1170"/>
      <c r="O7" s="1170"/>
      <c r="P7" s="1170"/>
      <c r="Q7" s="1170"/>
      <c r="R7" s="1170"/>
      <c r="S7" s="1170"/>
      <c r="T7" s="1170"/>
      <c r="U7" s="1170"/>
      <c r="V7" s="231"/>
      <c r="W7" s="231"/>
      <c r="X7" s="231"/>
      <c r="Y7" s="231"/>
      <c r="Z7" s="231"/>
      <c r="AA7" s="231"/>
      <c r="AB7" s="231"/>
      <c r="AC7" s="231"/>
      <c r="AD7" s="231"/>
      <c r="AE7" s="231"/>
      <c r="AF7" s="231"/>
      <c r="AG7" s="117"/>
      <c r="AH7" s="808"/>
      <c r="AI7" s="1170"/>
      <c r="AJ7" s="1170"/>
      <c r="AK7" s="1170"/>
      <c r="AL7" s="1170"/>
      <c r="AM7" s="1170"/>
      <c r="AN7" s="1170"/>
      <c r="AO7" s="1170"/>
      <c r="AP7" s="1170"/>
      <c r="AQ7" s="1170"/>
      <c r="AR7" s="1170"/>
      <c r="AS7" s="1170"/>
      <c r="AT7" s="1170"/>
      <c r="AU7" s="810"/>
      <c r="AV7" s="803"/>
      <c r="AW7" s="803"/>
      <c r="AX7" s="803"/>
      <c r="AY7" s="803"/>
    </row>
    <row r="8" spans="1:51" ht="15.75" thickBot="1">
      <c r="A8" s="814"/>
      <c r="B8" s="814"/>
      <c r="C8" s="814"/>
      <c r="D8" s="868"/>
      <c r="E8" s="869"/>
      <c r="F8" s="811"/>
      <c r="G8" s="813"/>
      <c r="H8" s="1171" t="s">
        <v>69</v>
      </c>
      <c r="I8" s="1171"/>
      <c r="J8" s="121" t="s">
        <v>425</v>
      </c>
      <c r="K8" s="811"/>
      <c r="L8" s="812"/>
      <c r="M8" s="812"/>
      <c r="N8" s="812"/>
      <c r="O8" s="812"/>
      <c r="P8" s="812"/>
      <c r="Q8" s="812"/>
      <c r="R8" s="812"/>
      <c r="S8" s="812"/>
      <c r="T8" s="812"/>
      <c r="U8" s="812"/>
      <c r="V8" s="118"/>
      <c r="W8" s="118"/>
      <c r="X8" s="118"/>
      <c r="Y8" s="118"/>
      <c r="Z8" s="118"/>
      <c r="AA8" s="118"/>
      <c r="AB8" s="118"/>
      <c r="AC8" s="118"/>
      <c r="AD8" s="118"/>
      <c r="AE8" s="118"/>
      <c r="AF8" s="118"/>
      <c r="AG8" s="119"/>
      <c r="AH8" s="808"/>
      <c r="AI8" s="1170"/>
      <c r="AJ8" s="1170"/>
      <c r="AK8" s="1170"/>
      <c r="AL8" s="1170"/>
      <c r="AM8" s="1170"/>
      <c r="AN8" s="1170"/>
      <c r="AO8" s="1170"/>
      <c r="AP8" s="1170"/>
      <c r="AQ8" s="1170"/>
      <c r="AR8" s="1170"/>
      <c r="AS8" s="1170"/>
      <c r="AT8" s="1170"/>
      <c r="AU8" s="810"/>
      <c r="AV8" s="803"/>
      <c r="AW8" s="803"/>
      <c r="AX8" s="803"/>
      <c r="AY8" s="803"/>
    </row>
    <row r="9" spans="1:51" ht="15">
      <c r="A9" s="783" t="s">
        <v>399</v>
      </c>
      <c r="B9" s="784"/>
      <c r="C9" s="785"/>
      <c r="D9" s="819"/>
      <c r="E9" s="820"/>
      <c r="F9" s="820"/>
      <c r="G9" s="820"/>
      <c r="H9" s="820"/>
      <c r="I9" s="820"/>
      <c r="J9" s="820"/>
      <c r="K9" s="821"/>
      <c r="L9" s="821"/>
      <c r="M9" s="821"/>
      <c r="N9" s="821"/>
      <c r="O9" s="821"/>
      <c r="P9" s="821"/>
      <c r="Q9" s="821"/>
      <c r="R9" s="821"/>
      <c r="S9" s="821"/>
      <c r="T9" s="821"/>
      <c r="U9" s="821"/>
      <c r="V9" s="821"/>
      <c r="W9" s="821"/>
      <c r="X9" s="821"/>
      <c r="Y9" s="821"/>
      <c r="Z9" s="821"/>
      <c r="AA9" s="821"/>
      <c r="AB9" s="821"/>
      <c r="AC9" s="821"/>
      <c r="AD9" s="821"/>
      <c r="AE9" s="821"/>
      <c r="AF9" s="821"/>
      <c r="AG9" s="822"/>
      <c r="AH9" s="808"/>
      <c r="AI9" s="1170"/>
      <c r="AJ9" s="1170"/>
      <c r="AK9" s="1170"/>
      <c r="AL9" s="1170"/>
      <c r="AM9" s="1170"/>
      <c r="AN9" s="1170"/>
      <c r="AO9" s="1170"/>
      <c r="AP9" s="1170"/>
      <c r="AQ9" s="1170"/>
      <c r="AR9" s="1170"/>
      <c r="AS9" s="1170"/>
      <c r="AT9" s="1170"/>
      <c r="AU9" s="810"/>
      <c r="AV9" s="803"/>
      <c r="AW9" s="803"/>
      <c r="AX9" s="803"/>
      <c r="AY9" s="803"/>
    </row>
    <row r="10" spans="1:51" ht="15">
      <c r="A10" s="816" t="s">
        <v>287</v>
      </c>
      <c r="B10" s="817"/>
      <c r="C10" s="818"/>
      <c r="D10" s="823" t="s">
        <v>500</v>
      </c>
      <c r="E10" s="821"/>
      <c r="F10" s="821"/>
      <c r="G10" s="821"/>
      <c r="H10" s="821"/>
      <c r="I10" s="821"/>
      <c r="J10" s="821"/>
      <c r="K10" s="821"/>
      <c r="L10" s="821"/>
      <c r="M10" s="821"/>
      <c r="N10" s="821"/>
      <c r="O10" s="821"/>
      <c r="P10" s="821"/>
      <c r="Q10" s="821"/>
      <c r="R10" s="821"/>
      <c r="S10" s="821"/>
      <c r="T10" s="821"/>
      <c r="U10" s="821"/>
      <c r="V10" s="821"/>
      <c r="W10" s="821"/>
      <c r="X10" s="821"/>
      <c r="Y10" s="821"/>
      <c r="Z10" s="821"/>
      <c r="AA10" s="821"/>
      <c r="AB10" s="821"/>
      <c r="AC10" s="821"/>
      <c r="AD10" s="821"/>
      <c r="AE10" s="821"/>
      <c r="AF10" s="821"/>
      <c r="AG10" s="822"/>
      <c r="AH10" s="811"/>
      <c r="AI10" s="812"/>
      <c r="AJ10" s="812"/>
      <c r="AK10" s="812"/>
      <c r="AL10" s="812"/>
      <c r="AM10" s="812"/>
      <c r="AN10" s="812"/>
      <c r="AO10" s="812"/>
      <c r="AP10" s="812"/>
      <c r="AQ10" s="812"/>
      <c r="AR10" s="812"/>
      <c r="AS10" s="812"/>
      <c r="AT10" s="812"/>
      <c r="AU10" s="813"/>
      <c r="AV10" s="803"/>
      <c r="AW10" s="803"/>
      <c r="AX10" s="803"/>
      <c r="AY10" s="803"/>
    </row>
    <row r="11" spans="1:51" ht="15">
      <c r="A11" s="792" t="s">
        <v>168</v>
      </c>
      <c r="B11" s="797"/>
      <c r="C11" s="797"/>
      <c r="D11" s="797"/>
      <c r="E11" s="797"/>
      <c r="F11" s="793"/>
      <c r="G11" s="792" t="s">
        <v>278</v>
      </c>
      <c r="H11" s="793"/>
      <c r="I11" s="795" t="s">
        <v>179</v>
      </c>
      <c r="J11" s="795" t="s">
        <v>279</v>
      </c>
      <c r="K11" s="795" t="s">
        <v>323</v>
      </c>
      <c r="L11" s="795" t="s">
        <v>363</v>
      </c>
      <c r="M11" s="795" t="s">
        <v>167</v>
      </c>
      <c r="N11" s="795" t="s">
        <v>182</v>
      </c>
      <c r="O11" s="792" t="s">
        <v>284</v>
      </c>
      <c r="P11" s="797"/>
      <c r="Q11" s="797"/>
      <c r="R11" s="797"/>
      <c r="S11" s="793"/>
      <c r="T11" s="795" t="s">
        <v>173</v>
      </c>
      <c r="U11" s="795" t="s">
        <v>285</v>
      </c>
      <c r="V11" s="780" t="s">
        <v>370</v>
      </c>
      <c r="W11" s="781"/>
      <c r="X11" s="781"/>
      <c r="Y11" s="781"/>
      <c r="Z11" s="781"/>
      <c r="AA11" s="781"/>
      <c r="AB11" s="781"/>
      <c r="AC11" s="781"/>
      <c r="AD11" s="781"/>
      <c r="AE11" s="781"/>
      <c r="AF11" s="781"/>
      <c r="AG11" s="782"/>
      <c r="AH11" s="780" t="s">
        <v>87</v>
      </c>
      <c r="AI11" s="781"/>
      <c r="AJ11" s="781"/>
      <c r="AK11" s="781"/>
      <c r="AL11" s="781"/>
      <c r="AM11" s="781"/>
      <c r="AN11" s="781"/>
      <c r="AO11" s="781"/>
      <c r="AP11" s="781"/>
      <c r="AQ11" s="781"/>
      <c r="AR11" s="781"/>
      <c r="AS11" s="782"/>
      <c r="AT11" s="792" t="s">
        <v>8</v>
      </c>
      <c r="AU11" s="793"/>
      <c r="AV11" s="803"/>
      <c r="AW11" s="803"/>
      <c r="AX11" s="803"/>
      <c r="AY11" s="803"/>
    </row>
    <row r="12" spans="1:51" ht="57">
      <c r="A12" s="120" t="s">
        <v>169</v>
      </c>
      <c r="B12" s="120" t="s">
        <v>170</v>
      </c>
      <c r="C12" s="120" t="s">
        <v>171</v>
      </c>
      <c r="D12" s="120" t="s">
        <v>178</v>
      </c>
      <c r="E12" s="120" t="s">
        <v>185</v>
      </c>
      <c r="F12" s="120" t="s">
        <v>186</v>
      </c>
      <c r="G12" s="120" t="s">
        <v>277</v>
      </c>
      <c r="H12" s="120" t="s">
        <v>184</v>
      </c>
      <c r="I12" s="796"/>
      <c r="J12" s="796"/>
      <c r="K12" s="796"/>
      <c r="L12" s="796"/>
      <c r="M12" s="796"/>
      <c r="N12" s="796"/>
      <c r="O12" s="120">
        <v>2020</v>
      </c>
      <c r="P12" s="120">
        <v>2021</v>
      </c>
      <c r="Q12" s="120">
        <v>2022</v>
      </c>
      <c r="R12" s="120">
        <v>2023</v>
      </c>
      <c r="S12" s="120">
        <v>2024</v>
      </c>
      <c r="T12" s="796"/>
      <c r="U12" s="796"/>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96"/>
      <c r="AW12" s="796"/>
      <c r="AX12" s="796"/>
      <c r="AY12" s="796"/>
    </row>
    <row r="13" spans="1:51" ht="126.75" customHeight="1">
      <c r="A13" s="121"/>
      <c r="B13" s="121"/>
      <c r="C13" s="121"/>
      <c r="D13" s="121"/>
      <c r="E13" s="121" t="s">
        <v>425</v>
      </c>
      <c r="F13" s="121"/>
      <c r="G13" s="122" t="s">
        <v>553</v>
      </c>
      <c r="H13" s="122"/>
      <c r="I13" s="152" t="s">
        <v>554</v>
      </c>
      <c r="J13" s="152" t="s">
        <v>555</v>
      </c>
      <c r="K13" s="122" t="s">
        <v>430</v>
      </c>
      <c r="L13" s="122"/>
      <c r="M13" s="122" t="s">
        <v>431</v>
      </c>
      <c r="N13" s="152" t="s">
        <v>556</v>
      </c>
      <c r="O13" s="123"/>
      <c r="P13" s="123"/>
      <c r="Q13" s="123"/>
      <c r="R13" s="293">
        <v>1</v>
      </c>
      <c r="S13" s="123"/>
      <c r="T13" s="123" t="s">
        <v>433</v>
      </c>
      <c r="U13" s="306" t="s">
        <v>557</v>
      </c>
      <c r="V13" s="124"/>
      <c r="W13" s="124"/>
      <c r="X13" s="307">
        <v>0.65</v>
      </c>
      <c r="Y13" s="124"/>
      <c r="Z13" s="124"/>
      <c r="AA13" s="307">
        <v>0.09</v>
      </c>
      <c r="AB13" s="124"/>
      <c r="AC13" s="124"/>
      <c r="AD13" s="236">
        <v>0.11</v>
      </c>
      <c r="AE13" s="124"/>
      <c r="AF13" s="124"/>
      <c r="AG13" s="236">
        <v>0.15</v>
      </c>
      <c r="AH13" s="124"/>
      <c r="AI13" s="124"/>
      <c r="AJ13" s="458">
        <v>0.65</v>
      </c>
      <c r="AK13" s="124"/>
      <c r="AL13" s="124"/>
      <c r="AM13" s="470">
        <v>0.09</v>
      </c>
      <c r="AN13" s="471"/>
      <c r="AO13" s="471"/>
      <c r="AP13" s="454">
        <v>0.11</v>
      </c>
      <c r="AQ13" s="471"/>
      <c r="AR13" s="471"/>
      <c r="AS13" s="454"/>
      <c r="AT13" s="469">
        <f>SUM(AH13:AS13)</f>
        <v>0.85</v>
      </c>
      <c r="AU13" s="469">
        <f>+AT13/R13</f>
        <v>0.85</v>
      </c>
      <c r="AV13" s="531" t="s">
        <v>976</v>
      </c>
      <c r="AW13" s="491" t="s">
        <v>977</v>
      </c>
      <c r="AX13" s="1210" t="s">
        <v>903</v>
      </c>
      <c r="AY13" s="412" t="s">
        <v>450</v>
      </c>
    </row>
    <row r="14" spans="1:51" ht="126.75" customHeight="1">
      <c r="A14" s="121"/>
      <c r="B14" s="121"/>
      <c r="C14" s="121"/>
      <c r="D14" s="121"/>
      <c r="E14" s="121" t="s">
        <v>425</v>
      </c>
      <c r="F14" s="121"/>
      <c r="G14" s="122" t="s">
        <v>553</v>
      </c>
      <c r="H14" s="122"/>
      <c r="I14" s="152" t="s">
        <v>554</v>
      </c>
      <c r="J14" s="308" t="s">
        <v>558</v>
      </c>
      <c r="K14" s="122" t="s">
        <v>430</v>
      </c>
      <c r="L14" s="124"/>
      <c r="M14" s="122" t="s">
        <v>431</v>
      </c>
      <c r="N14" s="309" t="s">
        <v>559</v>
      </c>
      <c r="O14" s="124"/>
      <c r="P14" s="124"/>
      <c r="Q14" s="124"/>
      <c r="R14" s="293">
        <v>1</v>
      </c>
      <c r="S14" s="124"/>
      <c r="T14" s="123" t="s">
        <v>433</v>
      </c>
      <c r="U14" s="310" t="s">
        <v>560</v>
      </c>
      <c r="V14" s="124"/>
      <c r="W14" s="124"/>
      <c r="X14" s="307">
        <v>0.65</v>
      </c>
      <c r="Y14" s="124"/>
      <c r="Z14" s="124"/>
      <c r="AA14" s="307">
        <v>0.09</v>
      </c>
      <c r="AB14" s="124"/>
      <c r="AC14" s="124"/>
      <c r="AD14" s="236">
        <v>0.11</v>
      </c>
      <c r="AE14" s="124"/>
      <c r="AF14" s="124"/>
      <c r="AG14" s="236">
        <v>0.15</v>
      </c>
      <c r="AH14" s="124"/>
      <c r="AI14" s="124"/>
      <c r="AJ14" s="458">
        <v>0.65</v>
      </c>
      <c r="AK14" s="124"/>
      <c r="AL14" s="124"/>
      <c r="AM14" s="470">
        <v>0.09</v>
      </c>
      <c r="AN14" s="471"/>
      <c r="AO14" s="471"/>
      <c r="AP14" s="454">
        <v>0.11</v>
      </c>
      <c r="AQ14" s="471"/>
      <c r="AR14" s="471"/>
      <c r="AS14" s="454"/>
      <c r="AT14" s="469">
        <f aca="true" t="shared" si="0" ref="AT14:AT20">SUM(AH14:AS14)</f>
        <v>0.85</v>
      </c>
      <c r="AU14" s="469">
        <f aca="true" t="shared" si="1" ref="AU14:AU20">+AT14/R14</f>
        <v>0.85</v>
      </c>
      <c r="AV14" s="531" t="s">
        <v>976</v>
      </c>
      <c r="AW14" s="491" t="s">
        <v>978</v>
      </c>
      <c r="AX14" s="1210" t="s">
        <v>903</v>
      </c>
      <c r="AY14" s="412" t="s">
        <v>450</v>
      </c>
    </row>
    <row r="15" spans="1:51" ht="126.75" customHeight="1">
      <c r="A15" s="121"/>
      <c r="B15" s="121"/>
      <c r="C15" s="121"/>
      <c r="D15" s="121"/>
      <c r="E15" s="121" t="s">
        <v>425</v>
      </c>
      <c r="F15" s="121"/>
      <c r="G15" s="122" t="s">
        <v>553</v>
      </c>
      <c r="H15" s="122"/>
      <c r="I15" s="152" t="s">
        <v>554</v>
      </c>
      <c r="J15" s="308" t="s">
        <v>561</v>
      </c>
      <c r="K15" s="122" t="s">
        <v>430</v>
      </c>
      <c r="L15" s="124"/>
      <c r="M15" s="122" t="s">
        <v>431</v>
      </c>
      <c r="N15" s="309" t="s">
        <v>562</v>
      </c>
      <c r="O15" s="124"/>
      <c r="P15" s="124"/>
      <c r="Q15" s="124"/>
      <c r="R15" s="293">
        <v>1</v>
      </c>
      <c r="S15" s="124"/>
      <c r="T15" s="123" t="s">
        <v>433</v>
      </c>
      <c r="U15" s="152" t="s">
        <v>563</v>
      </c>
      <c r="V15" s="124"/>
      <c r="W15" s="124"/>
      <c r="X15" s="307">
        <v>0.65</v>
      </c>
      <c r="Y15" s="124"/>
      <c r="Z15" s="124"/>
      <c r="AA15" s="307">
        <v>0.09</v>
      </c>
      <c r="AB15" s="124"/>
      <c r="AC15" s="124"/>
      <c r="AD15" s="236">
        <v>0.11</v>
      </c>
      <c r="AE15" s="124"/>
      <c r="AF15" s="124"/>
      <c r="AG15" s="236">
        <v>0.15</v>
      </c>
      <c r="AH15" s="124"/>
      <c r="AI15" s="124"/>
      <c r="AJ15" s="458">
        <v>0.63</v>
      </c>
      <c r="AK15" s="124"/>
      <c r="AL15" s="124"/>
      <c r="AM15" s="470">
        <v>0.09</v>
      </c>
      <c r="AN15" s="471"/>
      <c r="AO15" s="471"/>
      <c r="AP15" s="454">
        <v>0.11</v>
      </c>
      <c r="AQ15" s="471"/>
      <c r="AR15" s="471"/>
      <c r="AS15" s="454"/>
      <c r="AT15" s="469">
        <f t="shared" si="0"/>
        <v>0.83</v>
      </c>
      <c r="AU15" s="469">
        <f t="shared" si="1"/>
        <v>0.83</v>
      </c>
      <c r="AV15" s="531" t="s">
        <v>976</v>
      </c>
      <c r="AW15" s="533" t="s">
        <v>979</v>
      </c>
      <c r="AX15" s="1210" t="s">
        <v>903</v>
      </c>
      <c r="AY15" s="412" t="s">
        <v>450</v>
      </c>
    </row>
    <row r="16" spans="1:51" ht="126.75" customHeight="1">
      <c r="A16" s="121"/>
      <c r="B16" s="121"/>
      <c r="C16" s="121"/>
      <c r="D16" s="121"/>
      <c r="E16" s="121" t="s">
        <v>425</v>
      </c>
      <c r="F16" s="121"/>
      <c r="G16" s="122" t="s">
        <v>553</v>
      </c>
      <c r="H16" s="122" t="s">
        <v>307</v>
      </c>
      <c r="I16" s="152" t="s">
        <v>554</v>
      </c>
      <c r="J16" s="308" t="s">
        <v>564</v>
      </c>
      <c r="K16" s="122" t="s">
        <v>430</v>
      </c>
      <c r="L16" s="124"/>
      <c r="M16" s="122" t="s">
        <v>431</v>
      </c>
      <c r="N16" s="309" t="s">
        <v>565</v>
      </c>
      <c r="O16" s="124"/>
      <c r="P16" s="124"/>
      <c r="Q16" s="124"/>
      <c r="R16" s="293">
        <v>1</v>
      </c>
      <c r="S16" s="124"/>
      <c r="T16" s="123" t="s">
        <v>433</v>
      </c>
      <c r="U16" s="310" t="s">
        <v>566</v>
      </c>
      <c r="V16" s="124"/>
      <c r="W16" s="124"/>
      <c r="X16" s="236">
        <v>0.25</v>
      </c>
      <c r="Y16" s="124"/>
      <c r="Z16" s="124"/>
      <c r="AA16" s="236">
        <v>0.25</v>
      </c>
      <c r="AB16" s="124"/>
      <c r="AC16" s="124"/>
      <c r="AD16" s="236">
        <v>0.25</v>
      </c>
      <c r="AE16" s="124"/>
      <c r="AF16" s="124"/>
      <c r="AG16" s="236">
        <v>0.25</v>
      </c>
      <c r="AH16" s="124"/>
      <c r="AI16" s="124"/>
      <c r="AJ16" s="458">
        <v>0.25</v>
      </c>
      <c r="AK16" s="124"/>
      <c r="AL16" s="124"/>
      <c r="AM16" s="454">
        <v>0.25</v>
      </c>
      <c r="AN16" s="471"/>
      <c r="AO16" s="471"/>
      <c r="AP16" s="454">
        <v>0.25</v>
      </c>
      <c r="AQ16" s="471"/>
      <c r="AR16" s="471"/>
      <c r="AS16" s="454"/>
      <c r="AT16" s="469">
        <f t="shared" si="0"/>
        <v>0.75</v>
      </c>
      <c r="AU16" s="469">
        <f t="shared" si="1"/>
        <v>0.75</v>
      </c>
      <c r="AV16" s="531" t="s">
        <v>976</v>
      </c>
      <c r="AW16" s="533" t="s">
        <v>980</v>
      </c>
      <c r="AX16" s="1210" t="s">
        <v>903</v>
      </c>
      <c r="AY16" s="412" t="s">
        <v>450</v>
      </c>
    </row>
    <row r="17" spans="1:51" ht="126.75" customHeight="1">
      <c r="A17" s="121"/>
      <c r="B17" s="121"/>
      <c r="C17" s="121"/>
      <c r="D17" s="121"/>
      <c r="E17" s="121" t="s">
        <v>425</v>
      </c>
      <c r="F17" s="121"/>
      <c r="G17" s="122" t="s">
        <v>553</v>
      </c>
      <c r="H17" s="122"/>
      <c r="I17" s="152" t="s">
        <v>554</v>
      </c>
      <c r="J17" s="308" t="s">
        <v>567</v>
      </c>
      <c r="K17" s="122" t="s">
        <v>430</v>
      </c>
      <c r="L17" s="124"/>
      <c r="M17" s="122" t="s">
        <v>431</v>
      </c>
      <c r="N17" s="308" t="s">
        <v>568</v>
      </c>
      <c r="O17" s="124"/>
      <c r="P17" s="124"/>
      <c r="Q17" s="124"/>
      <c r="R17" s="293">
        <v>1</v>
      </c>
      <c r="S17" s="124"/>
      <c r="T17" s="123" t="s">
        <v>433</v>
      </c>
      <c r="U17" s="310" t="s">
        <v>569</v>
      </c>
      <c r="V17" s="124"/>
      <c r="W17" s="124"/>
      <c r="X17" s="236">
        <v>0.25</v>
      </c>
      <c r="Y17" s="124"/>
      <c r="Z17" s="124"/>
      <c r="AA17" s="236">
        <v>0.25</v>
      </c>
      <c r="AB17" s="124"/>
      <c r="AC17" s="124"/>
      <c r="AD17" s="236">
        <v>0.25</v>
      </c>
      <c r="AE17" s="124"/>
      <c r="AF17" s="124"/>
      <c r="AG17" s="236">
        <v>0.25</v>
      </c>
      <c r="AH17" s="124"/>
      <c r="AI17" s="124"/>
      <c r="AJ17" s="458">
        <v>0.25</v>
      </c>
      <c r="AK17" s="124"/>
      <c r="AL17" s="124"/>
      <c r="AM17" s="454">
        <v>0.25</v>
      </c>
      <c r="AN17" s="471"/>
      <c r="AO17" s="471"/>
      <c r="AP17" s="454">
        <v>0.25</v>
      </c>
      <c r="AQ17" s="471"/>
      <c r="AR17" s="471"/>
      <c r="AS17" s="454"/>
      <c r="AT17" s="469">
        <f t="shared" si="0"/>
        <v>0.75</v>
      </c>
      <c r="AU17" s="469">
        <f t="shared" si="1"/>
        <v>0.75</v>
      </c>
      <c r="AV17" s="531" t="s">
        <v>976</v>
      </c>
      <c r="AW17" s="491" t="s">
        <v>981</v>
      </c>
      <c r="AX17" s="1210" t="s">
        <v>903</v>
      </c>
      <c r="AY17" s="412" t="s">
        <v>450</v>
      </c>
    </row>
    <row r="18" spans="1:51" ht="126.75" customHeight="1">
      <c r="A18" s="121"/>
      <c r="B18" s="121"/>
      <c r="C18" s="121"/>
      <c r="D18" s="121"/>
      <c r="E18" s="121" t="s">
        <v>425</v>
      </c>
      <c r="F18" s="121"/>
      <c r="G18" s="122" t="s">
        <v>553</v>
      </c>
      <c r="H18" s="122"/>
      <c r="I18" s="152" t="s">
        <v>554</v>
      </c>
      <c r="J18" s="308" t="s">
        <v>570</v>
      </c>
      <c r="K18" s="122" t="s">
        <v>430</v>
      </c>
      <c r="L18" s="124"/>
      <c r="M18" s="122" t="s">
        <v>431</v>
      </c>
      <c r="N18" s="308" t="s">
        <v>571</v>
      </c>
      <c r="O18" s="124"/>
      <c r="P18" s="124"/>
      <c r="Q18" s="124"/>
      <c r="R18" s="293">
        <v>1</v>
      </c>
      <c r="S18" s="124"/>
      <c r="T18" s="123" t="s">
        <v>433</v>
      </c>
      <c r="U18" s="152" t="s">
        <v>572</v>
      </c>
      <c r="V18" s="124"/>
      <c r="W18" s="124"/>
      <c r="X18" s="236">
        <v>0.25</v>
      </c>
      <c r="Y18" s="124"/>
      <c r="Z18" s="124"/>
      <c r="AA18" s="236">
        <v>0.25</v>
      </c>
      <c r="AB18" s="124"/>
      <c r="AC18" s="124"/>
      <c r="AD18" s="236">
        <v>0.25</v>
      </c>
      <c r="AE18" s="124"/>
      <c r="AF18" s="124"/>
      <c r="AG18" s="236">
        <v>0.25</v>
      </c>
      <c r="AH18" s="124"/>
      <c r="AI18" s="124"/>
      <c r="AJ18" s="458">
        <v>0.25</v>
      </c>
      <c r="AK18" s="124"/>
      <c r="AL18" s="124"/>
      <c r="AM18" s="454">
        <v>0.25</v>
      </c>
      <c r="AN18" s="471"/>
      <c r="AO18" s="471"/>
      <c r="AP18" s="454">
        <v>0.25</v>
      </c>
      <c r="AQ18" s="471"/>
      <c r="AR18" s="471"/>
      <c r="AS18" s="454"/>
      <c r="AT18" s="469">
        <f t="shared" si="0"/>
        <v>0.75</v>
      </c>
      <c r="AU18" s="469">
        <f t="shared" si="1"/>
        <v>0.75</v>
      </c>
      <c r="AV18" s="531" t="s">
        <v>976</v>
      </c>
      <c r="AW18" s="533" t="s">
        <v>982</v>
      </c>
      <c r="AX18" s="1210" t="s">
        <v>903</v>
      </c>
      <c r="AY18" s="412" t="s">
        <v>450</v>
      </c>
    </row>
    <row r="19" spans="1:51" ht="126.75" customHeight="1">
      <c r="A19" s="121"/>
      <c r="B19" s="121"/>
      <c r="C19" s="121"/>
      <c r="D19" s="121"/>
      <c r="E19" s="121" t="s">
        <v>425</v>
      </c>
      <c r="F19" s="121"/>
      <c r="G19" s="122" t="s">
        <v>553</v>
      </c>
      <c r="H19" s="122"/>
      <c r="I19" s="152" t="s">
        <v>554</v>
      </c>
      <c r="J19" s="308" t="s">
        <v>573</v>
      </c>
      <c r="K19" s="122" t="s">
        <v>430</v>
      </c>
      <c r="L19" s="124"/>
      <c r="M19" s="122" t="s">
        <v>431</v>
      </c>
      <c r="N19" s="309" t="s">
        <v>574</v>
      </c>
      <c r="O19" s="124"/>
      <c r="P19" s="124"/>
      <c r="Q19" s="124"/>
      <c r="R19" s="293">
        <v>1</v>
      </c>
      <c r="S19" s="124"/>
      <c r="T19" s="123" t="s">
        <v>433</v>
      </c>
      <c r="U19" s="310" t="s">
        <v>575</v>
      </c>
      <c r="V19" s="124"/>
      <c r="W19" s="124"/>
      <c r="X19" s="236">
        <v>0.14</v>
      </c>
      <c r="Y19" s="124"/>
      <c r="Z19" s="124"/>
      <c r="AA19" s="236">
        <v>0.21</v>
      </c>
      <c r="AB19" s="124"/>
      <c r="AC19" s="124"/>
      <c r="AD19" s="236">
        <v>0.23</v>
      </c>
      <c r="AE19" s="124"/>
      <c r="AF19" s="124"/>
      <c r="AG19" s="236">
        <v>0.42</v>
      </c>
      <c r="AH19" s="124"/>
      <c r="AI19" s="124"/>
      <c r="AJ19" s="458">
        <v>0.14</v>
      </c>
      <c r="AK19" s="124"/>
      <c r="AL19" s="124"/>
      <c r="AM19" s="454">
        <v>0.21</v>
      </c>
      <c r="AN19" s="471"/>
      <c r="AO19" s="471"/>
      <c r="AP19" s="454">
        <v>0.23</v>
      </c>
      <c r="AQ19" s="471"/>
      <c r="AR19" s="471"/>
      <c r="AS19" s="454"/>
      <c r="AT19" s="469">
        <f t="shared" si="0"/>
        <v>0.58</v>
      </c>
      <c r="AU19" s="469">
        <f t="shared" si="1"/>
        <v>0.58</v>
      </c>
      <c r="AV19" s="531" t="s">
        <v>976</v>
      </c>
      <c r="AW19" s="491" t="s">
        <v>983</v>
      </c>
      <c r="AX19" s="1210" t="s">
        <v>903</v>
      </c>
      <c r="AY19" s="412" t="s">
        <v>450</v>
      </c>
    </row>
    <row r="20" spans="1:51" ht="126.75" customHeight="1">
      <c r="A20" s="121"/>
      <c r="B20" s="121"/>
      <c r="C20" s="121"/>
      <c r="D20" s="121"/>
      <c r="E20" s="121" t="s">
        <v>425</v>
      </c>
      <c r="F20" s="121"/>
      <c r="G20" s="122" t="s">
        <v>553</v>
      </c>
      <c r="H20" s="122"/>
      <c r="I20" s="152" t="s">
        <v>554</v>
      </c>
      <c r="J20" s="308" t="s">
        <v>576</v>
      </c>
      <c r="K20" s="122" t="s">
        <v>430</v>
      </c>
      <c r="L20" s="124"/>
      <c r="M20" s="122" t="s">
        <v>431</v>
      </c>
      <c r="N20" s="308" t="s">
        <v>577</v>
      </c>
      <c r="O20" s="124"/>
      <c r="P20" s="124"/>
      <c r="Q20" s="124"/>
      <c r="R20" s="293">
        <v>1</v>
      </c>
      <c r="S20" s="124"/>
      <c r="T20" s="123" t="s">
        <v>433</v>
      </c>
      <c r="U20" s="152" t="s">
        <v>578</v>
      </c>
      <c r="V20" s="124"/>
      <c r="W20" s="124"/>
      <c r="X20" s="236">
        <v>0.14</v>
      </c>
      <c r="Y20" s="124"/>
      <c r="Z20" s="124"/>
      <c r="AA20" s="236">
        <v>0.21</v>
      </c>
      <c r="AB20" s="124"/>
      <c r="AC20" s="124"/>
      <c r="AD20" s="236">
        <v>0.23</v>
      </c>
      <c r="AE20" s="124"/>
      <c r="AF20" s="124"/>
      <c r="AG20" s="236">
        <v>0.42</v>
      </c>
      <c r="AH20" s="124"/>
      <c r="AI20" s="124"/>
      <c r="AJ20" s="458">
        <v>0.14</v>
      </c>
      <c r="AK20" s="124"/>
      <c r="AL20" s="124"/>
      <c r="AM20" s="454">
        <v>0.21</v>
      </c>
      <c r="AN20" s="471"/>
      <c r="AO20" s="471"/>
      <c r="AP20" s="454">
        <v>0.23</v>
      </c>
      <c r="AQ20" s="471"/>
      <c r="AR20" s="471"/>
      <c r="AS20" s="454"/>
      <c r="AT20" s="469">
        <f t="shared" si="0"/>
        <v>0.58</v>
      </c>
      <c r="AU20" s="469">
        <f t="shared" si="1"/>
        <v>0.58</v>
      </c>
      <c r="AV20" s="531" t="s">
        <v>976</v>
      </c>
      <c r="AW20" s="491" t="s">
        <v>984</v>
      </c>
      <c r="AX20" s="1210" t="s">
        <v>903</v>
      </c>
      <c r="AY20" s="412" t="s">
        <v>450</v>
      </c>
    </row>
    <row r="21" spans="1:51" s="113" customFormat="1" ht="54" customHeight="1">
      <c r="A21" s="798" t="s">
        <v>64</v>
      </c>
      <c r="B21" s="798"/>
      <c r="C21" s="798"/>
      <c r="D21" s="794" t="s">
        <v>66</v>
      </c>
      <c r="E21" s="794"/>
      <c r="F21" s="794"/>
      <c r="G21" s="794"/>
      <c r="H21" s="794"/>
      <c r="I21" s="794"/>
      <c r="J21" s="799" t="s">
        <v>300</v>
      </c>
      <c r="K21" s="799"/>
      <c r="L21" s="799"/>
      <c r="M21" s="799"/>
      <c r="N21" s="799"/>
      <c r="O21" s="799"/>
      <c r="P21" s="794" t="s">
        <v>66</v>
      </c>
      <c r="Q21" s="794"/>
      <c r="R21" s="794"/>
      <c r="S21" s="794"/>
      <c r="T21" s="794"/>
      <c r="U21" s="794"/>
      <c r="V21" s="794" t="s">
        <v>66</v>
      </c>
      <c r="W21" s="794"/>
      <c r="X21" s="794"/>
      <c r="Y21" s="794"/>
      <c r="Z21" s="794"/>
      <c r="AA21" s="794"/>
      <c r="AB21" s="794"/>
      <c r="AC21" s="794"/>
      <c r="AD21" s="794" t="s">
        <v>66</v>
      </c>
      <c r="AE21" s="794"/>
      <c r="AF21" s="794"/>
      <c r="AG21" s="794"/>
      <c r="AH21" s="794"/>
      <c r="AI21" s="794"/>
      <c r="AJ21" s="794"/>
      <c r="AK21" s="794"/>
      <c r="AL21" s="794"/>
      <c r="AM21" s="794"/>
      <c r="AN21" s="794"/>
      <c r="AO21" s="794"/>
      <c r="AP21" s="799" t="s">
        <v>318</v>
      </c>
      <c r="AQ21" s="799"/>
      <c r="AR21" s="799"/>
      <c r="AS21" s="799"/>
      <c r="AT21" s="794" t="s">
        <v>13</v>
      </c>
      <c r="AU21" s="794"/>
      <c r="AV21" s="794"/>
      <c r="AW21" s="794"/>
      <c r="AX21" s="794"/>
      <c r="AY21" s="794"/>
    </row>
    <row r="22" spans="1:51" s="113" customFormat="1" ht="30" customHeight="1">
      <c r="A22" s="798"/>
      <c r="B22" s="798"/>
      <c r="C22" s="798"/>
      <c r="D22" s="794" t="s">
        <v>806</v>
      </c>
      <c r="E22" s="794"/>
      <c r="F22" s="794"/>
      <c r="G22" s="794"/>
      <c r="H22" s="794"/>
      <c r="I22" s="794"/>
      <c r="J22" s="799"/>
      <c r="K22" s="799"/>
      <c r="L22" s="799"/>
      <c r="M22" s="799"/>
      <c r="N22" s="799"/>
      <c r="O22" s="799"/>
      <c r="P22" s="794" t="s">
        <v>807</v>
      </c>
      <c r="Q22" s="794"/>
      <c r="R22" s="794"/>
      <c r="S22" s="794"/>
      <c r="T22" s="794"/>
      <c r="U22" s="794"/>
      <c r="V22" s="794" t="s">
        <v>65</v>
      </c>
      <c r="W22" s="794"/>
      <c r="X22" s="794"/>
      <c r="Y22" s="794"/>
      <c r="Z22" s="794"/>
      <c r="AA22" s="794"/>
      <c r="AB22" s="794"/>
      <c r="AC22" s="794"/>
      <c r="AD22" s="794" t="s">
        <v>65</v>
      </c>
      <c r="AE22" s="794"/>
      <c r="AF22" s="794"/>
      <c r="AG22" s="794"/>
      <c r="AH22" s="794"/>
      <c r="AI22" s="794"/>
      <c r="AJ22" s="794"/>
      <c r="AK22" s="794"/>
      <c r="AL22" s="794"/>
      <c r="AM22" s="794"/>
      <c r="AN22" s="794"/>
      <c r="AO22" s="794"/>
      <c r="AP22" s="799"/>
      <c r="AQ22" s="799"/>
      <c r="AR22" s="799"/>
      <c r="AS22" s="799"/>
      <c r="AT22" s="794" t="s">
        <v>769</v>
      </c>
      <c r="AU22" s="794"/>
      <c r="AV22" s="794"/>
      <c r="AW22" s="794"/>
      <c r="AX22" s="794"/>
      <c r="AY22" s="794"/>
    </row>
    <row r="23" spans="1:51" s="113" customFormat="1" ht="30" customHeight="1">
      <c r="A23" s="798"/>
      <c r="B23" s="798"/>
      <c r="C23" s="798"/>
      <c r="D23" s="794" t="s">
        <v>809</v>
      </c>
      <c r="E23" s="794"/>
      <c r="F23" s="794"/>
      <c r="G23" s="794"/>
      <c r="H23" s="794"/>
      <c r="I23" s="794"/>
      <c r="J23" s="799"/>
      <c r="K23" s="799"/>
      <c r="L23" s="799"/>
      <c r="M23" s="799"/>
      <c r="N23" s="799"/>
      <c r="O23" s="799"/>
      <c r="P23" s="794" t="s">
        <v>808</v>
      </c>
      <c r="Q23" s="794"/>
      <c r="R23" s="794"/>
      <c r="S23" s="794"/>
      <c r="T23" s="794"/>
      <c r="U23" s="794"/>
      <c r="V23" s="794" t="s">
        <v>297</v>
      </c>
      <c r="W23" s="794"/>
      <c r="X23" s="794"/>
      <c r="Y23" s="794"/>
      <c r="Z23" s="794"/>
      <c r="AA23" s="794"/>
      <c r="AB23" s="794"/>
      <c r="AC23" s="794"/>
      <c r="AD23" s="794" t="s">
        <v>297</v>
      </c>
      <c r="AE23" s="794"/>
      <c r="AF23" s="794"/>
      <c r="AG23" s="794"/>
      <c r="AH23" s="794"/>
      <c r="AI23" s="794"/>
      <c r="AJ23" s="794"/>
      <c r="AK23" s="794"/>
      <c r="AL23" s="794"/>
      <c r="AM23" s="794"/>
      <c r="AN23" s="794"/>
      <c r="AO23" s="794"/>
      <c r="AP23" s="799"/>
      <c r="AQ23" s="799"/>
      <c r="AR23" s="799"/>
      <c r="AS23" s="799"/>
      <c r="AT23" s="794" t="s">
        <v>75</v>
      </c>
      <c r="AU23" s="794"/>
      <c r="AV23" s="794"/>
      <c r="AW23" s="794"/>
      <c r="AX23" s="794"/>
      <c r="AY23" s="794"/>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21:C23"/>
    <mergeCell ref="D21:I21"/>
    <mergeCell ref="J21:O23"/>
    <mergeCell ref="P21:U21"/>
    <mergeCell ref="V21:AC21"/>
    <mergeCell ref="AD21:AO21"/>
    <mergeCell ref="D23:I23"/>
    <mergeCell ref="AP21:AS23"/>
    <mergeCell ref="AT23:AY23"/>
    <mergeCell ref="AT21:AY21"/>
    <mergeCell ref="D22:I22"/>
    <mergeCell ref="P22:U22"/>
    <mergeCell ref="V22:AC22"/>
    <mergeCell ref="AD22:AO22"/>
    <mergeCell ref="AT22:AY22"/>
    <mergeCell ref="P23:U23"/>
    <mergeCell ref="V23:AC23"/>
    <mergeCell ref="AD23:AO23"/>
  </mergeCells>
  <printOptions/>
  <pageMargins left="0.7" right="0.7" top="0.75" bottom="0.75" header="0.3" footer="0.3"/>
  <pageSetup fitToHeight="0" fitToWidth="1" horizontalDpi="600" verticalDpi="600" orientation="landscape" scale="17" r:id="rId3"/>
  <legacyDrawing r:id="rId2"/>
</worksheet>
</file>

<file path=xl/worksheets/sheet24.xml><?xml version="1.0" encoding="utf-8"?>
<worksheet xmlns="http://schemas.openxmlformats.org/spreadsheetml/2006/main" xmlns:r="http://schemas.openxmlformats.org/officeDocument/2006/relationships">
  <sheetPr>
    <tabColor rgb="FF00B0F0"/>
    <pageSetUpPr fitToPage="1"/>
  </sheetPr>
  <dimension ref="A1:AY25"/>
  <sheetViews>
    <sheetView view="pageBreakPreview" zoomScale="60" zoomScaleNormal="85" zoomScalePageLayoutView="0" workbookViewId="0" topLeftCell="AG1">
      <selection activeCell="AQ13" sqref="AQ13:AQ22"/>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7" width="8.7109375" style="113" customWidth="1"/>
    <col min="18" max="18" width="8.7109375" style="131" customWidth="1"/>
    <col min="19" max="19" width="8.7109375" style="113" customWidth="1"/>
    <col min="20" max="20" width="22.28125" style="113" customWidth="1"/>
    <col min="21" max="21" width="17.00390625" style="113" customWidth="1"/>
    <col min="22" max="45" width="8.28125" style="113" customWidth="1"/>
    <col min="46" max="46" width="17.140625" style="113" customWidth="1"/>
    <col min="47" max="47" width="15.8515625" style="217" customWidth="1"/>
    <col min="48" max="48" width="54.8515625" style="113" customWidth="1"/>
    <col min="49" max="49" width="71.7109375" style="113" customWidth="1"/>
    <col min="50" max="51" width="24.421875" style="113" customWidth="1"/>
    <col min="52" max="16384" width="10.8515625" style="113" customWidth="1"/>
  </cols>
  <sheetData>
    <row r="1" spans="1:51" ht="15.75" customHeight="1">
      <c r="A1" s="777" t="s">
        <v>16</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M1" s="778"/>
      <c r="AN1" s="778"/>
      <c r="AO1" s="778"/>
      <c r="AP1" s="778"/>
      <c r="AQ1" s="778"/>
      <c r="AR1" s="778"/>
      <c r="AS1" s="778"/>
      <c r="AT1" s="778"/>
      <c r="AU1" s="778"/>
      <c r="AV1" s="778"/>
      <c r="AW1" s="779"/>
      <c r="AX1" s="1126" t="s">
        <v>423</v>
      </c>
      <c r="AY1" s="1127"/>
    </row>
    <row r="2" spans="1:51" ht="15.75" customHeight="1">
      <c r="A2" s="1152" t="s">
        <v>17</v>
      </c>
      <c r="B2" s="1153"/>
      <c r="C2" s="1153"/>
      <c r="D2" s="1153"/>
      <c r="E2" s="1153"/>
      <c r="F2" s="1153"/>
      <c r="G2" s="1153"/>
      <c r="H2" s="1153"/>
      <c r="I2" s="1153"/>
      <c r="J2" s="1153"/>
      <c r="K2" s="1153"/>
      <c r="L2" s="1153"/>
      <c r="M2" s="1153"/>
      <c r="N2" s="1153"/>
      <c r="O2" s="1153"/>
      <c r="P2" s="1153"/>
      <c r="Q2" s="1153"/>
      <c r="R2" s="1153"/>
      <c r="S2" s="1153"/>
      <c r="T2" s="1153"/>
      <c r="U2" s="1153"/>
      <c r="V2" s="1153"/>
      <c r="W2" s="1153"/>
      <c r="X2" s="1153"/>
      <c r="Y2" s="1153"/>
      <c r="Z2" s="1153"/>
      <c r="AA2" s="1153"/>
      <c r="AB2" s="1153"/>
      <c r="AC2" s="1153"/>
      <c r="AD2" s="1153"/>
      <c r="AE2" s="1153"/>
      <c r="AF2" s="1153"/>
      <c r="AG2" s="1153"/>
      <c r="AH2" s="1153"/>
      <c r="AI2" s="1153"/>
      <c r="AJ2" s="1153"/>
      <c r="AK2" s="1153"/>
      <c r="AL2" s="1153"/>
      <c r="AM2" s="1153"/>
      <c r="AN2" s="1153"/>
      <c r="AO2" s="1153"/>
      <c r="AP2" s="1153"/>
      <c r="AQ2" s="1153"/>
      <c r="AR2" s="1153"/>
      <c r="AS2" s="1153"/>
      <c r="AT2" s="1153"/>
      <c r="AU2" s="1153"/>
      <c r="AV2" s="1153"/>
      <c r="AW2" s="1154"/>
      <c r="AX2" s="1151" t="s">
        <v>418</v>
      </c>
      <c r="AY2" s="1172"/>
    </row>
    <row r="3" spans="1:51" ht="15" customHeight="1">
      <c r="A3" s="789" t="s">
        <v>195</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c r="AM3" s="790"/>
      <c r="AN3" s="790"/>
      <c r="AO3" s="790"/>
      <c r="AP3" s="790"/>
      <c r="AQ3" s="790"/>
      <c r="AR3" s="790"/>
      <c r="AS3" s="790"/>
      <c r="AT3" s="790"/>
      <c r="AU3" s="790"/>
      <c r="AV3" s="790"/>
      <c r="AW3" s="791"/>
      <c r="AX3" s="1151" t="s">
        <v>424</v>
      </c>
      <c r="AY3" s="1172"/>
    </row>
    <row r="4" spans="1:51" ht="15.75" customHeight="1">
      <c r="A4" s="777"/>
      <c r="B4" s="778"/>
      <c r="C4" s="778"/>
      <c r="D4" s="778"/>
      <c r="E4" s="778"/>
      <c r="F4" s="778"/>
      <c r="G4" s="778"/>
      <c r="H4" s="778"/>
      <c r="I4" s="778"/>
      <c r="J4" s="778"/>
      <c r="K4" s="778"/>
      <c r="L4" s="778"/>
      <c r="M4" s="778"/>
      <c r="N4" s="778"/>
      <c r="O4" s="778"/>
      <c r="P4" s="778"/>
      <c r="Q4" s="778"/>
      <c r="R4" s="778"/>
      <c r="S4" s="778"/>
      <c r="T4" s="778"/>
      <c r="U4" s="778"/>
      <c r="V4" s="778"/>
      <c r="W4" s="778"/>
      <c r="X4" s="778"/>
      <c r="Y4" s="778"/>
      <c r="Z4" s="778"/>
      <c r="AA4" s="778"/>
      <c r="AB4" s="778"/>
      <c r="AC4" s="778"/>
      <c r="AD4" s="778"/>
      <c r="AE4" s="778"/>
      <c r="AF4" s="778"/>
      <c r="AG4" s="778"/>
      <c r="AH4" s="778"/>
      <c r="AI4" s="778"/>
      <c r="AJ4" s="778"/>
      <c r="AK4" s="778"/>
      <c r="AL4" s="778"/>
      <c r="AM4" s="778"/>
      <c r="AN4" s="778"/>
      <c r="AO4" s="778"/>
      <c r="AP4" s="778"/>
      <c r="AQ4" s="778"/>
      <c r="AR4" s="778"/>
      <c r="AS4" s="778"/>
      <c r="AT4" s="778"/>
      <c r="AU4" s="778"/>
      <c r="AV4" s="778"/>
      <c r="AW4" s="779"/>
      <c r="AX4" s="776" t="s">
        <v>788</v>
      </c>
      <c r="AY4" s="776"/>
    </row>
    <row r="5" spans="1:51" ht="15" customHeight="1" thickBot="1">
      <c r="A5" s="780" t="s">
        <v>174</v>
      </c>
      <c r="B5" s="781"/>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2"/>
      <c r="AH5" s="805" t="s">
        <v>69</v>
      </c>
      <c r="AI5" s="806"/>
      <c r="AJ5" s="806"/>
      <c r="AK5" s="806"/>
      <c r="AL5" s="806"/>
      <c r="AM5" s="806"/>
      <c r="AN5" s="806"/>
      <c r="AO5" s="806"/>
      <c r="AP5" s="806"/>
      <c r="AQ5" s="806"/>
      <c r="AR5" s="806"/>
      <c r="AS5" s="806"/>
      <c r="AT5" s="806"/>
      <c r="AU5" s="807"/>
      <c r="AV5" s="795" t="s">
        <v>409</v>
      </c>
      <c r="AW5" s="795" t="s">
        <v>410</v>
      </c>
      <c r="AX5" s="795" t="s">
        <v>298</v>
      </c>
      <c r="AY5" s="795" t="s">
        <v>299</v>
      </c>
    </row>
    <row r="6" spans="1:51" ht="15" customHeight="1">
      <c r="A6" s="814" t="s">
        <v>71</v>
      </c>
      <c r="B6" s="814"/>
      <c r="C6" s="814"/>
      <c r="D6" s="864" t="s">
        <v>861</v>
      </c>
      <c r="E6" s="865"/>
      <c r="F6" s="805" t="s">
        <v>67</v>
      </c>
      <c r="G6" s="807"/>
      <c r="H6" s="1171" t="s">
        <v>70</v>
      </c>
      <c r="I6" s="1171"/>
      <c r="J6" s="121"/>
      <c r="K6" s="805"/>
      <c r="L6" s="806"/>
      <c r="M6" s="806"/>
      <c r="N6" s="806"/>
      <c r="O6" s="806"/>
      <c r="P6" s="806"/>
      <c r="Q6" s="806"/>
      <c r="R6" s="806"/>
      <c r="S6" s="806"/>
      <c r="T6" s="806"/>
      <c r="U6" s="806"/>
      <c r="V6" s="114"/>
      <c r="W6" s="114"/>
      <c r="X6" s="114"/>
      <c r="Y6" s="114"/>
      <c r="Z6" s="114"/>
      <c r="AA6" s="114"/>
      <c r="AB6" s="114"/>
      <c r="AC6" s="114"/>
      <c r="AD6" s="114"/>
      <c r="AE6" s="114"/>
      <c r="AF6" s="114"/>
      <c r="AG6" s="115"/>
      <c r="AH6" s="808"/>
      <c r="AI6" s="1170"/>
      <c r="AJ6" s="1170"/>
      <c r="AK6" s="1170"/>
      <c r="AL6" s="1170"/>
      <c r="AM6" s="1170"/>
      <c r="AN6" s="1170"/>
      <c r="AO6" s="1170"/>
      <c r="AP6" s="1170"/>
      <c r="AQ6" s="1170"/>
      <c r="AR6" s="1170"/>
      <c r="AS6" s="1170"/>
      <c r="AT6" s="1170"/>
      <c r="AU6" s="810"/>
      <c r="AV6" s="803"/>
      <c r="AW6" s="803"/>
      <c r="AX6" s="803"/>
      <c r="AY6" s="803"/>
    </row>
    <row r="7" spans="1:51" ht="15" customHeight="1">
      <c r="A7" s="814"/>
      <c r="B7" s="814"/>
      <c r="C7" s="814"/>
      <c r="D7" s="866"/>
      <c r="E7" s="867"/>
      <c r="F7" s="808"/>
      <c r="G7" s="810"/>
      <c r="H7" s="1171" t="s">
        <v>68</v>
      </c>
      <c r="I7" s="1171"/>
      <c r="J7" s="121"/>
      <c r="K7" s="808"/>
      <c r="L7" s="1170"/>
      <c r="M7" s="1170"/>
      <c r="N7" s="1170"/>
      <c r="O7" s="1170"/>
      <c r="P7" s="1170"/>
      <c r="Q7" s="1170"/>
      <c r="R7" s="1170"/>
      <c r="S7" s="1170"/>
      <c r="T7" s="1170"/>
      <c r="U7" s="1170"/>
      <c r="V7" s="231"/>
      <c r="W7" s="231"/>
      <c r="X7" s="231"/>
      <c r="Y7" s="231"/>
      <c r="Z7" s="231"/>
      <c r="AA7" s="231"/>
      <c r="AB7" s="231"/>
      <c r="AC7" s="231"/>
      <c r="AD7" s="231"/>
      <c r="AE7" s="231"/>
      <c r="AF7" s="231"/>
      <c r="AG7" s="117"/>
      <c r="AH7" s="808"/>
      <c r="AI7" s="1170"/>
      <c r="AJ7" s="1170"/>
      <c r="AK7" s="1170"/>
      <c r="AL7" s="1170"/>
      <c r="AM7" s="1170"/>
      <c r="AN7" s="1170"/>
      <c r="AO7" s="1170"/>
      <c r="AP7" s="1170"/>
      <c r="AQ7" s="1170"/>
      <c r="AR7" s="1170"/>
      <c r="AS7" s="1170"/>
      <c r="AT7" s="1170"/>
      <c r="AU7" s="810"/>
      <c r="AV7" s="803"/>
      <c r="AW7" s="803"/>
      <c r="AX7" s="803"/>
      <c r="AY7" s="803"/>
    </row>
    <row r="8" spans="1:51" ht="15" customHeight="1" thickBot="1">
      <c r="A8" s="814"/>
      <c r="B8" s="814"/>
      <c r="C8" s="814"/>
      <c r="D8" s="868"/>
      <c r="E8" s="869"/>
      <c r="F8" s="811"/>
      <c r="G8" s="813"/>
      <c r="H8" s="1171" t="s">
        <v>69</v>
      </c>
      <c r="I8" s="1171"/>
      <c r="J8" s="121" t="s">
        <v>425</v>
      </c>
      <c r="K8" s="811"/>
      <c r="L8" s="812"/>
      <c r="M8" s="812"/>
      <c r="N8" s="812"/>
      <c r="O8" s="812"/>
      <c r="P8" s="812"/>
      <c r="Q8" s="812"/>
      <c r="R8" s="812"/>
      <c r="S8" s="812"/>
      <c r="T8" s="812"/>
      <c r="U8" s="812"/>
      <c r="V8" s="118"/>
      <c r="W8" s="118"/>
      <c r="X8" s="118"/>
      <c r="Y8" s="118"/>
      <c r="Z8" s="118"/>
      <c r="AA8" s="118"/>
      <c r="AB8" s="118"/>
      <c r="AC8" s="118"/>
      <c r="AD8" s="118"/>
      <c r="AE8" s="118"/>
      <c r="AF8" s="118"/>
      <c r="AG8" s="119"/>
      <c r="AH8" s="808"/>
      <c r="AI8" s="1170"/>
      <c r="AJ8" s="1170"/>
      <c r="AK8" s="1170"/>
      <c r="AL8" s="1170"/>
      <c r="AM8" s="1170"/>
      <c r="AN8" s="1170"/>
      <c r="AO8" s="1170"/>
      <c r="AP8" s="1170"/>
      <c r="AQ8" s="1170"/>
      <c r="AR8" s="1170"/>
      <c r="AS8" s="1170"/>
      <c r="AT8" s="1170"/>
      <c r="AU8" s="810"/>
      <c r="AV8" s="803"/>
      <c r="AW8" s="803"/>
      <c r="AX8" s="803"/>
      <c r="AY8" s="803"/>
    </row>
    <row r="9" spans="1:51" ht="15" customHeight="1">
      <c r="A9" s="783" t="s">
        <v>399</v>
      </c>
      <c r="B9" s="784"/>
      <c r="C9" s="785"/>
      <c r="D9" s="819"/>
      <c r="E9" s="820"/>
      <c r="F9" s="820"/>
      <c r="G9" s="820"/>
      <c r="H9" s="820"/>
      <c r="I9" s="820"/>
      <c r="J9" s="820"/>
      <c r="K9" s="821"/>
      <c r="L9" s="821"/>
      <c r="M9" s="821"/>
      <c r="N9" s="821"/>
      <c r="O9" s="821"/>
      <c r="P9" s="821"/>
      <c r="Q9" s="821"/>
      <c r="R9" s="821"/>
      <c r="S9" s="821"/>
      <c r="T9" s="821"/>
      <c r="U9" s="821"/>
      <c r="V9" s="821"/>
      <c r="W9" s="821"/>
      <c r="X9" s="821"/>
      <c r="Y9" s="821"/>
      <c r="Z9" s="821"/>
      <c r="AA9" s="821"/>
      <c r="AB9" s="821"/>
      <c r="AC9" s="821"/>
      <c r="AD9" s="821"/>
      <c r="AE9" s="821"/>
      <c r="AF9" s="821"/>
      <c r="AG9" s="822"/>
      <c r="AH9" s="808"/>
      <c r="AI9" s="1170"/>
      <c r="AJ9" s="1170"/>
      <c r="AK9" s="1170"/>
      <c r="AL9" s="1170"/>
      <c r="AM9" s="1170"/>
      <c r="AN9" s="1170"/>
      <c r="AO9" s="1170"/>
      <c r="AP9" s="1170"/>
      <c r="AQ9" s="1170"/>
      <c r="AR9" s="1170"/>
      <c r="AS9" s="1170"/>
      <c r="AT9" s="1170"/>
      <c r="AU9" s="810"/>
      <c r="AV9" s="803"/>
      <c r="AW9" s="803"/>
      <c r="AX9" s="803"/>
      <c r="AY9" s="803"/>
    </row>
    <row r="10" spans="1:51" ht="15" customHeight="1">
      <c r="A10" s="816" t="s">
        <v>287</v>
      </c>
      <c r="B10" s="817"/>
      <c r="C10" s="818"/>
      <c r="D10" s="823" t="s">
        <v>500</v>
      </c>
      <c r="E10" s="821"/>
      <c r="F10" s="821"/>
      <c r="G10" s="821"/>
      <c r="H10" s="821"/>
      <c r="I10" s="821"/>
      <c r="J10" s="821"/>
      <c r="K10" s="821"/>
      <c r="L10" s="821"/>
      <c r="M10" s="821"/>
      <c r="N10" s="821"/>
      <c r="O10" s="821"/>
      <c r="P10" s="821"/>
      <c r="Q10" s="821"/>
      <c r="R10" s="821"/>
      <c r="S10" s="821"/>
      <c r="T10" s="821"/>
      <c r="U10" s="821"/>
      <c r="V10" s="821"/>
      <c r="W10" s="821"/>
      <c r="X10" s="821"/>
      <c r="Y10" s="821"/>
      <c r="Z10" s="821"/>
      <c r="AA10" s="821"/>
      <c r="AB10" s="821"/>
      <c r="AC10" s="821"/>
      <c r="AD10" s="821"/>
      <c r="AE10" s="821"/>
      <c r="AF10" s="821"/>
      <c r="AG10" s="822"/>
      <c r="AH10" s="811"/>
      <c r="AI10" s="812"/>
      <c r="AJ10" s="812"/>
      <c r="AK10" s="812"/>
      <c r="AL10" s="812"/>
      <c r="AM10" s="812"/>
      <c r="AN10" s="812"/>
      <c r="AO10" s="812"/>
      <c r="AP10" s="812"/>
      <c r="AQ10" s="812"/>
      <c r="AR10" s="812"/>
      <c r="AS10" s="812"/>
      <c r="AT10" s="812"/>
      <c r="AU10" s="813"/>
      <c r="AV10" s="803"/>
      <c r="AW10" s="803"/>
      <c r="AX10" s="803"/>
      <c r="AY10" s="803"/>
    </row>
    <row r="11" spans="1:51" ht="39.75" customHeight="1">
      <c r="A11" s="792" t="s">
        <v>168</v>
      </c>
      <c r="B11" s="797"/>
      <c r="C11" s="797"/>
      <c r="D11" s="797"/>
      <c r="E11" s="797"/>
      <c r="F11" s="793"/>
      <c r="G11" s="792" t="s">
        <v>278</v>
      </c>
      <c r="H11" s="793"/>
      <c r="I11" s="795" t="s">
        <v>179</v>
      </c>
      <c r="J11" s="795" t="s">
        <v>279</v>
      </c>
      <c r="K11" s="795" t="s">
        <v>323</v>
      </c>
      <c r="L11" s="795" t="s">
        <v>363</v>
      </c>
      <c r="M11" s="795" t="s">
        <v>167</v>
      </c>
      <c r="N11" s="795" t="s">
        <v>182</v>
      </c>
      <c r="O11" s="792" t="s">
        <v>284</v>
      </c>
      <c r="P11" s="797"/>
      <c r="Q11" s="797"/>
      <c r="R11" s="797"/>
      <c r="S11" s="793"/>
      <c r="T11" s="795" t="s">
        <v>173</v>
      </c>
      <c r="U11" s="795" t="s">
        <v>285</v>
      </c>
      <c r="V11" s="780" t="s">
        <v>370</v>
      </c>
      <c r="W11" s="781"/>
      <c r="X11" s="781"/>
      <c r="Y11" s="781"/>
      <c r="Z11" s="781"/>
      <c r="AA11" s="781"/>
      <c r="AB11" s="781"/>
      <c r="AC11" s="781"/>
      <c r="AD11" s="781"/>
      <c r="AE11" s="781"/>
      <c r="AF11" s="781"/>
      <c r="AG11" s="782"/>
      <c r="AH11" s="780" t="s">
        <v>87</v>
      </c>
      <c r="AI11" s="781"/>
      <c r="AJ11" s="781"/>
      <c r="AK11" s="781"/>
      <c r="AL11" s="781"/>
      <c r="AM11" s="781"/>
      <c r="AN11" s="781"/>
      <c r="AO11" s="781"/>
      <c r="AP11" s="781"/>
      <c r="AQ11" s="781"/>
      <c r="AR11" s="781"/>
      <c r="AS11" s="782"/>
      <c r="AT11" s="792" t="s">
        <v>8</v>
      </c>
      <c r="AU11" s="793"/>
      <c r="AV11" s="803"/>
      <c r="AW11" s="803"/>
      <c r="AX11" s="803"/>
      <c r="AY11" s="803"/>
    </row>
    <row r="12" spans="1:51" ht="42.75">
      <c r="A12" s="120" t="s">
        <v>169</v>
      </c>
      <c r="B12" s="120" t="s">
        <v>170</v>
      </c>
      <c r="C12" s="120" t="s">
        <v>171</v>
      </c>
      <c r="D12" s="120" t="s">
        <v>178</v>
      </c>
      <c r="E12" s="120" t="s">
        <v>185</v>
      </c>
      <c r="F12" s="120" t="s">
        <v>186</v>
      </c>
      <c r="G12" s="120" t="s">
        <v>277</v>
      </c>
      <c r="H12" s="120" t="s">
        <v>184</v>
      </c>
      <c r="I12" s="796"/>
      <c r="J12" s="796"/>
      <c r="K12" s="796"/>
      <c r="L12" s="796"/>
      <c r="M12" s="796"/>
      <c r="N12" s="796"/>
      <c r="O12" s="120">
        <v>2020</v>
      </c>
      <c r="P12" s="120">
        <v>2021</v>
      </c>
      <c r="Q12" s="120">
        <v>2022</v>
      </c>
      <c r="R12" s="120">
        <v>2023</v>
      </c>
      <c r="S12" s="120">
        <v>2024</v>
      </c>
      <c r="T12" s="796"/>
      <c r="U12" s="796"/>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96"/>
      <c r="AW12" s="796"/>
      <c r="AX12" s="796"/>
      <c r="AY12" s="796"/>
    </row>
    <row r="13" spans="1:51" ht="195">
      <c r="A13" s="121"/>
      <c r="B13" s="121"/>
      <c r="C13" s="121"/>
      <c r="D13" s="121"/>
      <c r="E13" s="121" t="s">
        <v>425</v>
      </c>
      <c r="F13" s="121"/>
      <c r="G13" s="122" t="s">
        <v>427</v>
      </c>
      <c r="H13" s="122" t="s">
        <v>840</v>
      </c>
      <c r="I13" s="232" t="s">
        <v>428</v>
      </c>
      <c r="J13" s="233" t="s">
        <v>429</v>
      </c>
      <c r="K13" s="122" t="s">
        <v>430</v>
      </c>
      <c r="L13" s="121"/>
      <c r="M13" s="122" t="s">
        <v>431</v>
      </c>
      <c r="N13" s="122" t="s">
        <v>432</v>
      </c>
      <c r="O13" s="123"/>
      <c r="P13" s="123"/>
      <c r="Q13" s="123"/>
      <c r="R13" s="234">
        <v>1</v>
      </c>
      <c r="S13" s="123"/>
      <c r="T13" s="235" t="s">
        <v>433</v>
      </c>
      <c r="U13" s="232" t="s">
        <v>434</v>
      </c>
      <c r="V13" s="236"/>
      <c r="W13" s="236"/>
      <c r="X13" s="236">
        <v>0.25</v>
      </c>
      <c r="Y13" s="236"/>
      <c r="Z13" s="236"/>
      <c r="AA13" s="236">
        <v>0.25</v>
      </c>
      <c r="AB13" s="236"/>
      <c r="AC13" s="236"/>
      <c r="AD13" s="236">
        <v>0.25</v>
      </c>
      <c r="AE13" s="236"/>
      <c r="AF13" s="236"/>
      <c r="AG13" s="236">
        <v>0.25</v>
      </c>
      <c r="AH13" s="124"/>
      <c r="AI13" s="124"/>
      <c r="AJ13" s="127">
        <v>0.25</v>
      </c>
      <c r="AK13" s="128"/>
      <c r="AL13" s="381"/>
      <c r="AM13" s="470">
        <v>0.25</v>
      </c>
      <c r="AN13" s="465"/>
      <c r="AO13" s="124"/>
      <c r="AP13" s="454">
        <v>0.25</v>
      </c>
      <c r="AQ13" s="471"/>
      <c r="AR13" s="124"/>
      <c r="AS13" s="124"/>
      <c r="AT13" s="127">
        <f>SUM(AH13:AS13)</f>
        <v>0.75</v>
      </c>
      <c r="AU13" s="379">
        <f>+AT13/R13</f>
        <v>0.75</v>
      </c>
      <c r="AV13" s="533" t="s">
        <v>901</v>
      </c>
      <c r="AW13" s="473" t="s">
        <v>985</v>
      </c>
      <c r="AX13" s="535" t="s">
        <v>903</v>
      </c>
      <c r="AY13" s="478" t="s">
        <v>450</v>
      </c>
    </row>
    <row r="14" spans="1:51" ht="195">
      <c r="A14" s="121"/>
      <c r="B14" s="121"/>
      <c r="C14" s="121"/>
      <c r="D14" s="121"/>
      <c r="E14" s="121" t="s">
        <v>425</v>
      </c>
      <c r="F14" s="121"/>
      <c r="G14" s="122" t="s">
        <v>427</v>
      </c>
      <c r="H14" s="122" t="s">
        <v>840</v>
      </c>
      <c r="I14" s="232" t="s">
        <v>435</v>
      </c>
      <c r="J14" s="233" t="s">
        <v>436</v>
      </c>
      <c r="K14" s="124" t="s">
        <v>430</v>
      </c>
      <c r="L14" s="124"/>
      <c r="M14" s="122" t="s">
        <v>437</v>
      </c>
      <c r="N14" s="237" t="s">
        <v>438</v>
      </c>
      <c r="O14" s="124"/>
      <c r="P14" s="124"/>
      <c r="Q14" s="124"/>
      <c r="R14" s="235">
        <v>1</v>
      </c>
      <c r="S14" s="124"/>
      <c r="T14" s="235" t="s">
        <v>439</v>
      </c>
      <c r="U14" s="232" t="s">
        <v>440</v>
      </c>
      <c r="V14" s="236"/>
      <c r="W14" s="236"/>
      <c r="X14" s="236"/>
      <c r="Y14" s="236"/>
      <c r="Z14" s="236"/>
      <c r="AA14" s="236"/>
      <c r="AB14" s="236"/>
      <c r="AC14" s="236"/>
      <c r="AD14" s="236"/>
      <c r="AE14" s="236"/>
      <c r="AF14" s="236"/>
      <c r="AG14" s="238">
        <v>1</v>
      </c>
      <c r="AH14" s="124"/>
      <c r="AI14" s="124"/>
      <c r="AJ14" s="124"/>
      <c r="AK14" s="128"/>
      <c r="AL14" s="381"/>
      <c r="AM14" s="471"/>
      <c r="AN14" s="465"/>
      <c r="AO14" s="124"/>
      <c r="AP14" s="465"/>
      <c r="AQ14" s="471"/>
      <c r="AR14" s="124"/>
      <c r="AS14" s="124"/>
      <c r="AT14" s="124">
        <f aca="true" t="shared" si="0" ref="AT14:AT22">SUM(AH14:AS14)</f>
        <v>0</v>
      </c>
      <c r="AU14" s="379">
        <f aca="true" t="shared" si="1" ref="AU14:AU22">+AT14/R14</f>
        <v>0</v>
      </c>
      <c r="AV14" s="473" t="s">
        <v>901</v>
      </c>
      <c r="AW14" s="473" t="s">
        <v>986</v>
      </c>
      <c r="AX14" s="477" t="s">
        <v>450</v>
      </c>
      <c r="AY14" s="478" t="s">
        <v>450</v>
      </c>
    </row>
    <row r="15" spans="1:51" ht="390">
      <c r="A15" s="121"/>
      <c r="B15" s="121"/>
      <c r="C15" s="121"/>
      <c r="D15" s="121"/>
      <c r="E15" s="121" t="s">
        <v>425</v>
      </c>
      <c r="F15" s="121"/>
      <c r="G15" s="122" t="s">
        <v>427</v>
      </c>
      <c r="H15" s="122" t="s">
        <v>840</v>
      </c>
      <c r="I15" s="232" t="s">
        <v>441</v>
      </c>
      <c r="J15" s="233" t="s">
        <v>442</v>
      </c>
      <c r="K15" s="124" t="s">
        <v>430</v>
      </c>
      <c r="L15" s="124"/>
      <c r="M15" s="121" t="s">
        <v>437</v>
      </c>
      <c r="N15" s="237" t="s">
        <v>443</v>
      </c>
      <c r="O15" s="124"/>
      <c r="P15" s="124"/>
      <c r="Q15" s="124"/>
      <c r="R15" s="235">
        <v>12</v>
      </c>
      <c r="S15" s="124"/>
      <c r="T15" s="235" t="s">
        <v>444</v>
      </c>
      <c r="U15" s="232" t="s">
        <v>445</v>
      </c>
      <c r="V15" s="236"/>
      <c r="W15" s="236"/>
      <c r="X15" s="238"/>
      <c r="Y15" s="238">
        <v>4</v>
      </c>
      <c r="Z15" s="238"/>
      <c r="AA15" s="238"/>
      <c r="AB15" s="238"/>
      <c r="AC15" s="238">
        <v>4</v>
      </c>
      <c r="AD15" s="238"/>
      <c r="AE15" s="238"/>
      <c r="AF15" s="238"/>
      <c r="AG15" s="238">
        <v>4</v>
      </c>
      <c r="AH15" s="124"/>
      <c r="AI15" s="124"/>
      <c r="AJ15" s="124"/>
      <c r="AK15" s="128">
        <v>4</v>
      </c>
      <c r="AL15" s="381"/>
      <c r="AM15" s="471"/>
      <c r="AN15" s="465"/>
      <c r="AO15" s="124">
        <v>5</v>
      </c>
      <c r="AP15" s="465"/>
      <c r="AQ15" s="471"/>
      <c r="AR15" s="124"/>
      <c r="AS15" s="124"/>
      <c r="AT15" s="124">
        <f t="shared" si="0"/>
        <v>9</v>
      </c>
      <c r="AU15" s="379">
        <f t="shared" si="1"/>
        <v>0.75</v>
      </c>
      <c r="AV15" s="473" t="s">
        <v>901</v>
      </c>
      <c r="AW15" s="473" t="s">
        <v>987</v>
      </c>
      <c r="AX15" s="467" t="s">
        <v>903</v>
      </c>
      <c r="AY15" s="478" t="s">
        <v>450</v>
      </c>
    </row>
    <row r="16" spans="1:51" ht="267" customHeight="1">
      <c r="A16" s="121"/>
      <c r="B16" s="121"/>
      <c r="C16" s="121"/>
      <c r="D16" s="121"/>
      <c r="E16" s="121" t="s">
        <v>425</v>
      </c>
      <c r="F16" s="121"/>
      <c r="G16" s="122" t="s">
        <v>427</v>
      </c>
      <c r="H16" s="122" t="s">
        <v>840</v>
      </c>
      <c r="I16" s="232" t="s">
        <v>446</v>
      </c>
      <c r="J16" s="233" t="s">
        <v>447</v>
      </c>
      <c r="K16" s="124" t="s">
        <v>430</v>
      </c>
      <c r="L16" s="124"/>
      <c r="M16" s="122" t="s">
        <v>437</v>
      </c>
      <c r="N16" s="233" t="s">
        <v>448</v>
      </c>
      <c r="O16" s="124"/>
      <c r="P16" s="124"/>
      <c r="Q16" s="124"/>
      <c r="R16" s="235">
        <v>6</v>
      </c>
      <c r="S16" s="124"/>
      <c r="T16" s="235" t="s">
        <v>444</v>
      </c>
      <c r="U16" s="232" t="s">
        <v>449</v>
      </c>
      <c r="V16" s="236"/>
      <c r="W16" s="236"/>
      <c r="X16" s="236"/>
      <c r="Y16" s="239">
        <v>2</v>
      </c>
      <c r="Z16" s="239"/>
      <c r="AA16" s="240"/>
      <c r="AB16" s="239"/>
      <c r="AC16" s="239">
        <v>2</v>
      </c>
      <c r="AD16" s="236"/>
      <c r="AE16" s="236"/>
      <c r="AF16" s="236"/>
      <c r="AG16" s="238">
        <v>2</v>
      </c>
      <c r="AH16" s="124"/>
      <c r="AI16" s="124"/>
      <c r="AJ16" s="124"/>
      <c r="AK16" s="128">
        <v>4</v>
      </c>
      <c r="AL16" s="381"/>
      <c r="AM16" s="471"/>
      <c r="AN16" s="465"/>
      <c r="AO16" s="124">
        <v>2</v>
      </c>
      <c r="AP16" s="465"/>
      <c r="AQ16" s="471"/>
      <c r="AR16" s="124"/>
      <c r="AS16" s="124"/>
      <c r="AT16" s="124">
        <f t="shared" si="0"/>
        <v>6</v>
      </c>
      <c r="AU16" s="379">
        <f>+AT16/R16</f>
        <v>1</v>
      </c>
      <c r="AV16" s="473" t="s">
        <v>901</v>
      </c>
      <c r="AW16" s="473" t="s">
        <v>988</v>
      </c>
      <c r="AX16" s="467" t="s">
        <v>903</v>
      </c>
      <c r="AY16" s="478" t="s">
        <v>450</v>
      </c>
    </row>
    <row r="17" spans="1:51" ht="180">
      <c r="A17" s="121"/>
      <c r="B17" s="121"/>
      <c r="C17" s="121"/>
      <c r="D17" s="121"/>
      <c r="E17" s="121" t="s">
        <v>425</v>
      </c>
      <c r="F17" s="121"/>
      <c r="G17" s="122" t="s">
        <v>427</v>
      </c>
      <c r="H17" s="121" t="s">
        <v>450</v>
      </c>
      <c r="I17" s="232" t="s">
        <v>451</v>
      </c>
      <c r="J17" s="233" t="s">
        <v>452</v>
      </c>
      <c r="K17" s="124" t="s">
        <v>453</v>
      </c>
      <c r="L17" s="235"/>
      <c r="M17" s="121" t="s">
        <v>431</v>
      </c>
      <c r="N17" s="122" t="s">
        <v>454</v>
      </c>
      <c r="O17" s="124"/>
      <c r="P17" s="124"/>
      <c r="Q17" s="124"/>
      <c r="R17" s="234">
        <v>1</v>
      </c>
      <c r="S17" s="124"/>
      <c r="T17" s="235" t="s">
        <v>455</v>
      </c>
      <c r="U17" s="232" t="s">
        <v>456</v>
      </c>
      <c r="V17" s="236"/>
      <c r="W17" s="236"/>
      <c r="X17" s="236"/>
      <c r="Y17" s="236"/>
      <c r="Z17" s="236"/>
      <c r="AA17" s="236">
        <v>1</v>
      </c>
      <c r="AB17" s="236"/>
      <c r="AC17" s="236"/>
      <c r="AD17" s="236"/>
      <c r="AE17" s="236"/>
      <c r="AF17" s="236"/>
      <c r="AG17" s="236">
        <v>1</v>
      </c>
      <c r="AH17" s="124"/>
      <c r="AI17" s="124"/>
      <c r="AJ17" s="124"/>
      <c r="AK17" s="128"/>
      <c r="AL17" s="463"/>
      <c r="AM17" s="469">
        <v>1</v>
      </c>
      <c r="AN17" s="465"/>
      <c r="AO17" s="124"/>
      <c r="AP17" s="465"/>
      <c r="AQ17" s="471"/>
      <c r="AR17" s="124"/>
      <c r="AS17" s="124"/>
      <c r="AT17" s="464">
        <f>AVERAGE(AH17:AS17)</f>
        <v>1</v>
      </c>
      <c r="AU17" s="382">
        <f>+(SUM(AH17:AS17)/+SUM(V17:AG17))</f>
        <v>0.5</v>
      </c>
      <c r="AV17" s="473" t="s">
        <v>901</v>
      </c>
      <c r="AW17" s="473" t="s">
        <v>989</v>
      </c>
      <c r="AX17" s="467" t="s">
        <v>903</v>
      </c>
      <c r="AY17" s="478" t="s">
        <v>450</v>
      </c>
    </row>
    <row r="18" spans="1:51" ht="156" customHeight="1">
      <c r="A18" s="121"/>
      <c r="B18" s="121"/>
      <c r="C18" s="121"/>
      <c r="D18" s="121"/>
      <c r="E18" s="121" t="s">
        <v>425</v>
      </c>
      <c r="F18" s="121"/>
      <c r="G18" s="122" t="s">
        <v>427</v>
      </c>
      <c r="H18" s="121" t="s">
        <v>450</v>
      </c>
      <c r="I18" s="232" t="s">
        <v>457</v>
      </c>
      <c r="J18" s="233" t="s">
        <v>458</v>
      </c>
      <c r="K18" s="124" t="s">
        <v>453</v>
      </c>
      <c r="L18" s="235"/>
      <c r="M18" s="121" t="s">
        <v>431</v>
      </c>
      <c r="N18" s="122" t="s">
        <v>459</v>
      </c>
      <c r="O18" s="124"/>
      <c r="P18" s="124"/>
      <c r="Q18" s="124"/>
      <c r="R18" s="234">
        <v>1</v>
      </c>
      <c r="S18" s="124"/>
      <c r="T18" s="235" t="s">
        <v>460</v>
      </c>
      <c r="U18" s="232" t="s">
        <v>461</v>
      </c>
      <c r="V18" s="236">
        <v>1</v>
      </c>
      <c r="W18" s="236">
        <v>1</v>
      </c>
      <c r="X18" s="236">
        <v>1</v>
      </c>
      <c r="Y18" s="236">
        <v>1</v>
      </c>
      <c r="Z18" s="236">
        <v>1</v>
      </c>
      <c r="AA18" s="236">
        <v>1</v>
      </c>
      <c r="AB18" s="236">
        <v>1</v>
      </c>
      <c r="AC18" s="236">
        <v>1</v>
      </c>
      <c r="AD18" s="236">
        <v>1</v>
      </c>
      <c r="AE18" s="236">
        <v>1</v>
      </c>
      <c r="AF18" s="236">
        <v>1</v>
      </c>
      <c r="AG18" s="236">
        <v>1</v>
      </c>
      <c r="AH18" s="127">
        <v>1</v>
      </c>
      <c r="AI18" s="127">
        <v>1</v>
      </c>
      <c r="AJ18" s="127">
        <v>1</v>
      </c>
      <c r="AK18" s="454">
        <v>1</v>
      </c>
      <c r="AL18" s="380">
        <v>1</v>
      </c>
      <c r="AM18" s="470">
        <v>1</v>
      </c>
      <c r="AN18" s="454">
        <v>1</v>
      </c>
      <c r="AO18" s="458">
        <v>1</v>
      </c>
      <c r="AP18" s="454">
        <v>1</v>
      </c>
      <c r="AQ18" s="454">
        <v>1</v>
      </c>
      <c r="AR18" s="124"/>
      <c r="AS18" s="124"/>
      <c r="AT18" s="127">
        <f>AVERAGE(AH18:AS18)</f>
        <v>1</v>
      </c>
      <c r="AU18" s="379">
        <f>+(SUM(AH18:AS18)/+SUM(V18:AG18))</f>
        <v>0.8333333333333334</v>
      </c>
      <c r="AV18" s="534" t="s">
        <v>990</v>
      </c>
      <c r="AW18" s="474" t="s">
        <v>991</v>
      </c>
      <c r="AX18" s="467" t="s">
        <v>903</v>
      </c>
      <c r="AY18" s="478" t="s">
        <v>450</v>
      </c>
    </row>
    <row r="19" spans="1:51" ht="375">
      <c r="A19" s="121"/>
      <c r="B19" s="121"/>
      <c r="C19" s="121"/>
      <c r="D19" s="121"/>
      <c r="E19" s="121" t="s">
        <v>425</v>
      </c>
      <c r="F19" s="121"/>
      <c r="G19" s="122" t="s">
        <v>427</v>
      </c>
      <c r="H19" s="122" t="s">
        <v>840</v>
      </c>
      <c r="I19" s="232" t="s">
        <v>462</v>
      </c>
      <c r="J19" s="232" t="s">
        <v>463</v>
      </c>
      <c r="K19" s="121" t="s">
        <v>453</v>
      </c>
      <c r="L19" s="124"/>
      <c r="M19" s="122" t="s">
        <v>431</v>
      </c>
      <c r="N19" s="232" t="s">
        <v>464</v>
      </c>
      <c r="O19" s="124"/>
      <c r="P19" s="124"/>
      <c r="Q19" s="124"/>
      <c r="R19" s="234">
        <v>1</v>
      </c>
      <c r="S19" s="124"/>
      <c r="T19" s="235" t="s">
        <v>444</v>
      </c>
      <c r="U19" s="232" t="s">
        <v>465</v>
      </c>
      <c r="V19" s="236"/>
      <c r="W19" s="236"/>
      <c r="X19" s="236"/>
      <c r="Y19" s="236">
        <v>1</v>
      </c>
      <c r="Z19" s="236"/>
      <c r="AA19" s="236"/>
      <c r="AB19" s="236"/>
      <c r="AC19" s="236">
        <v>1</v>
      </c>
      <c r="AD19" s="236"/>
      <c r="AE19" s="236"/>
      <c r="AF19" s="236"/>
      <c r="AG19" s="236">
        <v>1</v>
      </c>
      <c r="AH19" s="124"/>
      <c r="AI19" s="124"/>
      <c r="AJ19" s="124"/>
      <c r="AK19" s="454">
        <v>1</v>
      </c>
      <c r="AL19" s="381"/>
      <c r="AM19" s="471"/>
      <c r="AN19" s="465"/>
      <c r="AO19" s="458">
        <v>1</v>
      </c>
      <c r="AP19" s="465"/>
      <c r="AQ19" s="471"/>
      <c r="AR19" s="124"/>
      <c r="AS19" s="124"/>
      <c r="AT19" s="127">
        <f>+AO19</f>
        <v>1</v>
      </c>
      <c r="AU19" s="379">
        <f>+(SUM(AH19:AS19)/+SUM(V19:AG19))</f>
        <v>0.6666666666666666</v>
      </c>
      <c r="AV19" s="473" t="s">
        <v>901</v>
      </c>
      <c r="AW19" s="473" t="s">
        <v>992</v>
      </c>
      <c r="AX19" s="467" t="s">
        <v>903</v>
      </c>
      <c r="AY19" s="478" t="s">
        <v>450</v>
      </c>
    </row>
    <row r="20" spans="1:51" ht="268.5" customHeight="1">
      <c r="A20" s="121"/>
      <c r="B20" s="121"/>
      <c r="C20" s="121"/>
      <c r="D20" s="121"/>
      <c r="E20" s="121" t="s">
        <v>425</v>
      </c>
      <c r="F20" s="121"/>
      <c r="G20" s="122" t="s">
        <v>427</v>
      </c>
      <c r="H20" s="122" t="s">
        <v>840</v>
      </c>
      <c r="I20" s="232" t="s">
        <v>466</v>
      </c>
      <c r="J20" s="233" t="s">
        <v>467</v>
      </c>
      <c r="K20" s="124" t="s">
        <v>430</v>
      </c>
      <c r="L20" s="124"/>
      <c r="M20" s="121" t="s">
        <v>437</v>
      </c>
      <c r="N20" s="237" t="s">
        <v>468</v>
      </c>
      <c r="O20" s="124"/>
      <c r="P20" s="124"/>
      <c r="Q20" s="124"/>
      <c r="R20" s="235">
        <v>2</v>
      </c>
      <c r="S20" s="124"/>
      <c r="T20" s="235" t="s">
        <v>455</v>
      </c>
      <c r="U20" s="232" t="s">
        <v>469</v>
      </c>
      <c r="V20" s="236"/>
      <c r="W20" s="236"/>
      <c r="X20" s="236"/>
      <c r="Y20" s="236"/>
      <c r="Z20" s="236"/>
      <c r="AA20" s="238"/>
      <c r="AB20" s="239">
        <v>1</v>
      </c>
      <c r="AC20" s="236"/>
      <c r="AD20" s="236"/>
      <c r="AE20" s="236"/>
      <c r="AF20" s="236"/>
      <c r="AG20" s="238">
        <v>1</v>
      </c>
      <c r="AH20" s="124"/>
      <c r="AI20" s="124"/>
      <c r="AJ20" s="124"/>
      <c r="AK20" s="128"/>
      <c r="AL20" s="381"/>
      <c r="AM20" s="465"/>
      <c r="AN20" s="465">
        <v>1</v>
      </c>
      <c r="AO20" s="124"/>
      <c r="AP20" s="465"/>
      <c r="AQ20" s="471"/>
      <c r="AR20" s="124"/>
      <c r="AS20" s="124"/>
      <c r="AT20" s="124">
        <f t="shared" si="0"/>
        <v>1</v>
      </c>
      <c r="AU20" s="379">
        <f t="shared" si="1"/>
        <v>0.5</v>
      </c>
      <c r="AV20" s="473" t="s">
        <v>901</v>
      </c>
      <c r="AW20" s="473" t="s">
        <v>993</v>
      </c>
      <c r="AX20" s="467" t="s">
        <v>903</v>
      </c>
      <c r="AY20" s="478" t="s">
        <v>450</v>
      </c>
    </row>
    <row r="21" spans="1:51" ht="216" customHeight="1">
      <c r="A21" s="121"/>
      <c r="B21" s="121"/>
      <c r="C21" s="121"/>
      <c r="D21" s="121"/>
      <c r="E21" s="121" t="s">
        <v>425</v>
      </c>
      <c r="F21" s="121"/>
      <c r="G21" s="122" t="s">
        <v>427</v>
      </c>
      <c r="H21" s="122" t="s">
        <v>840</v>
      </c>
      <c r="I21" s="232" t="s">
        <v>470</v>
      </c>
      <c r="J21" s="233" t="s">
        <v>471</v>
      </c>
      <c r="K21" s="124" t="s">
        <v>430</v>
      </c>
      <c r="L21" s="124"/>
      <c r="M21" s="121" t="s">
        <v>437</v>
      </c>
      <c r="N21" s="122" t="s">
        <v>472</v>
      </c>
      <c r="O21" s="124"/>
      <c r="P21" s="124"/>
      <c r="Q21" s="124"/>
      <c r="R21" s="241">
        <v>12</v>
      </c>
      <c r="S21" s="124"/>
      <c r="T21" s="235" t="s">
        <v>460</v>
      </c>
      <c r="U21" s="232" t="s">
        <v>473</v>
      </c>
      <c r="V21" s="121">
        <v>1</v>
      </c>
      <c r="W21" s="451">
        <v>1</v>
      </c>
      <c r="X21" s="451">
        <v>1</v>
      </c>
      <c r="Y21" s="451">
        <v>1</v>
      </c>
      <c r="Z21" s="451">
        <v>1</v>
      </c>
      <c r="AA21" s="451">
        <v>1</v>
      </c>
      <c r="AB21" s="451">
        <v>1</v>
      </c>
      <c r="AC21" s="451">
        <v>1</v>
      </c>
      <c r="AD21" s="451">
        <v>1</v>
      </c>
      <c r="AE21" s="451">
        <v>1</v>
      </c>
      <c r="AF21" s="451">
        <v>1</v>
      </c>
      <c r="AG21" s="451">
        <v>1</v>
      </c>
      <c r="AH21" s="451">
        <v>1</v>
      </c>
      <c r="AI21" s="451">
        <v>1</v>
      </c>
      <c r="AJ21" s="451">
        <v>1</v>
      </c>
      <c r="AK21" s="451">
        <v>1</v>
      </c>
      <c r="AL21" s="128">
        <v>1</v>
      </c>
      <c r="AM21" s="465">
        <v>1</v>
      </c>
      <c r="AN21" s="465">
        <v>1</v>
      </c>
      <c r="AO21" s="451">
        <v>1</v>
      </c>
      <c r="AP21" s="465">
        <v>1</v>
      </c>
      <c r="AQ21" s="465">
        <v>1</v>
      </c>
      <c r="AR21" s="451"/>
      <c r="AS21" s="451"/>
      <c r="AT21" s="124">
        <f t="shared" si="0"/>
        <v>10</v>
      </c>
      <c r="AU21" s="379">
        <f t="shared" si="1"/>
        <v>0.8333333333333334</v>
      </c>
      <c r="AV21" s="474" t="s">
        <v>994</v>
      </c>
      <c r="AW21" s="474" t="s">
        <v>995</v>
      </c>
      <c r="AX21" s="467" t="s">
        <v>903</v>
      </c>
      <c r="AY21" s="478" t="s">
        <v>450</v>
      </c>
    </row>
    <row r="22" spans="1:51" ht="214.5" customHeight="1">
      <c r="A22" s="121"/>
      <c r="B22" s="121"/>
      <c r="C22" s="121"/>
      <c r="D22" s="121"/>
      <c r="E22" s="121" t="s">
        <v>425</v>
      </c>
      <c r="F22" s="121"/>
      <c r="G22" s="122" t="s">
        <v>427</v>
      </c>
      <c r="H22" s="122" t="s">
        <v>840</v>
      </c>
      <c r="I22" s="232" t="s">
        <v>474</v>
      </c>
      <c r="J22" s="233" t="s">
        <v>475</v>
      </c>
      <c r="K22" s="124" t="s">
        <v>430</v>
      </c>
      <c r="L22" s="124"/>
      <c r="M22" s="121" t="s">
        <v>437</v>
      </c>
      <c r="N22" s="237" t="s">
        <v>476</v>
      </c>
      <c r="O22" s="124"/>
      <c r="P22" s="124"/>
      <c r="Q22" s="124"/>
      <c r="R22" s="235">
        <v>2</v>
      </c>
      <c r="S22" s="124"/>
      <c r="T22" s="235" t="s">
        <v>455</v>
      </c>
      <c r="U22" s="232" t="s">
        <v>477</v>
      </c>
      <c r="V22" s="236"/>
      <c r="W22" s="236"/>
      <c r="X22" s="236"/>
      <c r="Y22" s="236"/>
      <c r="Z22" s="236"/>
      <c r="AA22" s="236"/>
      <c r="AB22" s="238">
        <v>1</v>
      </c>
      <c r="AC22" s="236"/>
      <c r="AD22" s="236"/>
      <c r="AE22" s="236"/>
      <c r="AF22" s="236"/>
      <c r="AG22" s="238">
        <v>1</v>
      </c>
      <c r="AH22" s="124"/>
      <c r="AI22" s="124"/>
      <c r="AJ22" s="124"/>
      <c r="AK22" s="128"/>
      <c r="AL22" s="381"/>
      <c r="AM22" s="471"/>
      <c r="AN22" s="465">
        <v>1</v>
      </c>
      <c r="AO22" s="124"/>
      <c r="AP22" s="465"/>
      <c r="AQ22" s="471"/>
      <c r="AR22" s="124"/>
      <c r="AS22" s="124"/>
      <c r="AT22" s="124">
        <f t="shared" si="0"/>
        <v>1</v>
      </c>
      <c r="AU22" s="379">
        <f t="shared" si="1"/>
        <v>0.5</v>
      </c>
      <c r="AV22" s="473" t="s">
        <v>901</v>
      </c>
      <c r="AW22" s="365" t="s">
        <v>996</v>
      </c>
      <c r="AX22" s="473" t="s">
        <v>903</v>
      </c>
      <c r="AY22" s="477" t="s">
        <v>450</v>
      </c>
    </row>
    <row r="23" spans="1:51" ht="54" customHeight="1">
      <c r="A23" s="798" t="s">
        <v>64</v>
      </c>
      <c r="B23" s="798"/>
      <c r="C23" s="798"/>
      <c r="D23" s="794" t="s">
        <v>66</v>
      </c>
      <c r="E23" s="794"/>
      <c r="F23" s="794"/>
      <c r="G23" s="794"/>
      <c r="H23" s="794"/>
      <c r="I23" s="794"/>
      <c r="J23" s="799" t="s">
        <v>300</v>
      </c>
      <c r="K23" s="799"/>
      <c r="L23" s="799"/>
      <c r="M23" s="799"/>
      <c r="N23" s="799"/>
      <c r="O23" s="799"/>
      <c r="P23" s="794" t="s">
        <v>66</v>
      </c>
      <c r="Q23" s="794"/>
      <c r="R23" s="794"/>
      <c r="S23" s="794"/>
      <c r="T23" s="794"/>
      <c r="U23" s="794"/>
      <c r="V23" s="794" t="s">
        <v>66</v>
      </c>
      <c r="W23" s="794"/>
      <c r="X23" s="794"/>
      <c r="Y23" s="794"/>
      <c r="Z23" s="794"/>
      <c r="AA23" s="794"/>
      <c r="AB23" s="794"/>
      <c r="AC23" s="794"/>
      <c r="AD23" s="794" t="s">
        <v>66</v>
      </c>
      <c r="AE23" s="794"/>
      <c r="AF23" s="794"/>
      <c r="AG23" s="794"/>
      <c r="AH23" s="794"/>
      <c r="AI23" s="794"/>
      <c r="AJ23" s="794"/>
      <c r="AK23" s="794"/>
      <c r="AL23" s="794"/>
      <c r="AM23" s="794"/>
      <c r="AN23" s="794"/>
      <c r="AO23" s="794"/>
      <c r="AP23" s="799" t="s">
        <v>318</v>
      </c>
      <c r="AQ23" s="799"/>
      <c r="AR23" s="799"/>
      <c r="AS23" s="799"/>
      <c r="AT23" s="794" t="s">
        <v>13</v>
      </c>
      <c r="AU23" s="794"/>
      <c r="AV23" s="794"/>
      <c r="AW23" s="794"/>
      <c r="AX23" s="794"/>
      <c r="AY23" s="794"/>
    </row>
    <row r="24" spans="1:51" ht="30" customHeight="1">
      <c r="A24" s="798"/>
      <c r="B24" s="798"/>
      <c r="C24" s="798"/>
      <c r="D24" s="794" t="s">
        <v>794</v>
      </c>
      <c r="E24" s="794"/>
      <c r="F24" s="794"/>
      <c r="G24" s="794"/>
      <c r="H24" s="794"/>
      <c r="I24" s="794"/>
      <c r="J24" s="799"/>
      <c r="K24" s="799"/>
      <c r="L24" s="799"/>
      <c r="M24" s="799"/>
      <c r="N24" s="799"/>
      <c r="O24" s="799"/>
      <c r="P24" s="794" t="s">
        <v>796</v>
      </c>
      <c r="Q24" s="794"/>
      <c r="R24" s="794"/>
      <c r="S24" s="794"/>
      <c r="T24" s="794"/>
      <c r="U24" s="794"/>
      <c r="V24" s="794" t="s">
        <v>797</v>
      </c>
      <c r="W24" s="794"/>
      <c r="X24" s="794"/>
      <c r="Y24" s="794"/>
      <c r="Z24" s="794"/>
      <c r="AA24" s="794"/>
      <c r="AB24" s="794"/>
      <c r="AC24" s="794"/>
      <c r="AD24" s="794" t="s">
        <v>65</v>
      </c>
      <c r="AE24" s="794"/>
      <c r="AF24" s="794"/>
      <c r="AG24" s="794"/>
      <c r="AH24" s="794"/>
      <c r="AI24" s="794"/>
      <c r="AJ24" s="794"/>
      <c r="AK24" s="794"/>
      <c r="AL24" s="794"/>
      <c r="AM24" s="794"/>
      <c r="AN24" s="794"/>
      <c r="AO24" s="794"/>
      <c r="AP24" s="799"/>
      <c r="AQ24" s="799"/>
      <c r="AR24" s="799"/>
      <c r="AS24" s="799"/>
      <c r="AT24" s="794" t="s">
        <v>769</v>
      </c>
      <c r="AU24" s="794"/>
      <c r="AV24" s="794"/>
      <c r="AW24" s="794"/>
      <c r="AX24" s="794"/>
      <c r="AY24" s="794"/>
    </row>
    <row r="25" spans="1:51" ht="30" customHeight="1">
      <c r="A25" s="798"/>
      <c r="B25" s="798"/>
      <c r="C25" s="798"/>
      <c r="D25" s="794" t="s">
        <v>795</v>
      </c>
      <c r="E25" s="794"/>
      <c r="F25" s="794"/>
      <c r="G25" s="794"/>
      <c r="H25" s="794"/>
      <c r="I25" s="794"/>
      <c r="J25" s="799"/>
      <c r="K25" s="799"/>
      <c r="L25" s="799"/>
      <c r="M25" s="799"/>
      <c r="N25" s="799"/>
      <c r="O25" s="799"/>
      <c r="P25" s="794" t="s">
        <v>795</v>
      </c>
      <c r="Q25" s="794"/>
      <c r="R25" s="794"/>
      <c r="S25" s="794"/>
      <c r="T25" s="794"/>
      <c r="U25" s="794"/>
      <c r="V25" s="794" t="s">
        <v>798</v>
      </c>
      <c r="W25" s="794"/>
      <c r="X25" s="794"/>
      <c r="Y25" s="794"/>
      <c r="Z25" s="794"/>
      <c r="AA25" s="794"/>
      <c r="AB25" s="794"/>
      <c r="AC25" s="794"/>
      <c r="AD25" s="794" t="s">
        <v>297</v>
      </c>
      <c r="AE25" s="794"/>
      <c r="AF25" s="794"/>
      <c r="AG25" s="794"/>
      <c r="AH25" s="794"/>
      <c r="AI25" s="794"/>
      <c r="AJ25" s="794"/>
      <c r="AK25" s="794"/>
      <c r="AL25" s="794"/>
      <c r="AM25" s="794"/>
      <c r="AN25" s="794"/>
      <c r="AO25" s="794"/>
      <c r="AP25" s="799"/>
      <c r="AQ25" s="799"/>
      <c r="AR25" s="799"/>
      <c r="AS25" s="799"/>
      <c r="AT25" s="794" t="s">
        <v>75</v>
      </c>
      <c r="AU25" s="794"/>
      <c r="AV25" s="794"/>
      <c r="AW25" s="794"/>
      <c r="AX25" s="794"/>
      <c r="AY25" s="794"/>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23:C25"/>
    <mergeCell ref="D23:I23"/>
    <mergeCell ref="J23:O25"/>
    <mergeCell ref="P23:U23"/>
    <mergeCell ref="V23:AC23"/>
    <mergeCell ref="AD23:AO23"/>
    <mergeCell ref="D25:I25"/>
    <mergeCell ref="AP23:AS25"/>
    <mergeCell ref="AT25:AY25"/>
    <mergeCell ref="AT23:AY23"/>
    <mergeCell ref="D24:I24"/>
    <mergeCell ref="P24:U24"/>
    <mergeCell ref="V24:AC24"/>
    <mergeCell ref="AD24:AO24"/>
    <mergeCell ref="AT24:AY24"/>
    <mergeCell ref="P25:U25"/>
    <mergeCell ref="V25:AC25"/>
    <mergeCell ref="AD25:AO25"/>
  </mergeCells>
  <printOptions/>
  <pageMargins left="0.7" right="0.7" top="0.75" bottom="0.75" header="0.3" footer="0.3"/>
  <pageSetup fitToHeight="1" fitToWidth="1" horizontalDpi="600" verticalDpi="600" orientation="landscape" scale="17" r:id="rId4"/>
  <drawing r:id="rId3"/>
  <legacyDrawing r:id="rId2"/>
</worksheet>
</file>

<file path=xl/worksheets/sheet25.xml><?xml version="1.0" encoding="utf-8"?>
<worksheet xmlns="http://schemas.openxmlformats.org/spreadsheetml/2006/main" xmlns:r="http://schemas.openxmlformats.org/officeDocument/2006/relationships">
  <sheetPr>
    <tabColor rgb="FF00B0F0"/>
    <pageSetUpPr fitToPage="1"/>
  </sheetPr>
  <dimension ref="A1:AY22"/>
  <sheetViews>
    <sheetView tabSelected="1" view="pageBreakPreview" zoomScale="60" zoomScaleNormal="80" zoomScalePageLayoutView="0" workbookViewId="0" topLeftCell="AD18">
      <selection activeCell="AV13" sqref="AV13:AY19"/>
    </sheetView>
  </sheetViews>
  <sheetFormatPr defaultColWidth="10.8515625" defaultRowHeight="15"/>
  <cols>
    <col min="1" max="1" width="19.28125" style="113" customWidth="1"/>
    <col min="2" max="2" width="10.00390625" style="113" customWidth="1"/>
    <col min="3" max="3" width="17.28125" style="113" customWidth="1"/>
    <col min="4" max="6" width="8.28125" style="113" customWidth="1"/>
    <col min="7" max="8" width="14.7109375" style="113" customWidth="1"/>
    <col min="9" max="9" width="36.421875" style="113" customWidth="1"/>
    <col min="10" max="10" width="29.28125" style="113" customWidth="1"/>
    <col min="11" max="11" width="16.8515625" style="113" customWidth="1"/>
    <col min="12" max="12" width="15.28125" style="113" customWidth="1"/>
    <col min="13" max="13" width="12.7109375" style="113" customWidth="1"/>
    <col min="14" max="14" width="27.421875" style="113" customWidth="1"/>
    <col min="15" max="19" width="8.7109375" style="113" customWidth="1"/>
    <col min="20" max="20" width="22.28125" style="113" customWidth="1"/>
    <col min="21" max="21" width="19.8515625" style="113" customWidth="1"/>
    <col min="22" max="45" width="8.28125" style="113" customWidth="1"/>
    <col min="46" max="46" width="17.140625" style="113" customWidth="1"/>
    <col min="47" max="47" width="15.8515625" style="217" customWidth="1"/>
    <col min="48" max="49" width="55.8515625" style="113" customWidth="1"/>
    <col min="50" max="51" width="27.7109375" style="113" customWidth="1"/>
    <col min="52" max="16384" width="10.8515625" style="113" customWidth="1"/>
  </cols>
  <sheetData>
    <row r="1" spans="1:51" ht="15.75" customHeight="1">
      <c r="A1" s="777" t="s">
        <v>16</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M1" s="778"/>
      <c r="AN1" s="778"/>
      <c r="AO1" s="778"/>
      <c r="AP1" s="778"/>
      <c r="AQ1" s="778"/>
      <c r="AR1" s="778"/>
      <c r="AS1" s="778"/>
      <c r="AT1" s="778"/>
      <c r="AU1" s="778"/>
      <c r="AV1" s="778"/>
      <c r="AW1" s="779"/>
      <c r="AX1" s="1126" t="s">
        <v>423</v>
      </c>
      <c r="AY1" s="1127"/>
    </row>
    <row r="2" spans="1:51" ht="15.75" customHeight="1">
      <c r="A2" s="1152" t="s">
        <v>17</v>
      </c>
      <c r="B2" s="1153"/>
      <c r="C2" s="1153"/>
      <c r="D2" s="1153"/>
      <c r="E2" s="1153"/>
      <c r="F2" s="1153"/>
      <c r="G2" s="1153"/>
      <c r="H2" s="1153"/>
      <c r="I2" s="1153"/>
      <c r="J2" s="1153"/>
      <c r="K2" s="1153"/>
      <c r="L2" s="1153"/>
      <c r="M2" s="1153"/>
      <c r="N2" s="1153"/>
      <c r="O2" s="1153"/>
      <c r="P2" s="1153"/>
      <c r="Q2" s="1153"/>
      <c r="R2" s="1153"/>
      <c r="S2" s="1153"/>
      <c r="T2" s="1153"/>
      <c r="U2" s="1153"/>
      <c r="V2" s="1153"/>
      <c r="W2" s="1153"/>
      <c r="X2" s="1153"/>
      <c r="Y2" s="1153"/>
      <c r="Z2" s="1153"/>
      <c r="AA2" s="1153"/>
      <c r="AB2" s="1153"/>
      <c r="AC2" s="1153"/>
      <c r="AD2" s="1153"/>
      <c r="AE2" s="1153"/>
      <c r="AF2" s="1153"/>
      <c r="AG2" s="1153"/>
      <c r="AH2" s="1153"/>
      <c r="AI2" s="1153"/>
      <c r="AJ2" s="1153"/>
      <c r="AK2" s="1153"/>
      <c r="AL2" s="1153"/>
      <c r="AM2" s="1153"/>
      <c r="AN2" s="1153"/>
      <c r="AO2" s="1153"/>
      <c r="AP2" s="1153"/>
      <c r="AQ2" s="1153"/>
      <c r="AR2" s="1153"/>
      <c r="AS2" s="1153"/>
      <c r="AT2" s="1153"/>
      <c r="AU2" s="1153"/>
      <c r="AV2" s="1153"/>
      <c r="AW2" s="1154"/>
      <c r="AX2" s="1151" t="s">
        <v>418</v>
      </c>
      <c r="AY2" s="1172"/>
    </row>
    <row r="3" spans="1:51" ht="15" customHeight="1">
      <c r="A3" s="789" t="s">
        <v>195</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c r="AM3" s="790"/>
      <c r="AN3" s="790"/>
      <c r="AO3" s="790"/>
      <c r="AP3" s="790"/>
      <c r="AQ3" s="790"/>
      <c r="AR3" s="790"/>
      <c r="AS3" s="790"/>
      <c r="AT3" s="790"/>
      <c r="AU3" s="790"/>
      <c r="AV3" s="790"/>
      <c r="AW3" s="791"/>
      <c r="AX3" s="1151" t="s">
        <v>424</v>
      </c>
      <c r="AY3" s="1172"/>
    </row>
    <row r="4" spans="1:51" ht="15.75" customHeight="1">
      <c r="A4" s="777"/>
      <c r="B4" s="778"/>
      <c r="C4" s="778"/>
      <c r="D4" s="778"/>
      <c r="E4" s="778"/>
      <c r="F4" s="778"/>
      <c r="G4" s="778"/>
      <c r="H4" s="778"/>
      <c r="I4" s="778"/>
      <c r="J4" s="778"/>
      <c r="K4" s="778"/>
      <c r="L4" s="778"/>
      <c r="M4" s="778"/>
      <c r="N4" s="778"/>
      <c r="O4" s="778"/>
      <c r="P4" s="778"/>
      <c r="Q4" s="778"/>
      <c r="R4" s="778"/>
      <c r="S4" s="778"/>
      <c r="T4" s="778"/>
      <c r="U4" s="778"/>
      <c r="V4" s="778"/>
      <c r="W4" s="778"/>
      <c r="X4" s="778"/>
      <c r="Y4" s="778"/>
      <c r="Z4" s="778"/>
      <c r="AA4" s="778"/>
      <c r="AB4" s="778"/>
      <c r="AC4" s="778"/>
      <c r="AD4" s="778"/>
      <c r="AE4" s="778"/>
      <c r="AF4" s="778"/>
      <c r="AG4" s="778"/>
      <c r="AH4" s="778"/>
      <c r="AI4" s="778"/>
      <c r="AJ4" s="778"/>
      <c r="AK4" s="778"/>
      <c r="AL4" s="778"/>
      <c r="AM4" s="778"/>
      <c r="AN4" s="778"/>
      <c r="AO4" s="778"/>
      <c r="AP4" s="778"/>
      <c r="AQ4" s="778"/>
      <c r="AR4" s="778"/>
      <c r="AS4" s="778"/>
      <c r="AT4" s="778"/>
      <c r="AU4" s="778"/>
      <c r="AV4" s="778"/>
      <c r="AW4" s="779"/>
      <c r="AX4" s="776" t="s">
        <v>789</v>
      </c>
      <c r="AY4" s="776"/>
    </row>
    <row r="5" spans="1:51" ht="15" customHeight="1" thickBot="1">
      <c r="A5" s="780" t="s">
        <v>174</v>
      </c>
      <c r="B5" s="781"/>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2"/>
      <c r="AH5" s="805" t="s">
        <v>69</v>
      </c>
      <c r="AI5" s="806"/>
      <c r="AJ5" s="806"/>
      <c r="AK5" s="806"/>
      <c r="AL5" s="806"/>
      <c r="AM5" s="806"/>
      <c r="AN5" s="806"/>
      <c r="AO5" s="806"/>
      <c r="AP5" s="806"/>
      <c r="AQ5" s="806"/>
      <c r="AR5" s="806"/>
      <c r="AS5" s="806"/>
      <c r="AT5" s="806"/>
      <c r="AU5" s="807"/>
      <c r="AV5" s="795" t="s">
        <v>409</v>
      </c>
      <c r="AW5" s="795" t="s">
        <v>410</v>
      </c>
      <c r="AX5" s="795" t="s">
        <v>298</v>
      </c>
      <c r="AY5" s="795" t="s">
        <v>299</v>
      </c>
    </row>
    <row r="6" spans="1:51" ht="15" customHeight="1">
      <c r="A6" s="814" t="s">
        <v>71</v>
      </c>
      <c r="B6" s="814"/>
      <c r="C6" s="814"/>
      <c r="D6" s="864" t="s">
        <v>861</v>
      </c>
      <c r="E6" s="865"/>
      <c r="F6" s="805" t="s">
        <v>67</v>
      </c>
      <c r="G6" s="807"/>
      <c r="H6" s="1171" t="s">
        <v>70</v>
      </c>
      <c r="I6" s="1171"/>
      <c r="J6" s="121"/>
      <c r="K6" s="805"/>
      <c r="L6" s="806"/>
      <c r="M6" s="806"/>
      <c r="N6" s="806"/>
      <c r="O6" s="806"/>
      <c r="P6" s="806"/>
      <c r="Q6" s="806"/>
      <c r="R6" s="806"/>
      <c r="S6" s="806"/>
      <c r="T6" s="806"/>
      <c r="U6" s="806"/>
      <c r="V6" s="114"/>
      <c r="W6" s="114"/>
      <c r="X6" s="114"/>
      <c r="Y6" s="114"/>
      <c r="Z6" s="114"/>
      <c r="AA6" s="114"/>
      <c r="AB6" s="114"/>
      <c r="AC6" s="114"/>
      <c r="AD6" s="114"/>
      <c r="AE6" s="114"/>
      <c r="AF6" s="114"/>
      <c r="AG6" s="115"/>
      <c r="AH6" s="808"/>
      <c r="AI6" s="1170"/>
      <c r="AJ6" s="1170"/>
      <c r="AK6" s="1170"/>
      <c r="AL6" s="1170"/>
      <c r="AM6" s="1170"/>
      <c r="AN6" s="1170"/>
      <c r="AO6" s="1170"/>
      <c r="AP6" s="1170"/>
      <c r="AQ6" s="1170"/>
      <c r="AR6" s="1170"/>
      <c r="AS6" s="1170"/>
      <c r="AT6" s="1170"/>
      <c r="AU6" s="810"/>
      <c r="AV6" s="803"/>
      <c r="AW6" s="803"/>
      <c r="AX6" s="803"/>
      <c r="AY6" s="803"/>
    </row>
    <row r="7" spans="1:51" ht="15" customHeight="1">
      <c r="A7" s="814"/>
      <c r="B7" s="814"/>
      <c r="C7" s="814"/>
      <c r="D7" s="866"/>
      <c r="E7" s="867"/>
      <c r="F7" s="808"/>
      <c r="G7" s="810"/>
      <c r="H7" s="1171" t="s">
        <v>68</v>
      </c>
      <c r="I7" s="1171"/>
      <c r="J7" s="121"/>
      <c r="K7" s="808"/>
      <c r="L7" s="1170"/>
      <c r="M7" s="1170"/>
      <c r="N7" s="1170"/>
      <c r="O7" s="1170"/>
      <c r="P7" s="1170"/>
      <c r="Q7" s="1170"/>
      <c r="R7" s="1170"/>
      <c r="S7" s="1170"/>
      <c r="T7" s="1170"/>
      <c r="U7" s="1170"/>
      <c r="V7" s="231"/>
      <c r="W7" s="231"/>
      <c r="X7" s="231"/>
      <c r="Y7" s="231"/>
      <c r="Z7" s="231"/>
      <c r="AA7" s="231"/>
      <c r="AB7" s="231"/>
      <c r="AC7" s="231"/>
      <c r="AD7" s="231"/>
      <c r="AE7" s="231"/>
      <c r="AF7" s="231"/>
      <c r="AG7" s="117"/>
      <c r="AH7" s="808"/>
      <c r="AI7" s="1170"/>
      <c r="AJ7" s="1170"/>
      <c r="AK7" s="1170"/>
      <c r="AL7" s="1170"/>
      <c r="AM7" s="1170"/>
      <c r="AN7" s="1170"/>
      <c r="AO7" s="1170"/>
      <c r="AP7" s="1170"/>
      <c r="AQ7" s="1170"/>
      <c r="AR7" s="1170"/>
      <c r="AS7" s="1170"/>
      <c r="AT7" s="1170"/>
      <c r="AU7" s="810"/>
      <c r="AV7" s="803"/>
      <c r="AW7" s="803"/>
      <c r="AX7" s="803"/>
      <c r="AY7" s="803"/>
    </row>
    <row r="8" spans="1:51" ht="15" customHeight="1" thickBot="1">
      <c r="A8" s="814"/>
      <c r="B8" s="814"/>
      <c r="C8" s="814"/>
      <c r="D8" s="868"/>
      <c r="E8" s="869"/>
      <c r="F8" s="811"/>
      <c r="G8" s="813"/>
      <c r="H8" s="1171" t="s">
        <v>69</v>
      </c>
      <c r="I8" s="1171"/>
      <c r="J8" s="121" t="s">
        <v>425</v>
      </c>
      <c r="K8" s="811"/>
      <c r="L8" s="812"/>
      <c r="M8" s="812"/>
      <c r="N8" s="812"/>
      <c r="O8" s="812"/>
      <c r="P8" s="812"/>
      <c r="Q8" s="812"/>
      <c r="R8" s="812"/>
      <c r="S8" s="812"/>
      <c r="T8" s="812"/>
      <c r="U8" s="812"/>
      <c r="V8" s="118"/>
      <c r="W8" s="118"/>
      <c r="X8" s="118"/>
      <c r="Y8" s="118"/>
      <c r="Z8" s="118"/>
      <c r="AA8" s="118"/>
      <c r="AB8" s="118"/>
      <c r="AC8" s="118"/>
      <c r="AD8" s="118"/>
      <c r="AE8" s="118"/>
      <c r="AF8" s="118"/>
      <c r="AG8" s="119"/>
      <c r="AH8" s="808"/>
      <c r="AI8" s="1170"/>
      <c r="AJ8" s="1170"/>
      <c r="AK8" s="1170"/>
      <c r="AL8" s="1170"/>
      <c r="AM8" s="1170"/>
      <c r="AN8" s="1170"/>
      <c r="AO8" s="1170"/>
      <c r="AP8" s="1170"/>
      <c r="AQ8" s="1170"/>
      <c r="AR8" s="1170"/>
      <c r="AS8" s="1170"/>
      <c r="AT8" s="1170"/>
      <c r="AU8" s="810"/>
      <c r="AV8" s="803"/>
      <c r="AW8" s="803"/>
      <c r="AX8" s="803"/>
      <c r="AY8" s="803"/>
    </row>
    <row r="9" spans="1:51" ht="15" customHeight="1">
      <c r="A9" s="783" t="s">
        <v>399</v>
      </c>
      <c r="B9" s="784"/>
      <c r="C9" s="785"/>
      <c r="D9" s="819"/>
      <c r="E9" s="820"/>
      <c r="F9" s="820"/>
      <c r="G9" s="820"/>
      <c r="H9" s="820"/>
      <c r="I9" s="820"/>
      <c r="J9" s="820"/>
      <c r="K9" s="821"/>
      <c r="L9" s="821"/>
      <c r="M9" s="821"/>
      <c r="N9" s="821"/>
      <c r="O9" s="821"/>
      <c r="P9" s="821"/>
      <c r="Q9" s="821"/>
      <c r="R9" s="821"/>
      <c r="S9" s="821"/>
      <c r="T9" s="821"/>
      <c r="U9" s="821"/>
      <c r="V9" s="821"/>
      <c r="W9" s="821"/>
      <c r="X9" s="821"/>
      <c r="Y9" s="821"/>
      <c r="Z9" s="821"/>
      <c r="AA9" s="821"/>
      <c r="AB9" s="821"/>
      <c r="AC9" s="821"/>
      <c r="AD9" s="821"/>
      <c r="AE9" s="821"/>
      <c r="AF9" s="821"/>
      <c r="AG9" s="822"/>
      <c r="AH9" s="808"/>
      <c r="AI9" s="1170"/>
      <c r="AJ9" s="1170"/>
      <c r="AK9" s="1170"/>
      <c r="AL9" s="1170"/>
      <c r="AM9" s="1170"/>
      <c r="AN9" s="1170"/>
      <c r="AO9" s="1170"/>
      <c r="AP9" s="1170"/>
      <c r="AQ9" s="1170"/>
      <c r="AR9" s="1170"/>
      <c r="AS9" s="1170"/>
      <c r="AT9" s="1170"/>
      <c r="AU9" s="810"/>
      <c r="AV9" s="803"/>
      <c r="AW9" s="803"/>
      <c r="AX9" s="803"/>
      <c r="AY9" s="803"/>
    </row>
    <row r="10" spans="1:51" ht="15" customHeight="1">
      <c r="A10" s="816" t="s">
        <v>287</v>
      </c>
      <c r="B10" s="817"/>
      <c r="C10" s="818"/>
      <c r="D10" s="823" t="s">
        <v>500</v>
      </c>
      <c r="E10" s="821"/>
      <c r="F10" s="821"/>
      <c r="G10" s="821"/>
      <c r="H10" s="821"/>
      <c r="I10" s="821"/>
      <c r="J10" s="821"/>
      <c r="K10" s="821"/>
      <c r="L10" s="821"/>
      <c r="M10" s="821"/>
      <c r="N10" s="821"/>
      <c r="O10" s="821"/>
      <c r="P10" s="821"/>
      <c r="Q10" s="821"/>
      <c r="R10" s="821"/>
      <c r="S10" s="821"/>
      <c r="T10" s="821"/>
      <c r="U10" s="821"/>
      <c r="V10" s="821"/>
      <c r="W10" s="821"/>
      <c r="X10" s="821"/>
      <c r="Y10" s="821"/>
      <c r="Z10" s="821"/>
      <c r="AA10" s="821"/>
      <c r="AB10" s="821"/>
      <c r="AC10" s="821"/>
      <c r="AD10" s="821"/>
      <c r="AE10" s="821"/>
      <c r="AF10" s="821"/>
      <c r="AG10" s="822"/>
      <c r="AH10" s="811"/>
      <c r="AI10" s="812"/>
      <c r="AJ10" s="812"/>
      <c r="AK10" s="812"/>
      <c r="AL10" s="812"/>
      <c r="AM10" s="812"/>
      <c r="AN10" s="812"/>
      <c r="AO10" s="812"/>
      <c r="AP10" s="812"/>
      <c r="AQ10" s="812"/>
      <c r="AR10" s="812"/>
      <c r="AS10" s="812"/>
      <c r="AT10" s="812"/>
      <c r="AU10" s="813"/>
      <c r="AV10" s="803"/>
      <c r="AW10" s="803"/>
      <c r="AX10" s="803"/>
      <c r="AY10" s="803"/>
    </row>
    <row r="11" spans="1:51" ht="39.75" customHeight="1">
      <c r="A11" s="792" t="s">
        <v>168</v>
      </c>
      <c r="B11" s="797"/>
      <c r="C11" s="797"/>
      <c r="D11" s="797"/>
      <c r="E11" s="797"/>
      <c r="F11" s="793"/>
      <c r="G11" s="792" t="s">
        <v>278</v>
      </c>
      <c r="H11" s="793"/>
      <c r="I11" s="795" t="s">
        <v>179</v>
      </c>
      <c r="J11" s="795" t="s">
        <v>279</v>
      </c>
      <c r="K11" s="795" t="s">
        <v>323</v>
      </c>
      <c r="L11" s="795" t="s">
        <v>363</v>
      </c>
      <c r="M11" s="795" t="s">
        <v>167</v>
      </c>
      <c r="N11" s="795" t="s">
        <v>182</v>
      </c>
      <c r="O11" s="792" t="s">
        <v>284</v>
      </c>
      <c r="P11" s="797"/>
      <c r="Q11" s="797"/>
      <c r="R11" s="797"/>
      <c r="S11" s="793"/>
      <c r="T11" s="795" t="s">
        <v>173</v>
      </c>
      <c r="U11" s="795" t="s">
        <v>285</v>
      </c>
      <c r="V11" s="780" t="s">
        <v>370</v>
      </c>
      <c r="W11" s="781"/>
      <c r="X11" s="781"/>
      <c r="Y11" s="781"/>
      <c r="Z11" s="781"/>
      <c r="AA11" s="781"/>
      <c r="AB11" s="781"/>
      <c r="AC11" s="781"/>
      <c r="AD11" s="781"/>
      <c r="AE11" s="781"/>
      <c r="AF11" s="781"/>
      <c r="AG11" s="782"/>
      <c r="AH11" s="780" t="s">
        <v>87</v>
      </c>
      <c r="AI11" s="781"/>
      <c r="AJ11" s="781"/>
      <c r="AK11" s="781"/>
      <c r="AL11" s="781"/>
      <c r="AM11" s="781"/>
      <c r="AN11" s="781"/>
      <c r="AO11" s="781"/>
      <c r="AP11" s="781"/>
      <c r="AQ11" s="781"/>
      <c r="AR11" s="781"/>
      <c r="AS11" s="782"/>
      <c r="AT11" s="792" t="s">
        <v>8</v>
      </c>
      <c r="AU11" s="793"/>
      <c r="AV11" s="803"/>
      <c r="AW11" s="803"/>
      <c r="AX11" s="803"/>
      <c r="AY11" s="803"/>
    </row>
    <row r="12" spans="1:51" ht="42.75">
      <c r="A12" s="292" t="s">
        <v>169</v>
      </c>
      <c r="B12" s="292" t="s">
        <v>170</v>
      </c>
      <c r="C12" s="292" t="s">
        <v>171</v>
      </c>
      <c r="D12" s="292" t="s">
        <v>178</v>
      </c>
      <c r="E12" s="292" t="s">
        <v>185</v>
      </c>
      <c r="F12" s="292" t="s">
        <v>186</v>
      </c>
      <c r="G12" s="292" t="s">
        <v>277</v>
      </c>
      <c r="H12" s="292" t="s">
        <v>184</v>
      </c>
      <c r="I12" s="796"/>
      <c r="J12" s="796"/>
      <c r="K12" s="796"/>
      <c r="L12" s="796"/>
      <c r="M12" s="796"/>
      <c r="N12" s="796"/>
      <c r="O12" s="292">
        <v>2020</v>
      </c>
      <c r="P12" s="292">
        <v>2021</v>
      </c>
      <c r="Q12" s="292">
        <v>2022</v>
      </c>
      <c r="R12" s="292">
        <v>2023</v>
      </c>
      <c r="S12" s="292">
        <v>2024</v>
      </c>
      <c r="T12" s="796"/>
      <c r="U12" s="796"/>
      <c r="V12" s="230" t="s">
        <v>39</v>
      </c>
      <c r="W12" s="230" t="s">
        <v>40</v>
      </c>
      <c r="X12" s="230" t="s">
        <v>41</v>
      </c>
      <c r="Y12" s="230" t="s">
        <v>42</v>
      </c>
      <c r="Z12" s="230" t="s">
        <v>43</v>
      </c>
      <c r="AA12" s="230" t="s">
        <v>44</v>
      </c>
      <c r="AB12" s="230" t="s">
        <v>45</v>
      </c>
      <c r="AC12" s="230" t="s">
        <v>46</v>
      </c>
      <c r="AD12" s="230" t="s">
        <v>47</v>
      </c>
      <c r="AE12" s="230" t="s">
        <v>48</v>
      </c>
      <c r="AF12" s="230" t="s">
        <v>49</v>
      </c>
      <c r="AG12" s="230" t="s">
        <v>50</v>
      </c>
      <c r="AH12" s="230" t="s">
        <v>39</v>
      </c>
      <c r="AI12" s="230" t="s">
        <v>40</v>
      </c>
      <c r="AJ12" s="230" t="s">
        <v>41</v>
      </c>
      <c r="AK12" s="230" t="s">
        <v>42</v>
      </c>
      <c r="AL12" s="230" t="s">
        <v>43</v>
      </c>
      <c r="AM12" s="230" t="s">
        <v>44</v>
      </c>
      <c r="AN12" s="230" t="s">
        <v>45</v>
      </c>
      <c r="AO12" s="230" t="s">
        <v>46</v>
      </c>
      <c r="AP12" s="230" t="s">
        <v>47</v>
      </c>
      <c r="AQ12" s="230" t="s">
        <v>48</v>
      </c>
      <c r="AR12" s="230" t="s">
        <v>49</v>
      </c>
      <c r="AS12" s="230" t="s">
        <v>50</v>
      </c>
      <c r="AT12" s="292" t="s">
        <v>413</v>
      </c>
      <c r="AU12" s="216" t="s">
        <v>88</v>
      </c>
      <c r="AV12" s="796"/>
      <c r="AW12" s="796"/>
      <c r="AX12" s="796"/>
      <c r="AY12" s="796"/>
    </row>
    <row r="13" spans="1:51" ht="158.25" customHeight="1">
      <c r="A13" s="310"/>
      <c r="B13" s="121"/>
      <c r="C13" s="121"/>
      <c r="D13" s="121"/>
      <c r="E13" s="451" t="s">
        <v>425</v>
      </c>
      <c r="F13" s="121"/>
      <c r="G13" s="383" t="s">
        <v>718</v>
      </c>
      <c r="H13" s="121"/>
      <c r="I13" s="232" t="s">
        <v>719</v>
      </c>
      <c r="J13" s="402" t="s">
        <v>720</v>
      </c>
      <c r="K13" s="384" t="s">
        <v>453</v>
      </c>
      <c r="L13" s="122"/>
      <c r="M13" s="384" t="s">
        <v>431</v>
      </c>
      <c r="N13" s="402" t="s">
        <v>721</v>
      </c>
      <c r="O13" s="123"/>
      <c r="P13" s="123"/>
      <c r="Q13" s="123"/>
      <c r="R13" s="385">
        <v>1</v>
      </c>
      <c r="S13" s="123"/>
      <c r="T13" s="386" t="s">
        <v>433</v>
      </c>
      <c r="U13" s="403" t="s">
        <v>722</v>
      </c>
      <c r="V13" s="124"/>
      <c r="W13" s="124"/>
      <c r="X13" s="307">
        <v>1</v>
      </c>
      <c r="Y13" s="124"/>
      <c r="Z13" s="124"/>
      <c r="AA13" s="307">
        <v>1</v>
      </c>
      <c r="AB13" s="124"/>
      <c r="AC13" s="124"/>
      <c r="AD13" s="307">
        <v>1</v>
      </c>
      <c r="AE13" s="124"/>
      <c r="AF13" s="124"/>
      <c r="AG13" s="307">
        <v>1</v>
      </c>
      <c r="AH13" s="124"/>
      <c r="AI13" s="124"/>
      <c r="AJ13" s="127">
        <v>1</v>
      </c>
      <c r="AK13" s="124"/>
      <c r="AL13" s="124"/>
      <c r="AM13" s="464">
        <v>1</v>
      </c>
      <c r="AN13" s="124"/>
      <c r="AO13" s="124"/>
      <c r="AP13" s="464">
        <v>1</v>
      </c>
      <c r="AQ13" s="124"/>
      <c r="AR13" s="124"/>
      <c r="AS13" s="124"/>
      <c r="AT13" s="127">
        <f aca="true" t="shared" si="0" ref="AT13:AT18">AVERAGE(AH13:AS13)</f>
        <v>1</v>
      </c>
      <c r="AU13" s="379">
        <f aca="true" t="shared" si="1" ref="AU13:AU18">+(SUM(AH13:AS13)/+SUM(V13:AG13))</f>
        <v>0.75</v>
      </c>
      <c r="AV13" s="473" t="s">
        <v>901</v>
      </c>
      <c r="AW13" s="476" t="s">
        <v>997</v>
      </c>
      <c r="AX13" s="467" t="s">
        <v>903</v>
      </c>
      <c r="AY13" s="467" t="s">
        <v>450</v>
      </c>
    </row>
    <row r="14" spans="1:51" ht="124.5" customHeight="1">
      <c r="A14" s="310"/>
      <c r="B14" s="121"/>
      <c r="C14" s="121"/>
      <c r="D14" s="121"/>
      <c r="E14" s="451" t="s">
        <v>425</v>
      </c>
      <c r="F14" s="121"/>
      <c r="G14" s="383" t="s">
        <v>718</v>
      </c>
      <c r="H14" s="121"/>
      <c r="I14" s="232" t="s">
        <v>723</v>
      </c>
      <c r="J14" s="402" t="s">
        <v>724</v>
      </c>
      <c r="K14" s="384" t="s">
        <v>453</v>
      </c>
      <c r="L14" s="124"/>
      <c r="M14" s="384" t="s">
        <v>431</v>
      </c>
      <c r="N14" s="402" t="s">
        <v>725</v>
      </c>
      <c r="O14" s="124"/>
      <c r="P14" s="124"/>
      <c r="Q14" s="124"/>
      <c r="R14" s="385">
        <v>1</v>
      </c>
      <c r="S14" s="124"/>
      <c r="T14" s="386" t="s">
        <v>433</v>
      </c>
      <c r="U14" s="402" t="s">
        <v>726</v>
      </c>
      <c r="V14" s="124"/>
      <c r="W14" s="124"/>
      <c r="X14" s="307">
        <v>1</v>
      </c>
      <c r="Y14" s="124"/>
      <c r="Z14" s="124"/>
      <c r="AA14" s="307">
        <v>1</v>
      </c>
      <c r="AB14" s="124"/>
      <c r="AC14" s="124"/>
      <c r="AD14" s="307">
        <v>1</v>
      </c>
      <c r="AE14" s="124"/>
      <c r="AF14" s="124"/>
      <c r="AG14" s="307">
        <v>1</v>
      </c>
      <c r="AH14" s="124"/>
      <c r="AI14" s="124"/>
      <c r="AJ14" s="127">
        <v>1</v>
      </c>
      <c r="AK14" s="124"/>
      <c r="AL14" s="124"/>
      <c r="AM14" s="464">
        <v>1</v>
      </c>
      <c r="AN14" s="124"/>
      <c r="AO14" s="124"/>
      <c r="AP14" s="464">
        <v>1</v>
      </c>
      <c r="AQ14" s="124"/>
      <c r="AR14" s="124"/>
      <c r="AS14" s="124"/>
      <c r="AT14" s="464">
        <f t="shared" si="0"/>
        <v>1</v>
      </c>
      <c r="AU14" s="379">
        <f t="shared" si="1"/>
        <v>0.75</v>
      </c>
      <c r="AV14" s="473" t="s">
        <v>901</v>
      </c>
      <c r="AW14" s="476" t="s">
        <v>998</v>
      </c>
      <c r="AX14" s="467" t="s">
        <v>903</v>
      </c>
      <c r="AY14" s="467" t="s">
        <v>450</v>
      </c>
    </row>
    <row r="15" spans="1:51" ht="124.5" customHeight="1">
      <c r="A15" s="310"/>
      <c r="B15" s="121"/>
      <c r="C15" s="121"/>
      <c r="D15" s="121"/>
      <c r="E15" s="451" t="s">
        <v>425</v>
      </c>
      <c r="F15" s="121"/>
      <c r="G15" s="383" t="s">
        <v>718</v>
      </c>
      <c r="H15" s="121"/>
      <c r="I15" s="232" t="s">
        <v>727</v>
      </c>
      <c r="J15" s="402" t="s">
        <v>728</v>
      </c>
      <c r="K15" s="384" t="s">
        <v>453</v>
      </c>
      <c r="L15" s="124"/>
      <c r="M15" s="384" t="s">
        <v>431</v>
      </c>
      <c r="N15" s="402" t="s">
        <v>729</v>
      </c>
      <c r="O15" s="124"/>
      <c r="P15" s="124"/>
      <c r="Q15" s="124"/>
      <c r="R15" s="385">
        <v>1</v>
      </c>
      <c r="S15" s="124"/>
      <c r="T15" s="386" t="s">
        <v>433</v>
      </c>
      <c r="U15" s="402" t="s">
        <v>730</v>
      </c>
      <c r="V15" s="124"/>
      <c r="W15" s="124"/>
      <c r="X15" s="307">
        <v>1</v>
      </c>
      <c r="Y15" s="124"/>
      <c r="Z15" s="124"/>
      <c r="AA15" s="307">
        <v>1</v>
      </c>
      <c r="AB15" s="124"/>
      <c r="AC15" s="124"/>
      <c r="AD15" s="307">
        <v>1</v>
      </c>
      <c r="AE15" s="124"/>
      <c r="AF15" s="124"/>
      <c r="AG15" s="307">
        <v>1</v>
      </c>
      <c r="AH15" s="124"/>
      <c r="AI15" s="124"/>
      <c r="AJ15" s="127">
        <v>1</v>
      </c>
      <c r="AK15" s="124"/>
      <c r="AL15" s="124"/>
      <c r="AM15" s="464">
        <v>1</v>
      </c>
      <c r="AN15" s="124"/>
      <c r="AO15" s="124"/>
      <c r="AP15" s="464">
        <v>1</v>
      </c>
      <c r="AQ15" s="124"/>
      <c r="AR15" s="124"/>
      <c r="AS15" s="124"/>
      <c r="AT15" s="464">
        <f t="shared" si="0"/>
        <v>1</v>
      </c>
      <c r="AU15" s="379">
        <f t="shared" si="1"/>
        <v>0.75</v>
      </c>
      <c r="AV15" s="473" t="s">
        <v>901</v>
      </c>
      <c r="AW15" s="476" t="s">
        <v>999</v>
      </c>
      <c r="AX15" s="467" t="s">
        <v>903</v>
      </c>
      <c r="AY15" s="467" t="s">
        <v>450</v>
      </c>
    </row>
    <row r="16" spans="1:51" ht="124.5" customHeight="1">
      <c r="A16" s="310"/>
      <c r="B16" s="121"/>
      <c r="C16" s="121"/>
      <c r="D16" s="121"/>
      <c r="E16" s="451" t="s">
        <v>425</v>
      </c>
      <c r="F16" s="121"/>
      <c r="G16" s="383" t="s">
        <v>718</v>
      </c>
      <c r="H16" s="121"/>
      <c r="I16" s="232" t="s">
        <v>731</v>
      </c>
      <c r="J16" s="402" t="s">
        <v>732</v>
      </c>
      <c r="K16" s="384" t="s">
        <v>733</v>
      </c>
      <c r="L16" s="124"/>
      <c r="M16" s="384" t="s">
        <v>431</v>
      </c>
      <c r="N16" s="402" t="s">
        <v>734</v>
      </c>
      <c r="O16" s="124"/>
      <c r="P16" s="124"/>
      <c r="Q16" s="124"/>
      <c r="R16" s="385">
        <v>1</v>
      </c>
      <c r="S16" s="124"/>
      <c r="T16" s="386" t="s">
        <v>433</v>
      </c>
      <c r="U16" s="402" t="s">
        <v>735</v>
      </c>
      <c r="V16" s="124"/>
      <c r="W16" s="124"/>
      <c r="X16" s="307">
        <v>1</v>
      </c>
      <c r="Y16" s="124"/>
      <c r="Z16" s="124"/>
      <c r="AA16" s="307">
        <v>1</v>
      </c>
      <c r="AB16" s="124"/>
      <c r="AC16" s="124"/>
      <c r="AD16" s="307">
        <v>1</v>
      </c>
      <c r="AE16" s="124"/>
      <c r="AF16" s="124"/>
      <c r="AG16" s="307">
        <v>1</v>
      </c>
      <c r="AH16" s="124"/>
      <c r="AI16" s="124"/>
      <c r="AJ16" s="127">
        <v>1</v>
      </c>
      <c r="AK16" s="124"/>
      <c r="AL16" s="124"/>
      <c r="AM16" s="464">
        <v>1</v>
      </c>
      <c r="AN16" s="124"/>
      <c r="AO16" s="124"/>
      <c r="AP16" s="464">
        <v>1</v>
      </c>
      <c r="AQ16" s="124"/>
      <c r="AR16" s="124"/>
      <c r="AS16" s="124"/>
      <c r="AT16" s="464">
        <f t="shared" si="0"/>
        <v>1</v>
      </c>
      <c r="AU16" s="379">
        <f t="shared" si="1"/>
        <v>0.75</v>
      </c>
      <c r="AV16" s="473" t="s">
        <v>901</v>
      </c>
      <c r="AW16" s="466" t="s">
        <v>1000</v>
      </c>
      <c r="AX16" s="467" t="s">
        <v>903</v>
      </c>
      <c r="AY16" s="467" t="s">
        <v>450</v>
      </c>
    </row>
    <row r="17" spans="1:51" ht="124.5" customHeight="1">
      <c r="A17" s="310"/>
      <c r="B17" s="121"/>
      <c r="C17" s="121"/>
      <c r="D17" s="121"/>
      <c r="E17" s="451" t="s">
        <v>425</v>
      </c>
      <c r="F17" s="121"/>
      <c r="G17" s="383" t="s">
        <v>718</v>
      </c>
      <c r="H17" s="121"/>
      <c r="I17" s="232" t="s">
        <v>736</v>
      </c>
      <c r="J17" s="402" t="s">
        <v>737</v>
      </c>
      <c r="K17" s="384" t="s">
        <v>733</v>
      </c>
      <c r="L17" s="124"/>
      <c r="M17" s="384" t="s">
        <v>431</v>
      </c>
      <c r="N17" s="402" t="s">
        <v>738</v>
      </c>
      <c r="O17" s="124"/>
      <c r="P17" s="124"/>
      <c r="Q17" s="124"/>
      <c r="R17" s="385">
        <v>1</v>
      </c>
      <c r="S17" s="124"/>
      <c r="T17" s="386" t="s">
        <v>433</v>
      </c>
      <c r="U17" s="402" t="s">
        <v>739</v>
      </c>
      <c r="V17" s="124"/>
      <c r="W17" s="124"/>
      <c r="X17" s="307">
        <v>1</v>
      </c>
      <c r="Y17" s="124"/>
      <c r="Z17" s="124"/>
      <c r="AA17" s="307">
        <v>1</v>
      </c>
      <c r="AB17" s="124"/>
      <c r="AC17" s="124"/>
      <c r="AD17" s="307">
        <v>1</v>
      </c>
      <c r="AE17" s="124"/>
      <c r="AF17" s="124"/>
      <c r="AG17" s="307">
        <v>1</v>
      </c>
      <c r="AH17" s="124"/>
      <c r="AI17" s="124"/>
      <c r="AJ17" s="127">
        <v>1</v>
      </c>
      <c r="AK17" s="124"/>
      <c r="AL17" s="124"/>
      <c r="AM17" s="464">
        <v>1</v>
      </c>
      <c r="AN17" s="124"/>
      <c r="AO17" s="124"/>
      <c r="AP17" s="464">
        <v>1</v>
      </c>
      <c r="AQ17" s="124"/>
      <c r="AR17" s="124"/>
      <c r="AS17" s="124"/>
      <c r="AT17" s="464">
        <f t="shared" si="0"/>
        <v>1</v>
      </c>
      <c r="AU17" s="379">
        <f t="shared" si="1"/>
        <v>0.75</v>
      </c>
      <c r="AV17" s="473" t="s">
        <v>901</v>
      </c>
      <c r="AW17" s="476" t="s">
        <v>1001</v>
      </c>
      <c r="AX17" s="467" t="s">
        <v>903</v>
      </c>
      <c r="AY17" s="467" t="s">
        <v>450</v>
      </c>
    </row>
    <row r="18" spans="1:51" ht="124.5" customHeight="1">
      <c r="A18" s="310"/>
      <c r="B18" s="121"/>
      <c r="C18" s="121"/>
      <c r="D18" s="121"/>
      <c r="E18" s="451" t="s">
        <v>425</v>
      </c>
      <c r="F18" s="121"/>
      <c r="G18" s="383" t="s">
        <v>718</v>
      </c>
      <c r="H18" s="121"/>
      <c r="I18" s="232" t="s">
        <v>740</v>
      </c>
      <c r="J18" s="402" t="s">
        <v>741</v>
      </c>
      <c r="K18" s="384" t="s">
        <v>733</v>
      </c>
      <c r="L18" s="124"/>
      <c r="M18" s="384" t="s">
        <v>431</v>
      </c>
      <c r="N18" s="402" t="s">
        <v>742</v>
      </c>
      <c r="O18" s="124"/>
      <c r="P18" s="124"/>
      <c r="Q18" s="124"/>
      <c r="R18" s="385">
        <v>1</v>
      </c>
      <c r="S18" s="124"/>
      <c r="T18" s="386" t="s">
        <v>433</v>
      </c>
      <c r="U18" s="402" t="s">
        <v>743</v>
      </c>
      <c r="V18" s="124"/>
      <c r="W18" s="124"/>
      <c r="X18" s="307">
        <v>1</v>
      </c>
      <c r="Y18" s="124"/>
      <c r="Z18" s="124"/>
      <c r="AA18" s="307">
        <v>1</v>
      </c>
      <c r="AB18" s="124"/>
      <c r="AC18" s="124"/>
      <c r="AD18" s="307">
        <v>1</v>
      </c>
      <c r="AE18" s="124"/>
      <c r="AF18" s="124"/>
      <c r="AG18" s="307">
        <v>1</v>
      </c>
      <c r="AH18" s="124"/>
      <c r="AI18" s="124"/>
      <c r="AJ18" s="127">
        <v>1</v>
      </c>
      <c r="AK18" s="124"/>
      <c r="AL18" s="124"/>
      <c r="AM18" s="464">
        <v>1</v>
      </c>
      <c r="AN18" s="124"/>
      <c r="AO18" s="124"/>
      <c r="AP18" s="464">
        <v>1</v>
      </c>
      <c r="AQ18" s="124"/>
      <c r="AR18" s="124"/>
      <c r="AS18" s="124"/>
      <c r="AT18" s="464">
        <f t="shared" si="0"/>
        <v>1</v>
      </c>
      <c r="AU18" s="379">
        <f t="shared" si="1"/>
        <v>0.75</v>
      </c>
      <c r="AV18" s="473" t="s">
        <v>901</v>
      </c>
      <c r="AW18" s="476" t="s">
        <v>1002</v>
      </c>
      <c r="AX18" s="467" t="s">
        <v>903</v>
      </c>
      <c r="AY18" s="467" t="s">
        <v>450</v>
      </c>
    </row>
    <row r="19" spans="1:51" ht="124.5" customHeight="1">
      <c r="A19" s="310"/>
      <c r="B19" s="121"/>
      <c r="C19" s="121"/>
      <c r="D19" s="121"/>
      <c r="E19" s="451" t="s">
        <v>425</v>
      </c>
      <c r="F19" s="121"/>
      <c r="G19" s="383" t="s">
        <v>718</v>
      </c>
      <c r="H19" s="121"/>
      <c r="I19" s="122" t="s">
        <v>744</v>
      </c>
      <c r="J19" s="402" t="s">
        <v>745</v>
      </c>
      <c r="K19" s="384" t="s">
        <v>430</v>
      </c>
      <c r="L19" s="124"/>
      <c r="M19" s="384" t="s">
        <v>431</v>
      </c>
      <c r="N19" s="402" t="s">
        <v>746</v>
      </c>
      <c r="O19" s="124"/>
      <c r="P19" s="124"/>
      <c r="Q19" s="124"/>
      <c r="R19" s="385">
        <v>1</v>
      </c>
      <c r="S19" s="124"/>
      <c r="T19" s="386" t="s">
        <v>433</v>
      </c>
      <c r="U19" s="402" t="s">
        <v>747</v>
      </c>
      <c r="V19" s="124"/>
      <c r="W19" s="124"/>
      <c r="X19" s="307">
        <v>0.25</v>
      </c>
      <c r="Y19" s="124"/>
      <c r="Z19" s="124"/>
      <c r="AA19" s="307">
        <v>0.25</v>
      </c>
      <c r="AB19" s="124"/>
      <c r="AC19" s="124"/>
      <c r="AD19" s="307">
        <v>0.25</v>
      </c>
      <c r="AE19" s="124"/>
      <c r="AF19" s="124"/>
      <c r="AG19" s="307">
        <v>0.25</v>
      </c>
      <c r="AH19" s="124"/>
      <c r="AI19" s="124"/>
      <c r="AJ19" s="127">
        <v>0.25</v>
      </c>
      <c r="AK19" s="124"/>
      <c r="AL19" s="124"/>
      <c r="AM19" s="464">
        <v>0.25</v>
      </c>
      <c r="AN19" s="124"/>
      <c r="AO19" s="124"/>
      <c r="AP19" s="464">
        <v>0.25</v>
      </c>
      <c r="AQ19" s="124"/>
      <c r="AR19" s="124"/>
      <c r="AS19" s="124"/>
      <c r="AT19" s="127">
        <f>SUM(AH19:AS19)</f>
        <v>0.75</v>
      </c>
      <c r="AU19" s="379">
        <f>+AT19/R19</f>
        <v>0.75</v>
      </c>
      <c r="AV19" s="473" t="s">
        <v>901</v>
      </c>
      <c r="AW19" s="476" t="s">
        <v>1003</v>
      </c>
      <c r="AX19" s="467" t="s">
        <v>903</v>
      </c>
      <c r="AY19" s="467" t="s">
        <v>450</v>
      </c>
    </row>
    <row r="20" spans="1:51" ht="54" customHeight="1">
      <c r="A20" s="798" t="s">
        <v>64</v>
      </c>
      <c r="B20" s="798"/>
      <c r="C20" s="798"/>
      <c r="D20" s="794" t="s">
        <v>66</v>
      </c>
      <c r="E20" s="794"/>
      <c r="F20" s="794"/>
      <c r="G20" s="794"/>
      <c r="H20" s="794"/>
      <c r="I20" s="794"/>
      <c r="J20" s="799" t="s">
        <v>300</v>
      </c>
      <c r="K20" s="799"/>
      <c r="L20" s="799"/>
      <c r="M20" s="799"/>
      <c r="N20" s="799"/>
      <c r="O20" s="799"/>
      <c r="P20" s="794" t="s">
        <v>66</v>
      </c>
      <c r="Q20" s="794"/>
      <c r="R20" s="794"/>
      <c r="S20" s="794"/>
      <c r="T20" s="794"/>
      <c r="U20" s="794"/>
      <c r="V20" s="794" t="s">
        <v>66</v>
      </c>
      <c r="W20" s="794"/>
      <c r="X20" s="794"/>
      <c r="Y20" s="794"/>
      <c r="Z20" s="794"/>
      <c r="AA20" s="794"/>
      <c r="AB20" s="794"/>
      <c r="AC20" s="794"/>
      <c r="AD20" s="794" t="s">
        <v>66</v>
      </c>
      <c r="AE20" s="794"/>
      <c r="AF20" s="794"/>
      <c r="AG20" s="794"/>
      <c r="AH20" s="794"/>
      <c r="AI20" s="794"/>
      <c r="AJ20" s="794"/>
      <c r="AK20" s="794"/>
      <c r="AL20" s="794"/>
      <c r="AM20" s="794"/>
      <c r="AN20" s="794"/>
      <c r="AO20" s="794"/>
      <c r="AP20" s="799" t="s">
        <v>318</v>
      </c>
      <c r="AQ20" s="799"/>
      <c r="AR20" s="799"/>
      <c r="AS20" s="799"/>
      <c r="AT20" s="794" t="s">
        <v>13</v>
      </c>
      <c r="AU20" s="794"/>
      <c r="AV20" s="794"/>
      <c r="AW20" s="794"/>
      <c r="AX20" s="794"/>
      <c r="AY20" s="794"/>
    </row>
    <row r="21" spans="1:51" ht="30" customHeight="1">
      <c r="A21" s="798"/>
      <c r="B21" s="798"/>
      <c r="C21" s="798"/>
      <c r="D21" s="794" t="s">
        <v>801</v>
      </c>
      <c r="E21" s="794"/>
      <c r="F21" s="794"/>
      <c r="G21" s="794"/>
      <c r="H21" s="794"/>
      <c r="I21" s="794"/>
      <c r="J21" s="799"/>
      <c r="K21" s="799"/>
      <c r="L21" s="799"/>
      <c r="M21" s="799"/>
      <c r="N21" s="799"/>
      <c r="O21" s="799"/>
      <c r="P21" s="794" t="s">
        <v>803</v>
      </c>
      <c r="Q21" s="794"/>
      <c r="R21" s="794"/>
      <c r="S21" s="794"/>
      <c r="T21" s="794"/>
      <c r="U21" s="794"/>
      <c r="V21" s="794" t="s">
        <v>65</v>
      </c>
      <c r="W21" s="794"/>
      <c r="X21" s="794"/>
      <c r="Y21" s="794"/>
      <c r="Z21" s="794"/>
      <c r="AA21" s="794"/>
      <c r="AB21" s="794"/>
      <c r="AC21" s="794"/>
      <c r="AD21" s="794" t="s">
        <v>65</v>
      </c>
      <c r="AE21" s="794"/>
      <c r="AF21" s="794"/>
      <c r="AG21" s="794"/>
      <c r="AH21" s="794"/>
      <c r="AI21" s="794"/>
      <c r="AJ21" s="794"/>
      <c r="AK21" s="794"/>
      <c r="AL21" s="794"/>
      <c r="AM21" s="794"/>
      <c r="AN21" s="794"/>
      <c r="AO21" s="794"/>
      <c r="AP21" s="799"/>
      <c r="AQ21" s="799"/>
      <c r="AR21" s="799"/>
      <c r="AS21" s="799"/>
      <c r="AT21" s="794" t="s">
        <v>769</v>
      </c>
      <c r="AU21" s="794"/>
      <c r="AV21" s="794"/>
      <c r="AW21" s="794"/>
      <c r="AX21" s="794"/>
      <c r="AY21" s="794"/>
    </row>
    <row r="22" spans="1:51" ht="30" customHeight="1">
      <c r="A22" s="798"/>
      <c r="B22" s="798"/>
      <c r="C22" s="798"/>
      <c r="D22" s="794" t="s">
        <v>802</v>
      </c>
      <c r="E22" s="794"/>
      <c r="F22" s="794"/>
      <c r="G22" s="794"/>
      <c r="H22" s="794"/>
      <c r="I22" s="794"/>
      <c r="J22" s="799"/>
      <c r="K22" s="799"/>
      <c r="L22" s="799"/>
      <c r="M22" s="799"/>
      <c r="N22" s="799"/>
      <c r="O22" s="799"/>
      <c r="P22" s="794" t="s">
        <v>804</v>
      </c>
      <c r="Q22" s="794"/>
      <c r="R22" s="794"/>
      <c r="S22" s="794"/>
      <c r="T22" s="794"/>
      <c r="U22" s="794"/>
      <c r="V22" s="794" t="s">
        <v>297</v>
      </c>
      <c r="W22" s="794"/>
      <c r="X22" s="794"/>
      <c r="Y22" s="794"/>
      <c r="Z22" s="794"/>
      <c r="AA22" s="794"/>
      <c r="AB22" s="794"/>
      <c r="AC22" s="794"/>
      <c r="AD22" s="794" t="s">
        <v>297</v>
      </c>
      <c r="AE22" s="794"/>
      <c r="AF22" s="794"/>
      <c r="AG22" s="794"/>
      <c r="AH22" s="794"/>
      <c r="AI22" s="794"/>
      <c r="AJ22" s="794"/>
      <c r="AK22" s="794"/>
      <c r="AL22" s="794"/>
      <c r="AM22" s="794"/>
      <c r="AN22" s="794"/>
      <c r="AO22" s="794"/>
      <c r="AP22" s="799"/>
      <c r="AQ22" s="799"/>
      <c r="AR22" s="799"/>
      <c r="AS22" s="799"/>
      <c r="AT22" s="794" t="s">
        <v>75</v>
      </c>
      <c r="AU22" s="794"/>
      <c r="AV22" s="794"/>
      <c r="AW22" s="794"/>
      <c r="AX22" s="794"/>
      <c r="AY22" s="794"/>
    </row>
  </sheetData>
  <sheetProtection/>
  <mergeCells count="56">
    <mergeCell ref="AT22:AY22"/>
    <mergeCell ref="AT20:AY20"/>
    <mergeCell ref="D21:I21"/>
    <mergeCell ref="P21:U21"/>
    <mergeCell ref="V21:AC21"/>
    <mergeCell ref="AD21:AO21"/>
    <mergeCell ref="AT21:AY21"/>
    <mergeCell ref="P22:U22"/>
    <mergeCell ref="V22:AC22"/>
    <mergeCell ref="AD22:AO22"/>
    <mergeCell ref="AH11:AS11"/>
    <mergeCell ref="AT11:AU11"/>
    <mergeCell ref="A20:C22"/>
    <mergeCell ref="D20:I20"/>
    <mergeCell ref="J20:O22"/>
    <mergeCell ref="P20:U20"/>
    <mergeCell ref="V20:AC20"/>
    <mergeCell ref="AD20:AO20"/>
    <mergeCell ref="D22:I22"/>
    <mergeCell ref="AP20:AS22"/>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1" fitToWidth="1" horizontalDpi="600" verticalDpi="600" orientation="landscape" scale="16" r:id="rId3"/>
  <legacyDrawing r:id="rId2"/>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W1"/>
    </sheetView>
  </sheetViews>
  <sheetFormatPr defaultColWidth="11.421875" defaultRowHeight="15"/>
  <sheetData/>
  <sheetProtection/>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A1" sqref="A1:AW1"/>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1189" t="s">
        <v>20</v>
      </c>
      <c r="D1" s="1189"/>
      <c r="E1" s="1189"/>
      <c r="F1" s="1189"/>
      <c r="G1" s="1190" t="s">
        <v>22</v>
      </c>
      <c r="H1" s="1191"/>
      <c r="I1" s="1191"/>
      <c r="J1" s="1192"/>
      <c r="K1" s="1188" t="s">
        <v>23</v>
      </c>
      <c r="L1" s="1188"/>
      <c r="M1" s="1188"/>
      <c r="N1" s="1188"/>
    </row>
    <row r="2" spans="3:14" ht="15">
      <c r="C2" s="5"/>
      <c r="D2" s="5"/>
      <c r="E2" s="5"/>
      <c r="F2" s="5" t="s">
        <v>21</v>
      </c>
      <c r="G2" s="31"/>
      <c r="H2" s="5"/>
      <c r="I2" s="5"/>
      <c r="J2" s="32" t="s">
        <v>21</v>
      </c>
      <c r="K2" s="5"/>
      <c r="L2" s="5"/>
      <c r="M2" s="5"/>
      <c r="N2" s="5" t="s">
        <v>21</v>
      </c>
    </row>
    <row r="3" spans="1:14" ht="15">
      <c r="A3" s="1187"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1187"/>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1187"/>
      <c r="B5" s="6">
        <v>3</v>
      </c>
      <c r="C5" s="7">
        <v>0.05</v>
      </c>
      <c r="D5" s="7">
        <v>0.05</v>
      </c>
      <c r="E5" s="7">
        <v>0.1</v>
      </c>
      <c r="F5" s="8">
        <f>(C5+D5+E5)</f>
        <v>0.2</v>
      </c>
      <c r="G5" s="33">
        <v>0.1</v>
      </c>
      <c r="H5" s="7">
        <v>0.1</v>
      </c>
      <c r="I5" s="7">
        <v>0.1</v>
      </c>
      <c r="J5" s="34">
        <f>(G5+H5+I5)</f>
        <v>0.30000000000000004</v>
      </c>
      <c r="K5" s="25"/>
      <c r="L5" s="6"/>
      <c r="M5" s="6"/>
      <c r="N5" s="6"/>
    </row>
    <row r="6" spans="1:14" ht="15">
      <c r="A6" s="1187"/>
      <c r="B6" s="6">
        <v>4</v>
      </c>
      <c r="C6" s="7">
        <v>0.1</v>
      </c>
      <c r="D6" s="7">
        <v>0.1</v>
      </c>
      <c r="E6" s="7">
        <v>0.2</v>
      </c>
      <c r="F6" s="8">
        <f>(C6+D6+E6)</f>
        <v>0.4</v>
      </c>
      <c r="G6" s="33">
        <v>0</v>
      </c>
      <c r="H6" s="7">
        <v>0</v>
      </c>
      <c r="I6" s="7">
        <v>0.1</v>
      </c>
      <c r="J6" s="34">
        <f>(G6+H6+I6)</f>
        <v>0.1</v>
      </c>
      <c r="K6" s="25"/>
      <c r="L6" s="6"/>
      <c r="M6" s="6"/>
      <c r="N6" s="6"/>
    </row>
    <row r="7" spans="1:14" ht="15">
      <c r="A7" s="1187"/>
      <c r="B7" s="6">
        <v>5</v>
      </c>
      <c r="C7" s="7">
        <v>0</v>
      </c>
      <c r="D7" s="7">
        <v>0</v>
      </c>
      <c r="E7" s="7">
        <v>0</v>
      </c>
      <c r="F7" s="8">
        <f>(C7+D7+E7)</f>
        <v>0</v>
      </c>
      <c r="G7" s="33">
        <v>0</v>
      </c>
      <c r="H7" s="7">
        <v>0</v>
      </c>
      <c r="I7" s="7">
        <v>0</v>
      </c>
      <c r="J7" s="34">
        <f>(G7+H7+I7)</f>
        <v>0</v>
      </c>
      <c r="K7" s="25"/>
      <c r="L7" s="6"/>
      <c r="M7" s="6"/>
      <c r="N7" s="6"/>
    </row>
    <row r="8" spans="1:14" ht="15">
      <c r="A8" s="1187" t="s">
        <v>25</v>
      </c>
      <c r="B8" s="10">
        <v>6</v>
      </c>
      <c r="C8" s="11">
        <v>0.1</v>
      </c>
      <c r="D8" s="11">
        <v>0.1</v>
      </c>
      <c r="E8" s="11">
        <v>0.1</v>
      </c>
      <c r="F8" s="12">
        <f>C8+D8+E8</f>
        <v>0.30000000000000004</v>
      </c>
      <c r="G8" s="35"/>
      <c r="H8" s="10"/>
      <c r="I8" s="10"/>
      <c r="J8" s="36"/>
      <c r="K8" s="26"/>
      <c r="L8" s="10"/>
      <c r="M8" s="10"/>
      <c r="N8" s="10"/>
    </row>
    <row r="9" spans="1:14" ht="15">
      <c r="A9" s="1187"/>
      <c r="B9" s="10">
        <v>7</v>
      </c>
      <c r="C9" s="10"/>
      <c r="D9" s="10"/>
      <c r="E9" s="10"/>
      <c r="F9" s="20"/>
      <c r="G9" s="37"/>
      <c r="H9" s="10"/>
      <c r="I9" s="10"/>
      <c r="J9" s="36"/>
      <c r="K9" s="26"/>
      <c r="L9" s="10"/>
      <c r="M9" s="10"/>
      <c r="N9" s="10"/>
    </row>
    <row r="10" spans="1:14" ht="15">
      <c r="A10" s="1187"/>
      <c r="B10" s="10">
        <v>8</v>
      </c>
      <c r="C10" s="10"/>
      <c r="D10" s="10"/>
      <c r="E10" s="10"/>
      <c r="F10" s="20"/>
      <c r="G10" s="37"/>
      <c r="H10" s="10"/>
      <c r="I10" s="10"/>
      <c r="J10" s="36"/>
      <c r="K10" s="26"/>
      <c r="L10" s="10"/>
      <c r="M10" s="10"/>
      <c r="N10" s="10"/>
    </row>
    <row r="11" spans="1:14" ht="15">
      <c r="A11" s="1187"/>
      <c r="B11" s="10">
        <v>9</v>
      </c>
      <c r="C11" s="10"/>
      <c r="D11" s="10"/>
      <c r="E11" s="10"/>
      <c r="F11" s="20"/>
      <c r="G11" s="37"/>
      <c r="H11" s="10"/>
      <c r="I11" s="10"/>
      <c r="J11" s="36"/>
      <c r="K11" s="26"/>
      <c r="L11" s="10"/>
      <c r="M11" s="10"/>
      <c r="N11" s="10"/>
    </row>
    <row r="12" spans="1:14" ht="15">
      <c r="A12" s="1187" t="s">
        <v>26</v>
      </c>
      <c r="B12" s="15">
        <v>10</v>
      </c>
      <c r="C12" s="15"/>
      <c r="D12" s="15"/>
      <c r="E12" s="15"/>
      <c r="F12" s="21"/>
      <c r="G12" s="38"/>
      <c r="H12" s="15"/>
      <c r="I12" s="15"/>
      <c r="J12" s="39"/>
      <c r="K12" s="27"/>
      <c r="L12" s="15"/>
      <c r="M12" s="15"/>
      <c r="N12" s="15"/>
    </row>
    <row r="13" spans="1:14" ht="15">
      <c r="A13" s="1187"/>
      <c r="B13" s="15">
        <v>11</v>
      </c>
      <c r="C13" s="15"/>
      <c r="D13" s="15"/>
      <c r="E13" s="15"/>
      <c r="F13" s="21"/>
      <c r="G13" s="38"/>
      <c r="H13" s="15"/>
      <c r="I13" s="15"/>
      <c r="J13" s="39"/>
      <c r="K13" s="27"/>
      <c r="L13" s="15"/>
      <c r="M13" s="15"/>
      <c r="N13" s="15"/>
    </row>
    <row r="14" spans="1:14" ht="15">
      <c r="A14" s="1187"/>
      <c r="B14" s="15">
        <v>12</v>
      </c>
      <c r="C14" s="15"/>
      <c r="D14" s="15"/>
      <c r="E14" s="15"/>
      <c r="F14" s="21"/>
      <c r="G14" s="38"/>
      <c r="H14" s="15"/>
      <c r="I14" s="15"/>
      <c r="J14" s="39"/>
      <c r="K14" s="27"/>
      <c r="L14" s="15"/>
      <c r="M14" s="15"/>
      <c r="N14" s="15"/>
    </row>
    <row r="15" spans="1:14" ht="15">
      <c r="A15" s="1187"/>
      <c r="B15" s="15">
        <v>13</v>
      </c>
      <c r="C15" s="15"/>
      <c r="D15" s="15"/>
      <c r="E15" s="15"/>
      <c r="F15" s="21"/>
      <c r="G15" s="38"/>
      <c r="H15" s="15"/>
      <c r="I15" s="15"/>
      <c r="J15" s="39"/>
      <c r="K15" s="27"/>
      <c r="L15" s="15"/>
      <c r="M15" s="15"/>
      <c r="N15" s="15"/>
    </row>
    <row r="16" spans="1:14" ht="15">
      <c r="A16" s="1187" t="s">
        <v>27</v>
      </c>
      <c r="B16" s="16">
        <v>14</v>
      </c>
      <c r="C16" s="16"/>
      <c r="D16" s="16"/>
      <c r="E16" s="16"/>
      <c r="F16" s="22"/>
      <c r="G16" s="40"/>
      <c r="H16" s="16"/>
      <c r="I16" s="16"/>
      <c r="J16" s="41"/>
      <c r="K16" s="28"/>
      <c r="L16" s="16"/>
      <c r="M16" s="16"/>
      <c r="N16" s="16"/>
    </row>
    <row r="17" spans="1:14" ht="15">
      <c r="A17" s="1187"/>
      <c r="B17" s="16">
        <v>15</v>
      </c>
      <c r="C17" s="16"/>
      <c r="D17" s="16"/>
      <c r="E17" s="16"/>
      <c r="F17" s="22"/>
      <c r="G17" s="40"/>
      <c r="H17" s="16"/>
      <c r="I17" s="16"/>
      <c r="J17" s="41"/>
      <c r="K17" s="28"/>
      <c r="L17" s="16"/>
      <c r="M17" s="16"/>
      <c r="N17" s="16"/>
    </row>
    <row r="18" spans="1:14" ht="15">
      <c r="A18" s="1187"/>
      <c r="B18" s="16">
        <v>16</v>
      </c>
      <c r="C18" s="16"/>
      <c r="D18" s="16"/>
      <c r="E18" s="16"/>
      <c r="F18" s="22"/>
      <c r="G18" s="40"/>
      <c r="H18" s="16"/>
      <c r="I18" s="16"/>
      <c r="J18" s="41"/>
      <c r="K18" s="28"/>
      <c r="L18" s="16"/>
      <c r="M18" s="16"/>
      <c r="N18" s="16"/>
    </row>
    <row r="19" spans="1:14" ht="15">
      <c r="A19" s="1187" t="s">
        <v>28</v>
      </c>
      <c r="B19" s="19">
        <v>17</v>
      </c>
      <c r="C19" s="19"/>
      <c r="D19" s="19"/>
      <c r="E19" s="19"/>
      <c r="F19" s="23"/>
      <c r="G19" s="42"/>
      <c r="H19" s="19"/>
      <c r="I19" s="19"/>
      <c r="J19" s="43"/>
      <c r="K19" s="29"/>
      <c r="L19" s="19"/>
      <c r="M19" s="19"/>
      <c r="N19" s="19"/>
    </row>
    <row r="20" spans="1:14" ht="15">
      <c r="A20" s="1187"/>
      <c r="B20" s="19">
        <v>18</v>
      </c>
      <c r="C20" s="19"/>
      <c r="D20" s="19"/>
      <c r="E20" s="19"/>
      <c r="F20" s="23"/>
      <c r="G20" s="42"/>
      <c r="H20" s="19"/>
      <c r="I20" s="19"/>
      <c r="J20" s="43"/>
      <c r="K20" s="29"/>
      <c r="L20" s="19"/>
      <c r="M20" s="19"/>
      <c r="N20" s="19"/>
    </row>
    <row r="21" spans="1:14" ht="15">
      <c r="A21" s="1187"/>
      <c r="B21" s="19">
        <v>19</v>
      </c>
      <c r="C21" s="19"/>
      <c r="D21" s="19"/>
      <c r="E21" s="19"/>
      <c r="F21" s="23"/>
      <c r="G21" s="42"/>
      <c r="H21" s="19"/>
      <c r="I21" s="19"/>
      <c r="J21" s="43"/>
      <c r="K21" s="29"/>
      <c r="L21" s="19"/>
      <c r="M21" s="19"/>
      <c r="N21" s="19"/>
    </row>
    <row r="22" spans="1:14" ht="15">
      <c r="A22" s="1187"/>
      <c r="B22" s="19">
        <v>20</v>
      </c>
      <c r="C22" s="19"/>
      <c r="D22" s="19"/>
      <c r="E22" s="19"/>
      <c r="F22" s="23"/>
      <c r="G22" s="42"/>
      <c r="H22" s="19"/>
      <c r="I22" s="19"/>
      <c r="J22" s="43"/>
      <c r="K22" s="29"/>
      <c r="L22" s="19"/>
      <c r="M22" s="19"/>
      <c r="N22" s="19"/>
    </row>
    <row r="23" spans="1:14" ht="15">
      <c r="A23" s="1187" t="s">
        <v>29</v>
      </c>
      <c r="B23" s="14">
        <v>21</v>
      </c>
      <c r="C23" s="14"/>
      <c r="D23" s="14"/>
      <c r="E23" s="14"/>
      <c r="F23" s="24"/>
      <c r="G23" s="44"/>
      <c r="H23" s="14"/>
      <c r="I23" s="14"/>
      <c r="J23" s="45"/>
      <c r="K23" s="30"/>
      <c r="L23" s="14"/>
      <c r="M23" s="14"/>
      <c r="N23" s="14"/>
    </row>
    <row r="24" spans="1:14" ht="15">
      <c r="A24" s="1187"/>
      <c r="B24" s="14">
        <v>22</v>
      </c>
      <c r="C24" s="14"/>
      <c r="D24" s="14"/>
      <c r="E24" s="14"/>
      <c r="F24" s="24"/>
      <c r="G24" s="44"/>
      <c r="H24" s="14"/>
      <c r="I24" s="14"/>
      <c r="J24" s="45"/>
      <c r="K24" s="30"/>
      <c r="L24" s="14"/>
      <c r="M24" s="14"/>
      <c r="N24" s="14"/>
    </row>
    <row r="25" spans="1:14" ht="15">
      <c r="A25" s="1187"/>
      <c r="B25" s="14">
        <v>23</v>
      </c>
      <c r="C25" s="14"/>
      <c r="D25" s="14"/>
      <c r="E25" s="14"/>
      <c r="F25" s="24"/>
      <c r="G25" s="44"/>
      <c r="H25" s="14"/>
      <c r="I25" s="14"/>
      <c r="J25" s="45"/>
      <c r="K25" s="30"/>
      <c r="L25" s="14"/>
      <c r="M25" s="14"/>
      <c r="N25" s="14"/>
    </row>
    <row r="26" spans="1:14" ht="15">
      <c r="A26" s="1187"/>
      <c r="B26" s="14">
        <v>24</v>
      </c>
      <c r="C26" s="14"/>
      <c r="D26" s="14"/>
      <c r="E26" s="14"/>
      <c r="F26" s="24"/>
      <c r="G26" s="44"/>
      <c r="H26" s="14"/>
      <c r="I26" s="14"/>
      <c r="J26" s="45"/>
      <c r="K26" s="30"/>
      <c r="L26" s="14"/>
      <c r="M26" s="14"/>
      <c r="N26" s="14"/>
    </row>
    <row r="27" spans="1:14" ht="15">
      <c r="A27" s="1187" t="s">
        <v>30</v>
      </c>
      <c r="B27" s="10">
        <v>25</v>
      </c>
      <c r="C27" s="10"/>
      <c r="D27" s="10"/>
      <c r="E27" s="10"/>
      <c r="F27" s="10"/>
      <c r="G27" s="10"/>
      <c r="H27" s="10"/>
      <c r="I27" s="10"/>
      <c r="J27" s="10"/>
      <c r="K27" s="10"/>
      <c r="L27" s="10"/>
      <c r="M27" s="10"/>
      <c r="N27" s="10"/>
    </row>
    <row r="28" spans="1:14" ht="15">
      <c r="A28" s="1187"/>
      <c r="B28" s="10">
        <v>26</v>
      </c>
      <c r="C28" s="10"/>
      <c r="D28" s="10"/>
      <c r="E28" s="10"/>
      <c r="F28" s="10"/>
      <c r="G28" s="10"/>
      <c r="H28" s="10"/>
      <c r="I28" s="10"/>
      <c r="J28" s="10"/>
      <c r="K28" s="10"/>
      <c r="L28" s="10"/>
      <c r="M28" s="10"/>
      <c r="N28" s="10"/>
    </row>
    <row r="29" spans="1:14" ht="15">
      <c r="A29" s="1187"/>
      <c r="B29" s="10">
        <v>27</v>
      </c>
      <c r="C29" s="10"/>
      <c r="D29" s="10"/>
      <c r="E29" s="10"/>
      <c r="F29" s="10"/>
      <c r="G29" s="10"/>
      <c r="H29" s="10"/>
      <c r="I29" s="10"/>
      <c r="J29" s="10"/>
      <c r="K29" s="10"/>
      <c r="L29" s="10"/>
      <c r="M29" s="10"/>
      <c r="N29" s="10"/>
    </row>
    <row r="30" spans="1:14" ht="15">
      <c r="A30" s="1187"/>
      <c r="B30" s="10">
        <v>28</v>
      </c>
      <c r="C30" s="10"/>
      <c r="D30" s="10"/>
      <c r="E30" s="10"/>
      <c r="F30" s="10"/>
      <c r="G30" s="10"/>
      <c r="H30" s="10"/>
      <c r="I30" s="10"/>
      <c r="J30" s="10"/>
      <c r="K30" s="10"/>
      <c r="L30" s="10"/>
      <c r="M30" s="10"/>
      <c r="N30" s="10"/>
    </row>
    <row r="31" spans="1:14" ht="15">
      <c r="A31" s="1187"/>
      <c r="B31" s="10">
        <v>29</v>
      </c>
      <c r="C31" s="10"/>
      <c r="D31" s="10"/>
      <c r="E31" s="10"/>
      <c r="F31" s="10"/>
      <c r="G31" s="10"/>
      <c r="H31" s="10"/>
      <c r="I31" s="10"/>
      <c r="J31" s="10"/>
      <c r="K31" s="10"/>
      <c r="L31" s="10"/>
      <c r="M31" s="10"/>
      <c r="N31" s="10"/>
    </row>
    <row r="32" spans="1:14" ht="15">
      <c r="A32" s="1187" t="s">
        <v>31</v>
      </c>
      <c r="B32" s="17">
        <v>30</v>
      </c>
      <c r="C32" s="17"/>
      <c r="D32" s="17"/>
      <c r="E32" s="17"/>
      <c r="F32" s="17"/>
      <c r="G32" s="17"/>
      <c r="H32" s="17"/>
      <c r="I32" s="17"/>
      <c r="J32" s="17"/>
      <c r="K32" s="17"/>
      <c r="L32" s="17"/>
      <c r="M32" s="17"/>
      <c r="N32" s="17"/>
    </row>
    <row r="33" spans="1:14" ht="15">
      <c r="A33" s="1187"/>
      <c r="B33" s="17">
        <v>31</v>
      </c>
      <c r="C33" s="17"/>
      <c r="D33" s="17"/>
      <c r="E33" s="17"/>
      <c r="F33" s="17"/>
      <c r="G33" s="17"/>
      <c r="H33" s="17"/>
      <c r="I33" s="17"/>
      <c r="J33" s="17"/>
      <c r="K33" s="17"/>
      <c r="L33" s="17"/>
      <c r="M33" s="17"/>
      <c r="N33" s="17"/>
    </row>
    <row r="34" spans="1:14" ht="15">
      <c r="A34" s="1187"/>
      <c r="B34" s="17">
        <v>32</v>
      </c>
      <c r="C34" s="17"/>
      <c r="D34" s="17"/>
      <c r="E34" s="17"/>
      <c r="F34" s="17"/>
      <c r="G34" s="17"/>
      <c r="H34" s="17"/>
      <c r="I34" s="17"/>
      <c r="J34" s="17"/>
      <c r="K34" s="17"/>
      <c r="L34" s="17"/>
      <c r="M34" s="17"/>
      <c r="N34" s="17"/>
    </row>
    <row r="35" spans="1:14" ht="15">
      <c r="A35" s="1187" t="s">
        <v>32</v>
      </c>
      <c r="B35" s="18">
        <v>33</v>
      </c>
      <c r="C35" s="15"/>
      <c r="D35" s="15"/>
      <c r="E35" s="15"/>
      <c r="F35" s="15"/>
      <c r="G35" s="15"/>
      <c r="H35" s="15"/>
      <c r="I35" s="15"/>
      <c r="J35" s="15"/>
      <c r="K35" s="15"/>
      <c r="L35" s="15"/>
      <c r="M35" s="15"/>
      <c r="N35" s="15"/>
    </row>
    <row r="36" spans="1:14" ht="15">
      <c r="A36" s="1187"/>
      <c r="B36" s="15">
        <v>34</v>
      </c>
      <c r="C36" s="15"/>
      <c r="D36" s="15"/>
      <c r="E36" s="15"/>
      <c r="F36" s="15"/>
      <c r="G36" s="15"/>
      <c r="H36" s="15"/>
      <c r="I36" s="15"/>
      <c r="J36" s="15"/>
      <c r="K36" s="15"/>
      <c r="L36" s="15"/>
      <c r="M36" s="15"/>
      <c r="N36" s="15"/>
    </row>
    <row r="37" spans="1:14" ht="15">
      <c r="A37" s="1187"/>
      <c r="B37" s="46">
        <v>35</v>
      </c>
      <c r="C37" s="15"/>
      <c r="D37" s="15"/>
      <c r="E37" s="15"/>
      <c r="F37" s="15"/>
      <c r="G37" s="15"/>
      <c r="H37" s="15"/>
      <c r="I37" s="15"/>
      <c r="J37" s="15"/>
      <c r="K37" s="15"/>
      <c r="L37" s="15"/>
      <c r="M37" s="15"/>
      <c r="N37" s="15"/>
    </row>
    <row r="38" spans="1:14" ht="15">
      <c r="A38" s="1187" t="s">
        <v>33</v>
      </c>
      <c r="B38" s="9">
        <v>36</v>
      </c>
      <c r="C38" s="9"/>
      <c r="D38" s="9"/>
      <c r="E38" s="9"/>
      <c r="F38" s="9"/>
      <c r="G38" s="9"/>
      <c r="H38" s="9"/>
      <c r="I38" s="9"/>
      <c r="J38" s="9"/>
      <c r="K38" s="9"/>
      <c r="L38" s="9"/>
      <c r="M38" s="9"/>
      <c r="N38" s="9"/>
    </row>
    <row r="39" spans="1:14" ht="15">
      <c r="A39" s="1187"/>
      <c r="B39" s="9">
        <v>37</v>
      </c>
      <c r="C39" s="9"/>
      <c r="D39" s="9"/>
      <c r="E39" s="9"/>
      <c r="F39" s="9"/>
      <c r="G39" s="9"/>
      <c r="H39" s="9"/>
      <c r="I39" s="9"/>
      <c r="J39" s="9"/>
      <c r="K39" s="9"/>
      <c r="L39" s="9"/>
      <c r="M39" s="9"/>
      <c r="N39" s="9"/>
    </row>
    <row r="40" spans="1:14" ht="15">
      <c r="A40" s="1187"/>
      <c r="B40" s="9">
        <v>38</v>
      </c>
      <c r="C40" s="9"/>
      <c r="D40" s="9"/>
      <c r="E40" s="9"/>
      <c r="F40" s="9"/>
      <c r="G40" s="9"/>
      <c r="H40" s="9"/>
      <c r="I40" s="9"/>
      <c r="J40" s="9"/>
      <c r="K40" s="9"/>
      <c r="L40" s="9"/>
      <c r="M40" s="9"/>
      <c r="N40" s="9"/>
    </row>
    <row r="41" spans="1:14" ht="15">
      <c r="A41" s="1193" t="s">
        <v>34</v>
      </c>
      <c r="B41" s="47">
        <v>39</v>
      </c>
      <c r="C41" s="48"/>
      <c r="D41" s="48"/>
      <c r="E41" s="48"/>
      <c r="F41" s="48"/>
      <c r="G41" s="48"/>
      <c r="H41" s="48"/>
      <c r="I41" s="48"/>
      <c r="J41" s="48"/>
      <c r="K41" s="48"/>
      <c r="L41" s="48"/>
      <c r="M41" s="48"/>
      <c r="N41" s="48"/>
    </row>
    <row r="42" spans="1:14" ht="15">
      <c r="A42" s="1193"/>
      <c r="B42" s="48">
        <v>40</v>
      </c>
      <c r="C42" s="48"/>
      <c r="D42" s="48"/>
      <c r="E42" s="48"/>
      <c r="F42" s="48"/>
      <c r="G42" s="48"/>
      <c r="H42" s="48"/>
      <c r="I42" s="48"/>
      <c r="J42" s="48"/>
      <c r="K42" s="48"/>
      <c r="L42" s="48"/>
      <c r="M42" s="48"/>
      <c r="N42" s="48"/>
    </row>
    <row r="43" spans="1:14" ht="15">
      <c r="A43" s="1193"/>
      <c r="B43" s="48">
        <v>41</v>
      </c>
      <c r="C43" s="48"/>
      <c r="D43" s="48"/>
      <c r="E43" s="48"/>
      <c r="F43" s="48"/>
      <c r="G43" s="48"/>
      <c r="H43" s="48"/>
      <c r="I43" s="48"/>
      <c r="J43" s="48"/>
      <c r="K43" s="48"/>
      <c r="L43" s="48"/>
      <c r="M43" s="48"/>
      <c r="N43" s="48"/>
    </row>
    <row r="44" spans="1:14" ht="15">
      <c r="A44" s="1193"/>
      <c r="B44" s="49">
        <v>42</v>
      </c>
      <c r="C44" s="48"/>
      <c r="D44" s="48"/>
      <c r="E44" s="48"/>
      <c r="F44" s="48"/>
      <c r="G44" s="48"/>
      <c r="H44" s="48"/>
      <c r="I44" s="48"/>
      <c r="J44" s="48"/>
      <c r="K44" s="48"/>
      <c r="L44" s="48"/>
      <c r="M44" s="48"/>
      <c r="N44" s="48"/>
    </row>
    <row r="45" spans="1:14" ht="15">
      <c r="A45" s="1194" t="s">
        <v>35</v>
      </c>
      <c r="B45" s="13">
        <v>43</v>
      </c>
      <c r="C45" s="13"/>
      <c r="D45" s="13"/>
      <c r="E45" s="13"/>
      <c r="F45" s="13"/>
      <c r="G45" s="13"/>
      <c r="H45" s="13"/>
      <c r="I45" s="13"/>
      <c r="J45" s="13"/>
      <c r="K45" s="13"/>
      <c r="L45" s="13"/>
      <c r="M45" s="13"/>
      <c r="N45" s="13"/>
    </row>
    <row r="46" spans="1:14" ht="15">
      <c r="A46" s="1194"/>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7:A31"/>
    <mergeCell ref="A32:A34"/>
    <mergeCell ref="A35:A37"/>
    <mergeCell ref="A38:A40"/>
    <mergeCell ref="A41:A44"/>
    <mergeCell ref="A45:A46"/>
    <mergeCell ref="A23:A26"/>
    <mergeCell ref="K1:N1"/>
    <mergeCell ref="A3:A7"/>
    <mergeCell ref="A8:A11"/>
    <mergeCell ref="A12:A15"/>
    <mergeCell ref="A16:A18"/>
    <mergeCell ref="A19:A22"/>
    <mergeCell ref="C1:F1"/>
    <mergeCell ref="G1:J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Y31"/>
  <sheetViews>
    <sheetView zoomScale="61" zoomScaleNormal="61" zoomScalePageLayoutView="0" workbookViewId="0" topLeftCell="A1">
      <selection activeCell="C17" sqref="C17:Q17"/>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8.7109375" style="113" customWidth="1"/>
    <col min="20" max="20" width="22.28125" style="113" customWidth="1"/>
    <col min="21" max="21" width="17.00390625" style="113" customWidth="1"/>
    <col min="22" max="45" width="5.8515625" style="113" customWidth="1"/>
    <col min="46" max="46" width="17.140625" style="113" customWidth="1"/>
    <col min="47" max="47" width="15.8515625" style="217" customWidth="1"/>
    <col min="48" max="49" width="20.28125" style="113" customWidth="1"/>
    <col min="50" max="51" width="24.421875" style="113" customWidth="1"/>
    <col min="52" max="16384" width="10.8515625" style="113" customWidth="1"/>
  </cols>
  <sheetData>
    <row r="1" spans="1:51" ht="15.75" customHeight="1">
      <c r="A1" s="777" t="s">
        <v>16</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M1" s="778"/>
      <c r="AN1" s="778"/>
      <c r="AO1" s="778"/>
      <c r="AP1" s="778"/>
      <c r="AQ1" s="778"/>
      <c r="AR1" s="778"/>
      <c r="AS1" s="778"/>
      <c r="AT1" s="778"/>
      <c r="AU1" s="778"/>
      <c r="AV1" s="778"/>
      <c r="AW1" s="779"/>
      <c r="AX1" s="726" t="s">
        <v>423</v>
      </c>
      <c r="AY1" s="727"/>
    </row>
    <row r="2" spans="1:51" ht="15.75" customHeight="1">
      <c r="A2" s="786" t="s">
        <v>17</v>
      </c>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c r="AI2" s="787"/>
      <c r="AJ2" s="787"/>
      <c r="AK2" s="787"/>
      <c r="AL2" s="787"/>
      <c r="AM2" s="787"/>
      <c r="AN2" s="787"/>
      <c r="AO2" s="787"/>
      <c r="AP2" s="787"/>
      <c r="AQ2" s="787"/>
      <c r="AR2" s="787"/>
      <c r="AS2" s="787"/>
      <c r="AT2" s="787"/>
      <c r="AU2" s="787"/>
      <c r="AV2" s="787"/>
      <c r="AW2" s="788"/>
      <c r="AX2" s="774" t="s">
        <v>418</v>
      </c>
      <c r="AY2" s="775"/>
    </row>
    <row r="3" spans="1:51" ht="15" customHeight="1">
      <c r="A3" s="789" t="s">
        <v>195</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c r="AM3" s="790"/>
      <c r="AN3" s="790"/>
      <c r="AO3" s="790"/>
      <c r="AP3" s="790"/>
      <c r="AQ3" s="790"/>
      <c r="AR3" s="790"/>
      <c r="AS3" s="790"/>
      <c r="AT3" s="790"/>
      <c r="AU3" s="790"/>
      <c r="AV3" s="790"/>
      <c r="AW3" s="791"/>
      <c r="AX3" s="774" t="s">
        <v>424</v>
      </c>
      <c r="AY3" s="775"/>
    </row>
    <row r="4" spans="1:51" ht="15.75" customHeight="1">
      <c r="A4" s="777"/>
      <c r="B4" s="778"/>
      <c r="C4" s="778"/>
      <c r="D4" s="778"/>
      <c r="E4" s="778"/>
      <c r="F4" s="778"/>
      <c r="G4" s="778"/>
      <c r="H4" s="778"/>
      <c r="I4" s="778"/>
      <c r="J4" s="778"/>
      <c r="K4" s="778"/>
      <c r="L4" s="778"/>
      <c r="M4" s="778"/>
      <c r="N4" s="778"/>
      <c r="O4" s="778"/>
      <c r="P4" s="778"/>
      <c r="Q4" s="778"/>
      <c r="R4" s="778"/>
      <c r="S4" s="778"/>
      <c r="T4" s="778"/>
      <c r="U4" s="778"/>
      <c r="V4" s="778"/>
      <c r="W4" s="778"/>
      <c r="X4" s="778"/>
      <c r="Y4" s="778"/>
      <c r="Z4" s="778"/>
      <c r="AA4" s="778"/>
      <c r="AB4" s="778"/>
      <c r="AC4" s="778"/>
      <c r="AD4" s="778"/>
      <c r="AE4" s="778"/>
      <c r="AF4" s="778"/>
      <c r="AG4" s="778"/>
      <c r="AH4" s="778"/>
      <c r="AI4" s="778"/>
      <c r="AJ4" s="778"/>
      <c r="AK4" s="778"/>
      <c r="AL4" s="778"/>
      <c r="AM4" s="778"/>
      <c r="AN4" s="778"/>
      <c r="AO4" s="778"/>
      <c r="AP4" s="778"/>
      <c r="AQ4" s="778"/>
      <c r="AR4" s="778"/>
      <c r="AS4" s="778"/>
      <c r="AT4" s="778"/>
      <c r="AU4" s="778"/>
      <c r="AV4" s="778"/>
      <c r="AW4" s="779"/>
      <c r="AX4" s="776" t="s">
        <v>176</v>
      </c>
      <c r="AY4" s="776"/>
    </row>
    <row r="5" spans="1:51" ht="15" customHeight="1">
      <c r="A5" s="780" t="s">
        <v>174</v>
      </c>
      <c r="B5" s="781"/>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2"/>
      <c r="AH5" s="805" t="s">
        <v>69</v>
      </c>
      <c r="AI5" s="806"/>
      <c r="AJ5" s="806"/>
      <c r="AK5" s="806"/>
      <c r="AL5" s="806"/>
      <c r="AM5" s="806"/>
      <c r="AN5" s="806"/>
      <c r="AO5" s="806"/>
      <c r="AP5" s="806"/>
      <c r="AQ5" s="806"/>
      <c r="AR5" s="806"/>
      <c r="AS5" s="806"/>
      <c r="AT5" s="806"/>
      <c r="AU5" s="807"/>
      <c r="AV5" s="795" t="s">
        <v>409</v>
      </c>
      <c r="AW5" s="795" t="s">
        <v>410</v>
      </c>
      <c r="AX5" s="795" t="s">
        <v>298</v>
      </c>
      <c r="AY5" s="795" t="s">
        <v>299</v>
      </c>
    </row>
    <row r="6" spans="1:51" ht="15" customHeight="1">
      <c r="A6" s="814" t="s">
        <v>71</v>
      </c>
      <c r="B6" s="814"/>
      <c r="C6" s="814"/>
      <c r="D6" s="815" t="s">
        <v>74</v>
      </c>
      <c r="E6" s="815"/>
      <c r="F6" s="805" t="s">
        <v>67</v>
      </c>
      <c r="G6" s="807"/>
      <c r="H6" s="804" t="s">
        <v>70</v>
      </c>
      <c r="I6" s="804"/>
      <c r="J6" s="128"/>
      <c r="K6" s="805"/>
      <c r="L6" s="806"/>
      <c r="M6" s="806"/>
      <c r="N6" s="806"/>
      <c r="O6" s="806"/>
      <c r="P6" s="806"/>
      <c r="Q6" s="806"/>
      <c r="R6" s="806"/>
      <c r="S6" s="806"/>
      <c r="T6" s="806"/>
      <c r="U6" s="806"/>
      <c r="V6" s="114"/>
      <c r="W6" s="114"/>
      <c r="X6" s="114"/>
      <c r="Y6" s="114"/>
      <c r="Z6" s="114"/>
      <c r="AA6" s="114"/>
      <c r="AB6" s="114"/>
      <c r="AC6" s="114"/>
      <c r="AD6" s="114"/>
      <c r="AE6" s="114"/>
      <c r="AF6" s="114"/>
      <c r="AG6" s="115"/>
      <c r="AH6" s="808"/>
      <c r="AI6" s="809"/>
      <c r="AJ6" s="809"/>
      <c r="AK6" s="809"/>
      <c r="AL6" s="809"/>
      <c r="AM6" s="809"/>
      <c r="AN6" s="809"/>
      <c r="AO6" s="809"/>
      <c r="AP6" s="809"/>
      <c r="AQ6" s="809"/>
      <c r="AR6" s="809"/>
      <c r="AS6" s="809"/>
      <c r="AT6" s="809"/>
      <c r="AU6" s="810"/>
      <c r="AV6" s="803"/>
      <c r="AW6" s="803"/>
      <c r="AX6" s="803"/>
      <c r="AY6" s="803"/>
    </row>
    <row r="7" spans="1:51" ht="15" customHeight="1">
      <c r="A7" s="814"/>
      <c r="B7" s="814"/>
      <c r="C7" s="814"/>
      <c r="D7" s="815"/>
      <c r="E7" s="815"/>
      <c r="F7" s="808"/>
      <c r="G7" s="810"/>
      <c r="H7" s="804" t="s">
        <v>68</v>
      </c>
      <c r="I7" s="804"/>
      <c r="J7" s="128"/>
      <c r="K7" s="808"/>
      <c r="L7" s="809"/>
      <c r="M7" s="809"/>
      <c r="N7" s="809"/>
      <c r="O7" s="809"/>
      <c r="P7" s="809"/>
      <c r="Q7" s="809"/>
      <c r="R7" s="809"/>
      <c r="S7" s="809"/>
      <c r="T7" s="809"/>
      <c r="U7" s="809"/>
      <c r="V7" s="116"/>
      <c r="W7" s="116"/>
      <c r="X7" s="116"/>
      <c r="Y7" s="116"/>
      <c r="Z7" s="116"/>
      <c r="AA7" s="116"/>
      <c r="AB7" s="116"/>
      <c r="AC7" s="116"/>
      <c r="AD7" s="116"/>
      <c r="AE7" s="116"/>
      <c r="AF7" s="116"/>
      <c r="AG7" s="117"/>
      <c r="AH7" s="808"/>
      <c r="AI7" s="809"/>
      <c r="AJ7" s="809"/>
      <c r="AK7" s="809"/>
      <c r="AL7" s="809"/>
      <c r="AM7" s="809"/>
      <c r="AN7" s="809"/>
      <c r="AO7" s="809"/>
      <c r="AP7" s="809"/>
      <c r="AQ7" s="809"/>
      <c r="AR7" s="809"/>
      <c r="AS7" s="809"/>
      <c r="AT7" s="809"/>
      <c r="AU7" s="810"/>
      <c r="AV7" s="803"/>
      <c r="AW7" s="803"/>
      <c r="AX7" s="803"/>
      <c r="AY7" s="803"/>
    </row>
    <row r="8" spans="1:51" ht="15" customHeight="1">
      <c r="A8" s="814"/>
      <c r="B8" s="814"/>
      <c r="C8" s="814"/>
      <c r="D8" s="815"/>
      <c r="E8" s="815"/>
      <c r="F8" s="811"/>
      <c r="G8" s="813"/>
      <c r="H8" s="804" t="s">
        <v>69</v>
      </c>
      <c r="I8" s="804"/>
      <c r="J8" s="128"/>
      <c r="K8" s="811"/>
      <c r="L8" s="812"/>
      <c r="M8" s="812"/>
      <c r="N8" s="812"/>
      <c r="O8" s="812"/>
      <c r="P8" s="812"/>
      <c r="Q8" s="812"/>
      <c r="R8" s="812"/>
      <c r="S8" s="812"/>
      <c r="T8" s="812"/>
      <c r="U8" s="812"/>
      <c r="V8" s="118"/>
      <c r="W8" s="118"/>
      <c r="X8" s="118"/>
      <c r="Y8" s="118"/>
      <c r="Z8" s="118"/>
      <c r="AA8" s="118"/>
      <c r="AB8" s="118"/>
      <c r="AC8" s="118"/>
      <c r="AD8" s="118"/>
      <c r="AE8" s="118"/>
      <c r="AF8" s="118"/>
      <c r="AG8" s="119"/>
      <c r="AH8" s="808"/>
      <c r="AI8" s="809"/>
      <c r="AJ8" s="809"/>
      <c r="AK8" s="809"/>
      <c r="AL8" s="809"/>
      <c r="AM8" s="809"/>
      <c r="AN8" s="809"/>
      <c r="AO8" s="809"/>
      <c r="AP8" s="809"/>
      <c r="AQ8" s="809"/>
      <c r="AR8" s="809"/>
      <c r="AS8" s="809"/>
      <c r="AT8" s="809"/>
      <c r="AU8" s="810"/>
      <c r="AV8" s="803"/>
      <c r="AW8" s="803"/>
      <c r="AX8" s="803"/>
      <c r="AY8" s="803"/>
    </row>
    <row r="9" spans="1:51" ht="15" customHeight="1">
      <c r="A9" s="783" t="s">
        <v>399</v>
      </c>
      <c r="B9" s="784"/>
      <c r="C9" s="785"/>
      <c r="D9" s="819"/>
      <c r="E9" s="820"/>
      <c r="F9" s="820"/>
      <c r="G9" s="820"/>
      <c r="H9" s="820"/>
      <c r="I9" s="820"/>
      <c r="J9" s="820"/>
      <c r="K9" s="821"/>
      <c r="L9" s="821"/>
      <c r="M9" s="821"/>
      <c r="N9" s="821"/>
      <c r="O9" s="821"/>
      <c r="P9" s="821"/>
      <c r="Q9" s="821"/>
      <c r="R9" s="821"/>
      <c r="S9" s="821"/>
      <c r="T9" s="821"/>
      <c r="U9" s="821"/>
      <c r="V9" s="821"/>
      <c r="W9" s="821"/>
      <c r="X9" s="821"/>
      <c r="Y9" s="821"/>
      <c r="Z9" s="821"/>
      <c r="AA9" s="821"/>
      <c r="AB9" s="821"/>
      <c r="AC9" s="821"/>
      <c r="AD9" s="821"/>
      <c r="AE9" s="821"/>
      <c r="AF9" s="821"/>
      <c r="AG9" s="822"/>
      <c r="AH9" s="808"/>
      <c r="AI9" s="809"/>
      <c r="AJ9" s="809"/>
      <c r="AK9" s="809"/>
      <c r="AL9" s="809"/>
      <c r="AM9" s="809"/>
      <c r="AN9" s="809"/>
      <c r="AO9" s="809"/>
      <c r="AP9" s="809"/>
      <c r="AQ9" s="809"/>
      <c r="AR9" s="809"/>
      <c r="AS9" s="809"/>
      <c r="AT9" s="809"/>
      <c r="AU9" s="810"/>
      <c r="AV9" s="803"/>
      <c r="AW9" s="803"/>
      <c r="AX9" s="803"/>
      <c r="AY9" s="803"/>
    </row>
    <row r="10" spans="1:51" ht="15" customHeight="1">
      <c r="A10" s="816" t="s">
        <v>287</v>
      </c>
      <c r="B10" s="817"/>
      <c r="C10" s="818"/>
      <c r="D10" s="823"/>
      <c r="E10" s="821"/>
      <c r="F10" s="821"/>
      <c r="G10" s="821"/>
      <c r="H10" s="821"/>
      <c r="I10" s="821"/>
      <c r="J10" s="821"/>
      <c r="K10" s="821"/>
      <c r="L10" s="821"/>
      <c r="M10" s="821"/>
      <c r="N10" s="821"/>
      <c r="O10" s="821"/>
      <c r="P10" s="821"/>
      <c r="Q10" s="821"/>
      <c r="R10" s="821"/>
      <c r="S10" s="821"/>
      <c r="T10" s="821"/>
      <c r="U10" s="821"/>
      <c r="V10" s="821"/>
      <c r="W10" s="821"/>
      <c r="X10" s="821"/>
      <c r="Y10" s="821"/>
      <c r="Z10" s="821"/>
      <c r="AA10" s="821"/>
      <c r="AB10" s="821"/>
      <c r="AC10" s="821"/>
      <c r="AD10" s="821"/>
      <c r="AE10" s="821"/>
      <c r="AF10" s="821"/>
      <c r="AG10" s="822"/>
      <c r="AH10" s="811"/>
      <c r="AI10" s="812"/>
      <c r="AJ10" s="812"/>
      <c r="AK10" s="812"/>
      <c r="AL10" s="812"/>
      <c r="AM10" s="812"/>
      <c r="AN10" s="812"/>
      <c r="AO10" s="812"/>
      <c r="AP10" s="812"/>
      <c r="AQ10" s="812"/>
      <c r="AR10" s="812"/>
      <c r="AS10" s="812"/>
      <c r="AT10" s="812"/>
      <c r="AU10" s="813"/>
      <c r="AV10" s="803"/>
      <c r="AW10" s="803"/>
      <c r="AX10" s="803"/>
      <c r="AY10" s="803"/>
    </row>
    <row r="11" spans="1:51" ht="39.75" customHeight="1">
      <c r="A11" s="792" t="s">
        <v>168</v>
      </c>
      <c r="B11" s="797"/>
      <c r="C11" s="797"/>
      <c r="D11" s="797"/>
      <c r="E11" s="797"/>
      <c r="F11" s="793"/>
      <c r="G11" s="792" t="s">
        <v>278</v>
      </c>
      <c r="H11" s="793"/>
      <c r="I11" s="795" t="s">
        <v>179</v>
      </c>
      <c r="J11" s="795" t="s">
        <v>279</v>
      </c>
      <c r="K11" s="795" t="s">
        <v>323</v>
      </c>
      <c r="L11" s="795" t="s">
        <v>363</v>
      </c>
      <c r="M11" s="795" t="s">
        <v>167</v>
      </c>
      <c r="N11" s="795" t="s">
        <v>182</v>
      </c>
      <c r="O11" s="792" t="s">
        <v>284</v>
      </c>
      <c r="P11" s="797"/>
      <c r="Q11" s="797"/>
      <c r="R11" s="797"/>
      <c r="S11" s="793"/>
      <c r="T11" s="795" t="s">
        <v>173</v>
      </c>
      <c r="U11" s="795" t="s">
        <v>285</v>
      </c>
      <c r="V11" s="780" t="s">
        <v>370</v>
      </c>
      <c r="W11" s="781"/>
      <c r="X11" s="781"/>
      <c r="Y11" s="781"/>
      <c r="Z11" s="781"/>
      <c r="AA11" s="781"/>
      <c r="AB11" s="781"/>
      <c r="AC11" s="781"/>
      <c r="AD11" s="781"/>
      <c r="AE11" s="781"/>
      <c r="AF11" s="781"/>
      <c r="AG11" s="782"/>
      <c r="AH11" s="780" t="s">
        <v>87</v>
      </c>
      <c r="AI11" s="781"/>
      <c r="AJ11" s="781"/>
      <c r="AK11" s="781"/>
      <c r="AL11" s="781"/>
      <c r="AM11" s="781"/>
      <c r="AN11" s="781"/>
      <c r="AO11" s="781"/>
      <c r="AP11" s="781"/>
      <c r="AQ11" s="781"/>
      <c r="AR11" s="781"/>
      <c r="AS11" s="782"/>
      <c r="AT11" s="792" t="s">
        <v>8</v>
      </c>
      <c r="AU11" s="793"/>
      <c r="AV11" s="803"/>
      <c r="AW11" s="803"/>
      <c r="AX11" s="803"/>
      <c r="AY11" s="803"/>
    </row>
    <row r="12" spans="1:51" ht="42.75">
      <c r="A12" s="120" t="s">
        <v>169</v>
      </c>
      <c r="B12" s="120" t="s">
        <v>170</v>
      </c>
      <c r="C12" s="120" t="s">
        <v>171</v>
      </c>
      <c r="D12" s="120" t="s">
        <v>178</v>
      </c>
      <c r="E12" s="120" t="s">
        <v>185</v>
      </c>
      <c r="F12" s="120" t="s">
        <v>186</v>
      </c>
      <c r="G12" s="120" t="s">
        <v>277</v>
      </c>
      <c r="H12" s="120" t="s">
        <v>184</v>
      </c>
      <c r="I12" s="796"/>
      <c r="J12" s="796"/>
      <c r="K12" s="796"/>
      <c r="L12" s="796"/>
      <c r="M12" s="796"/>
      <c r="N12" s="796"/>
      <c r="O12" s="120">
        <v>2020</v>
      </c>
      <c r="P12" s="120">
        <v>2021</v>
      </c>
      <c r="Q12" s="120">
        <v>2022</v>
      </c>
      <c r="R12" s="120">
        <v>2023</v>
      </c>
      <c r="S12" s="120">
        <v>2024</v>
      </c>
      <c r="T12" s="796"/>
      <c r="U12" s="796"/>
      <c r="V12" s="129" t="s">
        <v>39</v>
      </c>
      <c r="W12" s="129" t="s">
        <v>40</v>
      </c>
      <c r="X12" s="129" t="s">
        <v>41</v>
      </c>
      <c r="Y12" s="129" t="s">
        <v>42</v>
      </c>
      <c r="Z12" s="129" t="s">
        <v>43</v>
      </c>
      <c r="AA12" s="129" t="s">
        <v>44</v>
      </c>
      <c r="AB12" s="129" t="s">
        <v>45</v>
      </c>
      <c r="AC12" s="129" t="s">
        <v>46</v>
      </c>
      <c r="AD12" s="129" t="s">
        <v>47</v>
      </c>
      <c r="AE12" s="129" t="s">
        <v>48</v>
      </c>
      <c r="AF12" s="129" t="s">
        <v>49</v>
      </c>
      <c r="AG12" s="129" t="s">
        <v>50</v>
      </c>
      <c r="AH12" s="129" t="s">
        <v>39</v>
      </c>
      <c r="AI12" s="129" t="s">
        <v>40</v>
      </c>
      <c r="AJ12" s="129" t="s">
        <v>41</v>
      </c>
      <c r="AK12" s="129" t="s">
        <v>42</v>
      </c>
      <c r="AL12" s="129" t="s">
        <v>43</v>
      </c>
      <c r="AM12" s="129" t="s">
        <v>44</v>
      </c>
      <c r="AN12" s="129" t="s">
        <v>45</v>
      </c>
      <c r="AO12" s="129" t="s">
        <v>46</v>
      </c>
      <c r="AP12" s="129" t="s">
        <v>47</v>
      </c>
      <c r="AQ12" s="129" t="s">
        <v>48</v>
      </c>
      <c r="AR12" s="129" t="s">
        <v>49</v>
      </c>
      <c r="AS12" s="129" t="s">
        <v>50</v>
      </c>
      <c r="AT12" s="120" t="s">
        <v>413</v>
      </c>
      <c r="AU12" s="216" t="s">
        <v>88</v>
      </c>
      <c r="AV12" s="796"/>
      <c r="AW12" s="796"/>
      <c r="AX12" s="796"/>
      <c r="AY12" s="796"/>
    </row>
    <row r="13" spans="1:51" ht="15.75" customHeight="1">
      <c r="A13" s="121"/>
      <c r="B13" s="121"/>
      <c r="C13" s="121"/>
      <c r="D13" s="121"/>
      <c r="E13" s="121"/>
      <c r="F13" s="121"/>
      <c r="G13" s="121"/>
      <c r="H13" s="121"/>
      <c r="I13" s="122"/>
      <c r="J13" s="122"/>
      <c r="K13" s="122"/>
      <c r="L13" s="122"/>
      <c r="M13" s="122"/>
      <c r="N13" s="122"/>
      <c r="O13" s="123"/>
      <c r="P13" s="123"/>
      <c r="Q13" s="123"/>
      <c r="R13" s="123"/>
      <c r="S13" s="123"/>
      <c r="T13" s="123"/>
      <c r="U13" s="123"/>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f>SUM(AH13:AS13)</f>
        <v>0</v>
      </c>
      <c r="AU13" s="127" t="e">
        <f>+AT13/R13</f>
        <v>#DIV/0!</v>
      </c>
      <c r="AV13" s="125"/>
      <c r="AW13" s="215"/>
      <c r="AX13" s="125"/>
      <c r="AY13" s="126"/>
    </row>
    <row r="14" spans="1:51" ht="15.75" customHeight="1">
      <c r="A14" s="121"/>
      <c r="B14" s="121"/>
      <c r="C14" s="121"/>
      <c r="D14" s="121"/>
      <c r="E14" s="121"/>
      <c r="F14" s="121"/>
      <c r="G14" s="121"/>
      <c r="H14" s="121"/>
      <c r="I14" s="124"/>
      <c r="J14" s="124"/>
      <c r="K14" s="124"/>
      <c r="L14" s="124"/>
      <c r="M14" s="124"/>
      <c r="N14" s="124"/>
      <c r="O14" s="124"/>
      <c r="P14" s="124"/>
      <c r="Q14" s="124"/>
      <c r="R14" s="124"/>
      <c r="S14" s="124"/>
      <c r="T14" s="121"/>
      <c r="U14" s="121"/>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f aca="true" t="shared" si="0" ref="AT14:AT27">SUM(AH14:AS14)</f>
        <v>0</v>
      </c>
      <c r="AU14" s="127" t="e">
        <f aca="true" t="shared" si="1" ref="AU14:AU27">+AT14/R14</f>
        <v>#DIV/0!</v>
      </c>
      <c r="AV14" s="127"/>
      <c r="AW14" s="127"/>
      <c r="AX14" s="127"/>
      <c r="AY14" s="124"/>
    </row>
    <row r="15" spans="1:51" ht="15.75" customHeight="1">
      <c r="A15" s="121"/>
      <c r="B15" s="121"/>
      <c r="C15" s="121"/>
      <c r="D15" s="121"/>
      <c r="E15" s="121"/>
      <c r="F15" s="121"/>
      <c r="G15" s="121"/>
      <c r="H15" s="121"/>
      <c r="I15" s="124"/>
      <c r="J15" s="124"/>
      <c r="K15" s="124"/>
      <c r="L15" s="124"/>
      <c r="M15" s="124"/>
      <c r="N15" s="124"/>
      <c r="O15" s="124"/>
      <c r="P15" s="124"/>
      <c r="Q15" s="124"/>
      <c r="R15" s="124"/>
      <c r="S15" s="124"/>
      <c r="T15" s="121"/>
      <c r="U15" s="121"/>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f t="shared" si="0"/>
        <v>0</v>
      </c>
      <c r="AU15" s="127" t="e">
        <f t="shared" si="1"/>
        <v>#DIV/0!</v>
      </c>
      <c r="AV15" s="127"/>
      <c r="AW15" s="127"/>
      <c r="AX15" s="127"/>
      <c r="AY15" s="124"/>
    </row>
    <row r="16" spans="1:51" ht="15.75" customHeight="1">
      <c r="A16" s="121"/>
      <c r="B16" s="121"/>
      <c r="C16" s="121"/>
      <c r="D16" s="121"/>
      <c r="E16" s="121"/>
      <c r="F16" s="121"/>
      <c r="G16" s="121"/>
      <c r="H16" s="121"/>
      <c r="I16" s="124"/>
      <c r="J16" s="124"/>
      <c r="K16" s="124"/>
      <c r="L16" s="124"/>
      <c r="M16" s="124"/>
      <c r="N16" s="124"/>
      <c r="O16" s="124"/>
      <c r="P16" s="124"/>
      <c r="Q16" s="124"/>
      <c r="R16" s="124"/>
      <c r="S16" s="124"/>
      <c r="T16" s="121"/>
      <c r="U16" s="121"/>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f t="shared" si="0"/>
        <v>0</v>
      </c>
      <c r="AU16" s="127" t="e">
        <f t="shared" si="1"/>
        <v>#DIV/0!</v>
      </c>
      <c r="AV16" s="127"/>
      <c r="AW16" s="127"/>
      <c r="AX16" s="127"/>
      <c r="AY16" s="124"/>
    </row>
    <row r="17" spans="1:51" ht="15.75" customHeight="1">
      <c r="A17" s="121"/>
      <c r="B17" s="121"/>
      <c r="C17" s="121"/>
      <c r="D17" s="121"/>
      <c r="E17" s="121"/>
      <c r="F17" s="121"/>
      <c r="G17" s="121"/>
      <c r="H17" s="121"/>
      <c r="I17" s="124"/>
      <c r="J17" s="124"/>
      <c r="K17" s="124"/>
      <c r="L17" s="124"/>
      <c r="M17" s="124"/>
      <c r="N17" s="124"/>
      <c r="O17" s="124"/>
      <c r="P17" s="124"/>
      <c r="Q17" s="124"/>
      <c r="R17" s="124"/>
      <c r="S17" s="124"/>
      <c r="T17" s="121"/>
      <c r="U17" s="121"/>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f t="shared" si="0"/>
        <v>0</v>
      </c>
      <c r="AU17" s="127" t="e">
        <f t="shared" si="1"/>
        <v>#DIV/0!</v>
      </c>
      <c r="AV17" s="127"/>
      <c r="AW17" s="127"/>
      <c r="AX17" s="127"/>
      <c r="AY17" s="124"/>
    </row>
    <row r="18" spans="1:51" ht="15.75" customHeight="1">
      <c r="A18" s="121"/>
      <c r="B18" s="121"/>
      <c r="C18" s="121"/>
      <c r="D18" s="121"/>
      <c r="E18" s="121"/>
      <c r="F18" s="121"/>
      <c r="G18" s="121"/>
      <c r="H18" s="121"/>
      <c r="I18" s="124"/>
      <c r="J18" s="124"/>
      <c r="K18" s="124"/>
      <c r="L18" s="124"/>
      <c r="M18" s="124"/>
      <c r="N18" s="124"/>
      <c r="O18" s="124"/>
      <c r="P18" s="124"/>
      <c r="Q18" s="124"/>
      <c r="R18" s="124"/>
      <c r="S18" s="124"/>
      <c r="T18" s="121"/>
      <c r="U18" s="121"/>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f t="shared" si="0"/>
        <v>0</v>
      </c>
      <c r="AU18" s="127" t="e">
        <f t="shared" si="1"/>
        <v>#DIV/0!</v>
      </c>
      <c r="AV18" s="127"/>
      <c r="AW18" s="127"/>
      <c r="AX18" s="127"/>
      <c r="AY18" s="124"/>
    </row>
    <row r="19" spans="1:51" ht="15.75" customHeight="1">
      <c r="A19" s="121"/>
      <c r="B19" s="121"/>
      <c r="C19" s="121"/>
      <c r="D19" s="121"/>
      <c r="E19" s="121"/>
      <c r="F19" s="121"/>
      <c r="G19" s="121"/>
      <c r="H19" s="121"/>
      <c r="I19" s="124"/>
      <c r="J19" s="124"/>
      <c r="K19" s="124"/>
      <c r="L19" s="124"/>
      <c r="M19" s="124"/>
      <c r="N19" s="124"/>
      <c r="O19" s="124"/>
      <c r="P19" s="124"/>
      <c r="Q19" s="124"/>
      <c r="R19" s="124"/>
      <c r="S19" s="124"/>
      <c r="T19" s="121"/>
      <c r="U19" s="121"/>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f t="shared" si="0"/>
        <v>0</v>
      </c>
      <c r="AU19" s="127" t="e">
        <f t="shared" si="1"/>
        <v>#DIV/0!</v>
      </c>
      <c r="AV19" s="127"/>
      <c r="AW19" s="127"/>
      <c r="AX19" s="127"/>
      <c r="AY19" s="124"/>
    </row>
    <row r="20" spans="1:51" ht="15.75" customHeight="1">
      <c r="A20" s="121"/>
      <c r="B20" s="121"/>
      <c r="C20" s="121"/>
      <c r="D20" s="121"/>
      <c r="E20" s="121"/>
      <c r="F20" s="121"/>
      <c r="G20" s="121"/>
      <c r="H20" s="121"/>
      <c r="I20" s="124"/>
      <c r="J20" s="124"/>
      <c r="K20" s="124"/>
      <c r="L20" s="124"/>
      <c r="M20" s="124"/>
      <c r="N20" s="124"/>
      <c r="O20" s="124"/>
      <c r="P20" s="124"/>
      <c r="Q20" s="124"/>
      <c r="R20" s="124"/>
      <c r="S20" s="124"/>
      <c r="T20" s="121"/>
      <c r="U20" s="121"/>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f t="shared" si="0"/>
        <v>0</v>
      </c>
      <c r="AU20" s="127" t="e">
        <f t="shared" si="1"/>
        <v>#DIV/0!</v>
      </c>
      <c r="AV20" s="127"/>
      <c r="AW20" s="127"/>
      <c r="AX20" s="127"/>
      <c r="AY20" s="124"/>
    </row>
    <row r="21" spans="1:51" ht="15.75" customHeight="1">
      <c r="A21" s="121"/>
      <c r="B21" s="121"/>
      <c r="C21" s="121"/>
      <c r="D21" s="121"/>
      <c r="E21" s="121"/>
      <c r="F21" s="121"/>
      <c r="G21" s="121"/>
      <c r="H21" s="121"/>
      <c r="I21" s="124"/>
      <c r="J21" s="124"/>
      <c r="K21" s="124"/>
      <c r="L21" s="124"/>
      <c r="M21" s="124"/>
      <c r="N21" s="124"/>
      <c r="O21" s="124"/>
      <c r="P21" s="124"/>
      <c r="Q21" s="124"/>
      <c r="R21" s="124"/>
      <c r="S21" s="124"/>
      <c r="T21" s="121"/>
      <c r="U21" s="121"/>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f t="shared" si="0"/>
        <v>0</v>
      </c>
      <c r="AU21" s="127" t="e">
        <f t="shared" si="1"/>
        <v>#DIV/0!</v>
      </c>
      <c r="AV21" s="127"/>
      <c r="AW21" s="127"/>
      <c r="AX21" s="127"/>
      <c r="AY21" s="124"/>
    </row>
    <row r="22" spans="1:51" ht="15.75" customHeight="1">
      <c r="A22" s="121"/>
      <c r="B22" s="121"/>
      <c r="C22" s="121"/>
      <c r="D22" s="121"/>
      <c r="E22" s="121"/>
      <c r="F22" s="121"/>
      <c r="G22" s="121"/>
      <c r="H22" s="121"/>
      <c r="I22" s="124"/>
      <c r="J22" s="124"/>
      <c r="K22" s="124"/>
      <c r="L22" s="124"/>
      <c r="M22" s="124"/>
      <c r="N22" s="124"/>
      <c r="O22" s="124"/>
      <c r="P22" s="124"/>
      <c r="Q22" s="124"/>
      <c r="R22" s="124"/>
      <c r="S22" s="124"/>
      <c r="T22" s="121"/>
      <c r="U22" s="121"/>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f t="shared" si="0"/>
        <v>0</v>
      </c>
      <c r="AU22" s="127" t="e">
        <f t="shared" si="1"/>
        <v>#DIV/0!</v>
      </c>
      <c r="AV22" s="127"/>
      <c r="AW22" s="127"/>
      <c r="AX22" s="127"/>
      <c r="AY22" s="124"/>
    </row>
    <row r="23" spans="1:51" ht="15.75" customHeight="1">
      <c r="A23" s="121"/>
      <c r="B23" s="121"/>
      <c r="C23" s="121"/>
      <c r="D23" s="121"/>
      <c r="E23" s="121"/>
      <c r="F23" s="121"/>
      <c r="G23" s="121"/>
      <c r="H23" s="121"/>
      <c r="I23" s="124"/>
      <c r="J23" s="124"/>
      <c r="K23" s="124"/>
      <c r="L23" s="124"/>
      <c r="M23" s="124"/>
      <c r="N23" s="124"/>
      <c r="O23" s="124"/>
      <c r="P23" s="124"/>
      <c r="Q23" s="124"/>
      <c r="R23" s="124"/>
      <c r="S23" s="124"/>
      <c r="T23" s="121"/>
      <c r="U23" s="121"/>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f t="shared" si="0"/>
        <v>0</v>
      </c>
      <c r="AU23" s="127" t="e">
        <f t="shared" si="1"/>
        <v>#DIV/0!</v>
      </c>
      <c r="AV23" s="127"/>
      <c r="AW23" s="127"/>
      <c r="AX23" s="127"/>
      <c r="AY23" s="124"/>
    </row>
    <row r="24" spans="1:51" ht="15.75" customHeight="1">
      <c r="A24" s="121"/>
      <c r="B24" s="121"/>
      <c r="C24" s="121"/>
      <c r="D24" s="121"/>
      <c r="E24" s="121"/>
      <c r="F24" s="121"/>
      <c r="G24" s="121"/>
      <c r="H24" s="121"/>
      <c r="I24" s="124"/>
      <c r="J24" s="124"/>
      <c r="K24" s="124"/>
      <c r="L24" s="124"/>
      <c r="M24" s="124"/>
      <c r="N24" s="124"/>
      <c r="O24" s="124"/>
      <c r="P24" s="124"/>
      <c r="Q24" s="124"/>
      <c r="R24" s="124"/>
      <c r="S24" s="124"/>
      <c r="T24" s="121"/>
      <c r="U24" s="121"/>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f t="shared" si="0"/>
        <v>0</v>
      </c>
      <c r="AU24" s="127" t="e">
        <f t="shared" si="1"/>
        <v>#DIV/0!</v>
      </c>
      <c r="AV24" s="127"/>
      <c r="AW24" s="127"/>
      <c r="AX24" s="127"/>
      <c r="AY24" s="124"/>
    </row>
    <row r="25" spans="1:51" ht="15.75" customHeight="1">
      <c r="A25" s="121"/>
      <c r="B25" s="121"/>
      <c r="C25" s="121"/>
      <c r="D25" s="121"/>
      <c r="E25" s="121"/>
      <c r="F25" s="121"/>
      <c r="G25" s="121"/>
      <c r="H25" s="121"/>
      <c r="I25" s="124"/>
      <c r="J25" s="124"/>
      <c r="K25" s="124"/>
      <c r="L25" s="124"/>
      <c r="M25" s="124"/>
      <c r="N25" s="124"/>
      <c r="O25" s="124"/>
      <c r="P25" s="124"/>
      <c r="Q25" s="124"/>
      <c r="R25" s="124"/>
      <c r="S25" s="124"/>
      <c r="T25" s="121"/>
      <c r="U25" s="121"/>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f t="shared" si="0"/>
        <v>0</v>
      </c>
      <c r="AU25" s="127" t="e">
        <f t="shared" si="1"/>
        <v>#DIV/0!</v>
      </c>
      <c r="AV25" s="127"/>
      <c r="AW25" s="127"/>
      <c r="AX25" s="127"/>
      <c r="AY25" s="124"/>
    </row>
    <row r="26" spans="1:51" ht="15.75" customHeight="1">
      <c r="A26" s="121"/>
      <c r="B26" s="121"/>
      <c r="C26" s="121"/>
      <c r="D26" s="121"/>
      <c r="E26" s="121"/>
      <c r="F26" s="121"/>
      <c r="G26" s="121"/>
      <c r="H26" s="121"/>
      <c r="I26" s="124"/>
      <c r="J26" s="124"/>
      <c r="K26" s="124"/>
      <c r="L26" s="124"/>
      <c r="M26" s="124"/>
      <c r="N26" s="124"/>
      <c r="O26" s="124"/>
      <c r="P26" s="124"/>
      <c r="Q26" s="124"/>
      <c r="R26" s="124"/>
      <c r="S26" s="124"/>
      <c r="T26" s="121"/>
      <c r="U26" s="121"/>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f t="shared" si="0"/>
        <v>0</v>
      </c>
      <c r="AU26" s="127" t="e">
        <f t="shared" si="1"/>
        <v>#DIV/0!</v>
      </c>
      <c r="AV26" s="127"/>
      <c r="AW26" s="127"/>
      <c r="AX26" s="127"/>
      <c r="AY26" s="124"/>
    </row>
    <row r="27" spans="1:51" ht="15.75" customHeight="1">
      <c r="A27" s="121"/>
      <c r="B27" s="121"/>
      <c r="C27" s="121"/>
      <c r="D27" s="121"/>
      <c r="E27" s="121"/>
      <c r="F27" s="121"/>
      <c r="G27" s="121"/>
      <c r="H27" s="121"/>
      <c r="I27" s="124"/>
      <c r="J27" s="124"/>
      <c r="K27" s="124"/>
      <c r="L27" s="124"/>
      <c r="M27" s="124"/>
      <c r="N27" s="124"/>
      <c r="O27" s="124"/>
      <c r="P27" s="124"/>
      <c r="Q27" s="124"/>
      <c r="R27" s="124"/>
      <c r="S27" s="124"/>
      <c r="T27" s="121"/>
      <c r="U27" s="121"/>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f t="shared" si="0"/>
        <v>0</v>
      </c>
      <c r="AU27" s="127" t="e">
        <f t="shared" si="1"/>
        <v>#DIV/0!</v>
      </c>
      <c r="AV27" s="127"/>
      <c r="AW27" s="127"/>
      <c r="AX27" s="127"/>
      <c r="AY27" s="124"/>
    </row>
    <row r="28" spans="1:51" ht="15">
      <c r="A28" s="800" t="s">
        <v>294</v>
      </c>
      <c r="B28" s="801"/>
      <c r="C28" s="801"/>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c r="AH28" s="801"/>
      <c r="AI28" s="801"/>
      <c r="AJ28" s="801"/>
      <c r="AK28" s="801"/>
      <c r="AL28" s="801"/>
      <c r="AM28" s="801"/>
      <c r="AN28" s="801"/>
      <c r="AO28" s="801"/>
      <c r="AP28" s="801"/>
      <c r="AQ28" s="801"/>
      <c r="AR28" s="801"/>
      <c r="AS28" s="801"/>
      <c r="AT28" s="801"/>
      <c r="AU28" s="801"/>
      <c r="AV28" s="801"/>
      <c r="AW28" s="801"/>
      <c r="AX28" s="801"/>
      <c r="AY28" s="802"/>
    </row>
    <row r="29" spans="1:51" ht="15">
      <c r="A29" s="798" t="s">
        <v>64</v>
      </c>
      <c r="B29" s="798"/>
      <c r="C29" s="798"/>
      <c r="D29" s="794" t="s">
        <v>66</v>
      </c>
      <c r="E29" s="794"/>
      <c r="F29" s="794"/>
      <c r="G29" s="794"/>
      <c r="H29" s="794"/>
      <c r="I29" s="794"/>
      <c r="J29" s="799" t="s">
        <v>300</v>
      </c>
      <c r="K29" s="799"/>
      <c r="L29" s="799"/>
      <c r="M29" s="799"/>
      <c r="N29" s="799"/>
      <c r="O29" s="799"/>
      <c r="P29" s="794" t="s">
        <v>66</v>
      </c>
      <c r="Q29" s="794"/>
      <c r="R29" s="794"/>
      <c r="S29" s="794"/>
      <c r="T29" s="794"/>
      <c r="U29" s="794"/>
      <c r="V29" s="794" t="s">
        <v>66</v>
      </c>
      <c r="W29" s="794"/>
      <c r="X29" s="794"/>
      <c r="Y29" s="794"/>
      <c r="Z29" s="794"/>
      <c r="AA29" s="794"/>
      <c r="AB29" s="794"/>
      <c r="AC29" s="794"/>
      <c r="AD29" s="794" t="s">
        <v>66</v>
      </c>
      <c r="AE29" s="794"/>
      <c r="AF29" s="794"/>
      <c r="AG29" s="794"/>
      <c r="AH29" s="794"/>
      <c r="AI29" s="794"/>
      <c r="AJ29" s="794"/>
      <c r="AK29" s="794"/>
      <c r="AL29" s="794"/>
      <c r="AM29" s="794"/>
      <c r="AN29" s="794"/>
      <c r="AO29" s="794"/>
      <c r="AP29" s="799" t="s">
        <v>318</v>
      </c>
      <c r="AQ29" s="799"/>
      <c r="AR29" s="799"/>
      <c r="AS29" s="799"/>
      <c r="AT29" s="794" t="s">
        <v>13</v>
      </c>
      <c r="AU29" s="794"/>
      <c r="AV29" s="794"/>
      <c r="AW29" s="794"/>
      <c r="AX29" s="794"/>
      <c r="AY29" s="794"/>
    </row>
    <row r="30" spans="1:51" ht="15">
      <c r="A30" s="798"/>
      <c r="B30" s="798"/>
      <c r="C30" s="798"/>
      <c r="D30" s="794" t="s">
        <v>65</v>
      </c>
      <c r="E30" s="794"/>
      <c r="F30" s="794"/>
      <c r="G30" s="794"/>
      <c r="H30" s="794"/>
      <c r="I30" s="794"/>
      <c r="J30" s="799"/>
      <c r="K30" s="799"/>
      <c r="L30" s="799"/>
      <c r="M30" s="799"/>
      <c r="N30" s="799"/>
      <c r="O30" s="799"/>
      <c r="P30" s="794" t="s">
        <v>65</v>
      </c>
      <c r="Q30" s="794"/>
      <c r="R30" s="794"/>
      <c r="S30" s="794"/>
      <c r="T30" s="794"/>
      <c r="U30" s="794"/>
      <c r="V30" s="794" t="s">
        <v>65</v>
      </c>
      <c r="W30" s="794"/>
      <c r="X30" s="794"/>
      <c r="Y30" s="794"/>
      <c r="Z30" s="794"/>
      <c r="AA30" s="794"/>
      <c r="AB30" s="794"/>
      <c r="AC30" s="794"/>
      <c r="AD30" s="794" t="s">
        <v>65</v>
      </c>
      <c r="AE30" s="794"/>
      <c r="AF30" s="794"/>
      <c r="AG30" s="794"/>
      <c r="AH30" s="794"/>
      <c r="AI30" s="794"/>
      <c r="AJ30" s="794"/>
      <c r="AK30" s="794"/>
      <c r="AL30" s="794"/>
      <c r="AM30" s="794"/>
      <c r="AN30" s="794"/>
      <c r="AO30" s="794"/>
      <c r="AP30" s="799"/>
      <c r="AQ30" s="799"/>
      <c r="AR30" s="799"/>
      <c r="AS30" s="799"/>
      <c r="AT30" s="794" t="s">
        <v>65</v>
      </c>
      <c r="AU30" s="794"/>
      <c r="AV30" s="794"/>
      <c r="AW30" s="794"/>
      <c r="AX30" s="794"/>
      <c r="AY30" s="794"/>
    </row>
    <row r="31" spans="1:51" ht="15.75" customHeight="1">
      <c r="A31" s="798"/>
      <c r="B31" s="798"/>
      <c r="C31" s="798"/>
      <c r="D31" s="794" t="s">
        <v>297</v>
      </c>
      <c r="E31" s="794"/>
      <c r="F31" s="794"/>
      <c r="G31" s="794"/>
      <c r="H31" s="794"/>
      <c r="I31" s="794"/>
      <c r="J31" s="799"/>
      <c r="K31" s="799"/>
      <c r="L31" s="799"/>
      <c r="M31" s="799"/>
      <c r="N31" s="799"/>
      <c r="O31" s="799"/>
      <c r="P31" s="794" t="s">
        <v>297</v>
      </c>
      <c r="Q31" s="794"/>
      <c r="R31" s="794"/>
      <c r="S31" s="794"/>
      <c r="T31" s="794"/>
      <c r="U31" s="794"/>
      <c r="V31" s="794" t="s">
        <v>297</v>
      </c>
      <c r="W31" s="794"/>
      <c r="X31" s="794"/>
      <c r="Y31" s="794"/>
      <c r="Z31" s="794"/>
      <c r="AA31" s="794"/>
      <c r="AB31" s="794"/>
      <c r="AC31" s="794"/>
      <c r="AD31" s="794" t="s">
        <v>297</v>
      </c>
      <c r="AE31" s="794"/>
      <c r="AF31" s="794"/>
      <c r="AG31" s="794"/>
      <c r="AH31" s="794"/>
      <c r="AI31" s="794"/>
      <c r="AJ31" s="794"/>
      <c r="AK31" s="794"/>
      <c r="AL31" s="794"/>
      <c r="AM31" s="794"/>
      <c r="AN31" s="794"/>
      <c r="AO31" s="794"/>
      <c r="AP31" s="799"/>
      <c r="AQ31" s="799"/>
      <c r="AR31" s="799"/>
      <c r="AS31" s="799"/>
      <c r="AT31" s="794" t="s">
        <v>75</v>
      </c>
      <c r="AU31" s="794"/>
      <c r="AV31" s="794"/>
      <c r="AW31" s="794"/>
      <c r="AX31" s="794"/>
      <c r="AY31" s="794"/>
    </row>
  </sheetData>
  <sheetProtection/>
  <mergeCells count="57">
    <mergeCell ref="AV5:AV12"/>
    <mergeCell ref="A5:AG5"/>
    <mergeCell ref="A6:C8"/>
    <mergeCell ref="D6:E8"/>
    <mergeCell ref="F6:G8"/>
    <mergeCell ref="H6:I6"/>
    <mergeCell ref="A10:C10"/>
    <mergeCell ref="D9:AG9"/>
    <mergeCell ref="D10:AG10"/>
    <mergeCell ref="L11:L12"/>
    <mergeCell ref="AP29:AS31"/>
    <mergeCell ref="AX5:AX12"/>
    <mergeCell ref="AY5:AY12"/>
    <mergeCell ref="H7:I7"/>
    <mergeCell ref="H8:I8"/>
    <mergeCell ref="V30:AC30"/>
    <mergeCell ref="V31:AC31"/>
    <mergeCell ref="AW5:AW12"/>
    <mergeCell ref="AH5:AU10"/>
    <mergeCell ref="K6:U8"/>
    <mergeCell ref="A29:C31"/>
    <mergeCell ref="J29:O31"/>
    <mergeCell ref="P30:U30"/>
    <mergeCell ref="P31:U31"/>
    <mergeCell ref="V29:AC29"/>
    <mergeCell ref="A28:AY28"/>
    <mergeCell ref="AT30:AY30"/>
    <mergeCell ref="AT29:AY29"/>
    <mergeCell ref="AT31:AY31"/>
    <mergeCell ref="D29:I29"/>
    <mergeCell ref="U11:U12"/>
    <mergeCell ref="O11:S11"/>
    <mergeCell ref="T11:T12"/>
    <mergeCell ref="N11:N12"/>
    <mergeCell ref="A11:F11"/>
    <mergeCell ref="G11:H11"/>
    <mergeCell ref="M11:M12"/>
    <mergeCell ref="D30:I30"/>
    <mergeCell ref="D31:I31"/>
    <mergeCell ref="AD29:AO29"/>
    <mergeCell ref="AD30:AO30"/>
    <mergeCell ref="AD31:AO31"/>
    <mergeCell ref="AH11:AS11"/>
    <mergeCell ref="P29:U29"/>
    <mergeCell ref="I11:I12"/>
    <mergeCell ref="J11:J12"/>
    <mergeCell ref="K11:K12"/>
    <mergeCell ref="AX1:AY1"/>
    <mergeCell ref="AX2:AY2"/>
    <mergeCell ref="AX3:AY3"/>
    <mergeCell ref="AX4:AY4"/>
    <mergeCell ref="A1:AW1"/>
    <mergeCell ref="V11:AG11"/>
    <mergeCell ref="A9:C9"/>
    <mergeCell ref="A2:AW2"/>
    <mergeCell ref="A3:AW4"/>
    <mergeCell ref="AT11:AU11"/>
  </mergeCells>
  <printOptions/>
  <pageMargins left="0.7" right="0.7" top="0.75" bottom="0.75" header="0.3" footer="0.3"/>
  <pageSetup fitToHeight="1" fitToWidth="1" horizontalDpi="600" verticalDpi="600" orientation="landscape" scale="2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K58"/>
  <sheetViews>
    <sheetView zoomScale="60" zoomScaleNormal="60" zoomScalePageLayoutView="0" workbookViewId="0" topLeftCell="AI1">
      <selection activeCell="C17" sqref="C17:Q17"/>
    </sheetView>
  </sheetViews>
  <sheetFormatPr defaultColWidth="19.421875" defaultRowHeight="15"/>
  <cols>
    <col min="1" max="1" width="29.57421875" style="113" bestFit="1" customWidth="1"/>
    <col min="2" max="17" width="11.00390625" style="113" customWidth="1"/>
    <col min="18" max="19" width="12.140625" style="113" customWidth="1"/>
    <col min="20" max="23" width="8.140625" style="113" customWidth="1"/>
    <col min="24" max="24" width="9.421875" style="113" customWidth="1"/>
    <col min="25" max="25" width="8.140625" style="113" customWidth="1"/>
    <col min="26" max="30" width="7.8515625" style="113" customWidth="1"/>
    <col min="31" max="31" width="11.28125" style="113" customWidth="1"/>
    <col min="32" max="32" width="2.28125" style="113" customWidth="1"/>
    <col min="33" max="33" width="19.421875" style="113" customWidth="1"/>
    <col min="34" max="51" width="11.28125" style="113" customWidth="1"/>
    <col min="52" max="63" width="8.8515625" style="113" customWidth="1"/>
    <col min="64" max="16384" width="19.421875" style="113" customWidth="1"/>
  </cols>
  <sheetData>
    <row r="1" spans="1:63" ht="15.75" customHeight="1">
      <c r="A1" s="827" t="s">
        <v>16</v>
      </c>
      <c r="B1" s="827"/>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7"/>
      <c r="AL1" s="827"/>
      <c r="AM1" s="827"/>
      <c r="AN1" s="827"/>
      <c r="AO1" s="827"/>
      <c r="AP1" s="827"/>
      <c r="AQ1" s="827"/>
      <c r="AR1" s="827"/>
      <c r="AS1" s="827"/>
      <c r="AT1" s="827"/>
      <c r="AU1" s="827"/>
      <c r="AV1" s="827"/>
      <c r="AW1" s="827"/>
      <c r="AX1" s="827"/>
      <c r="AY1" s="827"/>
      <c r="AZ1" s="827"/>
      <c r="BA1" s="827"/>
      <c r="BB1" s="827"/>
      <c r="BC1" s="827"/>
      <c r="BD1" s="827"/>
      <c r="BE1" s="827"/>
      <c r="BF1" s="827"/>
      <c r="BG1" s="827"/>
      <c r="BH1" s="827"/>
      <c r="BI1" s="828" t="s">
        <v>18</v>
      </c>
      <c r="BJ1" s="828"/>
      <c r="BK1" s="828"/>
    </row>
    <row r="2" spans="1:63" ht="15.75" customHeight="1">
      <c r="A2" s="827" t="s">
        <v>17</v>
      </c>
      <c r="B2" s="827"/>
      <c r="C2" s="827"/>
      <c r="D2" s="827"/>
      <c r="E2" s="827"/>
      <c r="F2" s="827"/>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c r="AG2" s="827"/>
      <c r="AH2" s="827"/>
      <c r="AI2" s="827"/>
      <c r="AJ2" s="827"/>
      <c r="AK2" s="827"/>
      <c r="AL2" s="827"/>
      <c r="AM2" s="827"/>
      <c r="AN2" s="827"/>
      <c r="AO2" s="827"/>
      <c r="AP2" s="827"/>
      <c r="AQ2" s="827"/>
      <c r="AR2" s="827"/>
      <c r="AS2" s="827"/>
      <c r="AT2" s="827"/>
      <c r="AU2" s="827"/>
      <c r="AV2" s="827"/>
      <c r="AW2" s="827"/>
      <c r="AX2" s="827"/>
      <c r="AY2" s="827"/>
      <c r="AZ2" s="827"/>
      <c r="BA2" s="827"/>
      <c r="BB2" s="827"/>
      <c r="BC2" s="827"/>
      <c r="BD2" s="827"/>
      <c r="BE2" s="827"/>
      <c r="BF2" s="827"/>
      <c r="BG2" s="827"/>
      <c r="BH2" s="827"/>
      <c r="BI2" s="829" t="s">
        <v>418</v>
      </c>
      <c r="BJ2" s="829"/>
      <c r="BK2" s="829"/>
    </row>
    <row r="3" spans="1:63" ht="25.5" customHeight="1">
      <c r="A3" s="827" t="s">
        <v>187</v>
      </c>
      <c r="B3" s="827"/>
      <c r="C3" s="827"/>
      <c r="D3" s="827"/>
      <c r="E3" s="827"/>
      <c r="F3" s="827"/>
      <c r="G3" s="827"/>
      <c r="H3" s="827"/>
      <c r="I3" s="827"/>
      <c r="J3" s="827"/>
      <c r="K3" s="827"/>
      <c r="L3" s="827"/>
      <c r="M3" s="827"/>
      <c r="N3" s="827"/>
      <c r="O3" s="827"/>
      <c r="P3" s="827"/>
      <c r="Q3" s="827"/>
      <c r="R3" s="827"/>
      <c r="S3" s="827"/>
      <c r="T3" s="827"/>
      <c r="U3" s="827"/>
      <c r="V3" s="827"/>
      <c r="W3" s="827"/>
      <c r="X3" s="827"/>
      <c r="Y3" s="827"/>
      <c r="Z3" s="827"/>
      <c r="AA3" s="827"/>
      <c r="AB3" s="827"/>
      <c r="AC3" s="827"/>
      <c r="AD3" s="827"/>
      <c r="AE3" s="827"/>
      <c r="AF3" s="827"/>
      <c r="AG3" s="827"/>
      <c r="AH3" s="827"/>
      <c r="AI3" s="827"/>
      <c r="AJ3" s="827"/>
      <c r="AK3" s="827"/>
      <c r="AL3" s="827"/>
      <c r="AM3" s="827"/>
      <c r="AN3" s="827"/>
      <c r="AO3" s="827"/>
      <c r="AP3" s="827"/>
      <c r="AQ3" s="827"/>
      <c r="AR3" s="827"/>
      <c r="AS3" s="827"/>
      <c r="AT3" s="827"/>
      <c r="AU3" s="827"/>
      <c r="AV3" s="827"/>
      <c r="AW3" s="827"/>
      <c r="AX3" s="827"/>
      <c r="AY3" s="827"/>
      <c r="AZ3" s="827"/>
      <c r="BA3" s="827"/>
      <c r="BB3" s="827"/>
      <c r="BC3" s="827"/>
      <c r="BD3" s="827"/>
      <c r="BE3" s="827"/>
      <c r="BF3" s="827"/>
      <c r="BG3" s="827"/>
      <c r="BH3" s="827"/>
      <c r="BI3" s="829" t="s">
        <v>424</v>
      </c>
      <c r="BJ3" s="829"/>
      <c r="BK3" s="829"/>
    </row>
    <row r="4" spans="1:63" ht="15.75" customHeight="1">
      <c r="A4" s="827" t="s">
        <v>172</v>
      </c>
      <c r="B4" s="827"/>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827"/>
      <c r="BA4" s="827"/>
      <c r="BB4" s="827"/>
      <c r="BC4" s="827"/>
      <c r="BD4" s="827"/>
      <c r="BE4" s="827"/>
      <c r="BF4" s="827"/>
      <c r="BG4" s="827"/>
      <c r="BH4" s="827"/>
      <c r="BI4" s="824" t="s">
        <v>183</v>
      </c>
      <c r="BJ4" s="825"/>
      <c r="BK4" s="826"/>
    </row>
    <row r="5" spans="1:63" ht="25.5" customHeight="1">
      <c r="A5" s="830" t="s">
        <v>319</v>
      </c>
      <c r="B5" s="830"/>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c r="AE5" s="830"/>
      <c r="AG5" s="830" t="s">
        <v>320</v>
      </c>
      <c r="AH5" s="830"/>
      <c r="AI5" s="830"/>
      <c r="AJ5" s="830"/>
      <c r="AK5" s="830"/>
      <c r="AL5" s="830"/>
      <c r="AM5" s="830"/>
      <c r="AN5" s="830"/>
      <c r="AO5" s="830"/>
      <c r="AP5" s="830"/>
      <c r="AQ5" s="830"/>
      <c r="AR5" s="830"/>
      <c r="AS5" s="830"/>
      <c r="AT5" s="830"/>
      <c r="AU5" s="830"/>
      <c r="AV5" s="830"/>
      <c r="AW5" s="830"/>
      <c r="AX5" s="830"/>
      <c r="AY5" s="830"/>
      <c r="AZ5" s="830"/>
      <c r="BA5" s="830"/>
      <c r="BB5" s="830"/>
      <c r="BC5" s="830"/>
      <c r="BD5" s="830"/>
      <c r="BE5" s="830"/>
      <c r="BF5" s="830"/>
      <c r="BG5" s="830"/>
      <c r="BH5" s="830"/>
      <c r="BI5" s="831"/>
      <c r="BJ5" s="831"/>
      <c r="BK5" s="831"/>
    </row>
    <row r="6" spans="1:63" ht="31.5" customHeight="1">
      <c r="A6" s="169" t="s">
        <v>290</v>
      </c>
      <c r="B6" s="836"/>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6"/>
      <c r="AY6" s="836"/>
      <c r="AZ6" s="836"/>
      <c r="BA6" s="836"/>
      <c r="BB6" s="836"/>
      <c r="BC6" s="836"/>
      <c r="BD6" s="836"/>
      <c r="BE6" s="836"/>
      <c r="BF6" s="836"/>
      <c r="BG6" s="836"/>
      <c r="BH6" s="836"/>
      <c r="BI6" s="836"/>
      <c r="BJ6" s="836"/>
      <c r="BK6" s="836"/>
    </row>
    <row r="7" spans="1:63" ht="31.5" customHeight="1">
      <c r="A7" s="170" t="s">
        <v>177</v>
      </c>
      <c r="B7" s="834"/>
      <c r="C7" s="837"/>
      <c r="D7" s="837"/>
      <c r="E7" s="837"/>
      <c r="F7" s="837"/>
      <c r="G7" s="837"/>
      <c r="H7" s="837"/>
      <c r="I7" s="837"/>
      <c r="J7" s="837"/>
      <c r="K7" s="837"/>
      <c r="L7" s="837"/>
      <c r="M7" s="837"/>
      <c r="N7" s="837"/>
      <c r="O7" s="837"/>
      <c r="P7" s="837"/>
      <c r="Q7" s="837"/>
      <c r="R7" s="837"/>
      <c r="S7" s="837"/>
      <c r="T7" s="837"/>
      <c r="U7" s="837"/>
      <c r="V7" s="837"/>
      <c r="W7" s="837"/>
      <c r="X7" s="837"/>
      <c r="Y7" s="837"/>
      <c r="Z7" s="837"/>
      <c r="AA7" s="837"/>
      <c r="AB7" s="837"/>
      <c r="AC7" s="837"/>
      <c r="AD7" s="837"/>
      <c r="AE7" s="837"/>
      <c r="AF7" s="837"/>
      <c r="AG7" s="837"/>
      <c r="AH7" s="837"/>
      <c r="AI7" s="837"/>
      <c r="AJ7" s="837"/>
      <c r="AK7" s="837"/>
      <c r="AL7" s="837"/>
      <c r="AM7" s="837"/>
      <c r="AN7" s="837"/>
      <c r="AO7" s="837"/>
      <c r="AP7" s="837"/>
      <c r="AQ7" s="837"/>
      <c r="AR7" s="837"/>
      <c r="AS7" s="837"/>
      <c r="AT7" s="837"/>
      <c r="AU7" s="837"/>
      <c r="AV7" s="837"/>
      <c r="AW7" s="837"/>
      <c r="AX7" s="837"/>
      <c r="AY7" s="837"/>
      <c r="AZ7" s="837"/>
      <c r="BA7" s="837"/>
      <c r="BB7" s="837"/>
      <c r="BC7" s="837"/>
      <c r="BD7" s="837"/>
      <c r="BE7" s="837"/>
      <c r="BF7" s="837"/>
      <c r="BG7" s="837"/>
      <c r="BH7" s="837"/>
      <c r="BI7" s="837"/>
      <c r="BJ7" s="837"/>
      <c r="BK7" s="835"/>
    </row>
    <row r="8" spans="1:41" ht="18.75" customHeight="1">
      <c r="A8" s="161"/>
      <c r="B8" s="161"/>
      <c r="C8" s="161"/>
      <c r="D8" s="161"/>
      <c r="E8" s="161"/>
      <c r="F8" s="161"/>
      <c r="G8" s="161"/>
      <c r="H8" s="161"/>
      <c r="I8" s="161"/>
      <c r="J8" s="161"/>
      <c r="K8" s="162"/>
      <c r="L8" s="162"/>
      <c r="M8" s="162"/>
      <c r="N8" s="162"/>
      <c r="O8" s="162"/>
      <c r="P8" s="162"/>
      <c r="Q8" s="162"/>
      <c r="R8" s="162"/>
      <c r="S8" s="162"/>
      <c r="T8" s="162"/>
      <c r="U8" s="162"/>
      <c r="V8" s="162"/>
      <c r="W8" s="162"/>
      <c r="X8" s="162"/>
      <c r="Y8" s="162"/>
      <c r="Z8" s="162"/>
      <c r="AA8" s="162"/>
      <c r="AB8" s="162"/>
      <c r="AC8" s="162"/>
      <c r="AD8" s="162"/>
      <c r="AE8" s="162"/>
      <c r="AG8" s="161"/>
      <c r="AH8" s="162"/>
      <c r="AI8" s="162"/>
      <c r="AJ8" s="162"/>
      <c r="AK8" s="162"/>
      <c r="AL8" s="162"/>
      <c r="AM8" s="162"/>
      <c r="AN8" s="162"/>
      <c r="AO8" s="162"/>
    </row>
    <row r="9" spans="1:63" ht="30" customHeight="1">
      <c r="A9" s="832" t="s">
        <v>90</v>
      </c>
      <c r="B9" s="213" t="s">
        <v>39</v>
      </c>
      <c r="C9" s="213" t="s">
        <v>40</v>
      </c>
      <c r="D9" s="834" t="s">
        <v>41</v>
      </c>
      <c r="E9" s="835"/>
      <c r="F9" s="213" t="s">
        <v>42</v>
      </c>
      <c r="G9" s="213" t="s">
        <v>43</v>
      </c>
      <c r="H9" s="834" t="s">
        <v>44</v>
      </c>
      <c r="I9" s="835"/>
      <c r="J9" s="213" t="s">
        <v>45</v>
      </c>
      <c r="K9" s="213" t="s">
        <v>46</v>
      </c>
      <c r="L9" s="834" t="s">
        <v>47</v>
      </c>
      <c r="M9" s="835"/>
      <c r="N9" s="213" t="s">
        <v>48</v>
      </c>
      <c r="O9" s="213" t="s">
        <v>49</v>
      </c>
      <c r="P9" s="834" t="s">
        <v>50</v>
      </c>
      <c r="Q9" s="835"/>
      <c r="R9" s="834" t="s">
        <v>91</v>
      </c>
      <c r="S9" s="835"/>
      <c r="T9" s="834" t="s">
        <v>289</v>
      </c>
      <c r="U9" s="837"/>
      <c r="V9" s="837"/>
      <c r="W9" s="837"/>
      <c r="X9" s="837"/>
      <c r="Y9" s="835"/>
      <c r="Z9" s="834" t="s">
        <v>288</v>
      </c>
      <c r="AA9" s="837"/>
      <c r="AB9" s="837"/>
      <c r="AC9" s="837"/>
      <c r="AD9" s="837"/>
      <c r="AE9" s="835"/>
      <c r="AG9" s="832" t="s">
        <v>90</v>
      </c>
      <c r="AH9" s="213" t="s">
        <v>39</v>
      </c>
      <c r="AI9" s="213" t="s">
        <v>40</v>
      </c>
      <c r="AJ9" s="834" t="s">
        <v>41</v>
      </c>
      <c r="AK9" s="835"/>
      <c r="AL9" s="213" t="s">
        <v>42</v>
      </c>
      <c r="AM9" s="213" t="s">
        <v>43</v>
      </c>
      <c r="AN9" s="834" t="s">
        <v>44</v>
      </c>
      <c r="AO9" s="835"/>
      <c r="AP9" s="213" t="s">
        <v>45</v>
      </c>
      <c r="AQ9" s="213" t="s">
        <v>46</v>
      </c>
      <c r="AR9" s="834" t="s">
        <v>47</v>
      </c>
      <c r="AS9" s="835"/>
      <c r="AT9" s="213" t="s">
        <v>48</v>
      </c>
      <c r="AU9" s="213" t="s">
        <v>49</v>
      </c>
      <c r="AV9" s="834" t="s">
        <v>50</v>
      </c>
      <c r="AW9" s="835"/>
      <c r="AX9" s="834" t="s">
        <v>91</v>
      </c>
      <c r="AY9" s="835"/>
      <c r="AZ9" s="834" t="s">
        <v>289</v>
      </c>
      <c r="BA9" s="837"/>
      <c r="BB9" s="837"/>
      <c r="BC9" s="837"/>
      <c r="BD9" s="837"/>
      <c r="BE9" s="835"/>
      <c r="BF9" s="834" t="s">
        <v>288</v>
      </c>
      <c r="BG9" s="837"/>
      <c r="BH9" s="837"/>
      <c r="BI9" s="837"/>
      <c r="BJ9" s="837"/>
      <c r="BK9" s="835"/>
    </row>
    <row r="10" spans="1:63" ht="36" customHeight="1">
      <c r="A10" s="833"/>
      <c r="B10" s="129" t="s">
        <v>372</v>
      </c>
      <c r="C10" s="129" t="s">
        <v>372</v>
      </c>
      <c r="D10" s="129" t="s">
        <v>372</v>
      </c>
      <c r="E10" s="129" t="s">
        <v>373</v>
      </c>
      <c r="F10" s="129" t="s">
        <v>372</v>
      </c>
      <c r="G10" s="129" t="s">
        <v>372</v>
      </c>
      <c r="H10" s="129" t="s">
        <v>372</v>
      </c>
      <c r="I10" s="129" t="s">
        <v>373</v>
      </c>
      <c r="J10" s="129" t="s">
        <v>372</v>
      </c>
      <c r="K10" s="129" t="s">
        <v>372</v>
      </c>
      <c r="L10" s="129" t="s">
        <v>372</v>
      </c>
      <c r="M10" s="129" t="s">
        <v>373</v>
      </c>
      <c r="N10" s="129" t="s">
        <v>372</v>
      </c>
      <c r="O10" s="129" t="s">
        <v>372</v>
      </c>
      <c r="P10" s="129" t="s">
        <v>372</v>
      </c>
      <c r="Q10" s="129" t="s">
        <v>373</v>
      </c>
      <c r="R10" s="129" t="s">
        <v>372</v>
      </c>
      <c r="S10" s="129" t="s">
        <v>373</v>
      </c>
      <c r="T10" s="205" t="s">
        <v>393</v>
      </c>
      <c r="U10" s="205" t="s">
        <v>394</v>
      </c>
      <c r="V10" s="205" t="s">
        <v>395</v>
      </c>
      <c r="W10" s="205" t="s">
        <v>305</v>
      </c>
      <c r="X10" s="206" t="s">
        <v>396</v>
      </c>
      <c r="Y10" s="205" t="s">
        <v>304</v>
      </c>
      <c r="Z10" s="129" t="s">
        <v>387</v>
      </c>
      <c r="AA10" s="163" t="s">
        <v>388</v>
      </c>
      <c r="AB10" s="129" t="s">
        <v>389</v>
      </c>
      <c r="AC10" s="129" t="s">
        <v>390</v>
      </c>
      <c r="AD10" s="129" t="s">
        <v>391</v>
      </c>
      <c r="AE10" s="129" t="s">
        <v>392</v>
      </c>
      <c r="AG10" s="833"/>
      <c r="AH10" s="129" t="s">
        <v>372</v>
      </c>
      <c r="AI10" s="129" t="s">
        <v>372</v>
      </c>
      <c r="AJ10" s="129" t="s">
        <v>372</v>
      </c>
      <c r="AK10" s="129" t="s">
        <v>373</v>
      </c>
      <c r="AL10" s="129" t="s">
        <v>372</v>
      </c>
      <c r="AM10" s="129" t="s">
        <v>372</v>
      </c>
      <c r="AN10" s="129" t="s">
        <v>372</v>
      </c>
      <c r="AO10" s="129" t="s">
        <v>373</v>
      </c>
      <c r="AP10" s="129" t="s">
        <v>372</v>
      </c>
      <c r="AQ10" s="129" t="s">
        <v>372</v>
      </c>
      <c r="AR10" s="129" t="s">
        <v>372</v>
      </c>
      <c r="AS10" s="129" t="s">
        <v>373</v>
      </c>
      <c r="AT10" s="129" t="s">
        <v>372</v>
      </c>
      <c r="AU10" s="129" t="s">
        <v>372</v>
      </c>
      <c r="AV10" s="129" t="s">
        <v>372</v>
      </c>
      <c r="AW10" s="129" t="s">
        <v>373</v>
      </c>
      <c r="AX10" s="129" t="s">
        <v>372</v>
      </c>
      <c r="AY10" s="129" t="s">
        <v>373</v>
      </c>
      <c r="AZ10" s="205" t="s">
        <v>393</v>
      </c>
      <c r="BA10" s="205" t="s">
        <v>394</v>
      </c>
      <c r="BB10" s="205" t="s">
        <v>395</v>
      </c>
      <c r="BC10" s="205" t="s">
        <v>305</v>
      </c>
      <c r="BD10" s="206" t="s">
        <v>396</v>
      </c>
      <c r="BE10" s="205" t="s">
        <v>304</v>
      </c>
      <c r="BF10" s="203" t="s">
        <v>387</v>
      </c>
      <c r="BG10" s="204" t="s">
        <v>388</v>
      </c>
      <c r="BH10" s="203" t="s">
        <v>389</v>
      </c>
      <c r="BI10" s="203" t="s">
        <v>390</v>
      </c>
      <c r="BJ10" s="203" t="s">
        <v>391</v>
      </c>
      <c r="BK10" s="203" t="s">
        <v>392</v>
      </c>
    </row>
    <row r="11" spans="1:63" ht="15">
      <c r="A11" s="164" t="s">
        <v>92</v>
      </c>
      <c r="B11" s="164"/>
      <c r="C11" s="164"/>
      <c r="D11" s="164"/>
      <c r="E11" s="221"/>
      <c r="F11" s="164"/>
      <c r="G11" s="164"/>
      <c r="H11" s="164"/>
      <c r="I11" s="221"/>
      <c r="J11" s="164"/>
      <c r="K11" s="164"/>
      <c r="L11" s="164"/>
      <c r="M11" s="221"/>
      <c r="N11" s="164"/>
      <c r="O11" s="164"/>
      <c r="P11" s="164"/>
      <c r="Q11" s="221"/>
      <c r="R11" s="209">
        <f aca="true" t="shared" si="0" ref="R11:R31">B11+C11+D11+F11+G11+H11+J11+K11+L11+N11+O11+P11</f>
        <v>0</v>
      </c>
      <c r="S11" s="171">
        <f>+E11+I11+M11+Q11</f>
        <v>0</v>
      </c>
      <c r="T11" s="207"/>
      <c r="U11" s="207"/>
      <c r="V11" s="207"/>
      <c r="W11" s="207"/>
      <c r="X11" s="207"/>
      <c r="Y11" s="166"/>
      <c r="Z11" s="166"/>
      <c r="AA11" s="166"/>
      <c r="AB11" s="166"/>
      <c r="AC11" s="166"/>
      <c r="AD11" s="166"/>
      <c r="AE11" s="167"/>
      <c r="AG11" s="164" t="s">
        <v>92</v>
      </c>
      <c r="AH11" s="164"/>
      <c r="AI11" s="164"/>
      <c r="AJ11" s="164"/>
      <c r="AK11" s="221"/>
      <c r="AL11" s="164"/>
      <c r="AM11" s="164"/>
      <c r="AN11" s="164"/>
      <c r="AO11" s="221"/>
      <c r="AP11" s="164"/>
      <c r="AQ11" s="164"/>
      <c r="AR11" s="164"/>
      <c r="AS11" s="221"/>
      <c r="AT11" s="164"/>
      <c r="AU11" s="164"/>
      <c r="AV11" s="164"/>
      <c r="AW11" s="221"/>
      <c r="AX11" s="209">
        <f aca="true" t="shared" si="1" ref="AX11:AX31">AH11+AI11+AJ11+AL11+AM11+AN11+AP11+AQ11+AR11+AT11+AU11+AV11</f>
        <v>0</v>
      </c>
      <c r="AY11" s="171">
        <f>+AK11+AO11+AS11+AW11</f>
        <v>0</v>
      </c>
      <c r="AZ11" s="166"/>
      <c r="BA11" s="166"/>
      <c r="BB11" s="166"/>
      <c r="BC11" s="166"/>
      <c r="BD11" s="166"/>
      <c r="BE11" s="166"/>
      <c r="BF11" s="166"/>
      <c r="BG11" s="166"/>
      <c r="BH11" s="166"/>
      <c r="BI11" s="166"/>
      <c r="BJ11" s="166"/>
      <c r="BK11" s="167"/>
    </row>
    <row r="12" spans="1:63" ht="15">
      <c r="A12" s="164" t="s">
        <v>93</v>
      </c>
      <c r="B12" s="164"/>
      <c r="C12" s="164"/>
      <c r="D12" s="164"/>
      <c r="E12" s="221"/>
      <c r="F12" s="164"/>
      <c r="G12" s="164"/>
      <c r="H12" s="164"/>
      <c r="I12" s="221"/>
      <c r="J12" s="164"/>
      <c r="K12" s="164"/>
      <c r="L12" s="164"/>
      <c r="M12" s="221"/>
      <c r="N12" s="164"/>
      <c r="O12" s="164"/>
      <c r="P12" s="164"/>
      <c r="Q12" s="221"/>
      <c r="R12" s="209">
        <f t="shared" si="0"/>
        <v>0</v>
      </c>
      <c r="S12" s="171">
        <f aca="true" t="shared" si="2" ref="S12:S31">+E12+I12+M12+Q12</f>
        <v>0</v>
      </c>
      <c r="T12" s="207"/>
      <c r="U12" s="207"/>
      <c r="V12" s="207"/>
      <c r="W12" s="207"/>
      <c r="X12" s="207"/>
      <c r="Y12" s="208"/>
      <c r="Z12" s="166"/>
      <c r="AA12" s="166"/>
      <c r="AB12" s="166"/>
      <c r="AC12" s="166"/>
      <c r="AD12" s="166"/>
      <c r="AE12" s="166"/>
      <c r="AG12" s="164" t="s">
        <v>93</v>
      </c>
      <c r="AH12" s="164"/>
      <c r="AI12" s="164"/>
      <c r="AJ12" s="164"/>
      <c r="AK12" s="221"/>
      <c r="AL12" s="164"/>
      <c r="AM12" s="164"/>
      <c r="AN12" s="164"/>
      <c r="AO12" s="221"/>
      <c r="AP12" s="164"/>
      <c r="AQ12" s="164"/>
      <c r="AR12" s="164"/>
      <c r="AS12" s="221"/>
      <c r="AT12" s="164"/>
      <c r="AU12" s="164"/>
      <c r="AV12" s="164"/>
      <c r="AW12" s="221"/>
      <c r="AX12" s="209">
        <f t="shared" si="1"/>
        <v>0</v>
      </c>
      <c r="AY12" s="171">
        <f aca="true" t="shared" si="3" ref="AY12:AY31">+AK12+AO12+AS12+AW12</f>
        <v>0</v>
      </c>
      <c r="AZ12" s="166"/>
      <c r="BA12" s="166"/>
      <c r="BB12" s="166"/>
      <c r="BC12" s="166"/>
      <c r="BD12" s="166"/>
      <c r="BE12" s="166"/>
      <c r="BF12" s="166"/>
      <c r="BG12" s="166"/>
      <c r="BH12" s="166"/>
      <c r="BI12" s="166"/>
      <c r="BJ12" s="166"/>
      <c r="BK12" s="166"/>
    </row>
    <row r="13" spans="1:63" ht="15">
      <c r="A13" s="164" t="s">
        <v>94</v>
      </c>
      <c r="B13" s="164"/>
      <c r="C13" s="164"/>
      <c r="D13" s="164"/>
      <c r="E13" s="221"/>
      <c r="F13" s="164"/>
      <c r="G13" s="164"/>
      <c r="H13" s="164"/>
      <c r="I13" s="221"/>
      <c r="J13" s="164"/>
      <c r="K13" s="164"/>
      <c r="L13" s="164"/>
      <c r="M13" s="221"/>
      <c r="N13" s="164"/>
      <c r="O13" s="164"/>
      <c r="P13" s="164"/>
      <c r="Q13" s="221"/>
      <c r="R13" s="209">
        <f t="shared" si="0"/>
        <v>0</v>
      </c>
      <c r="S13" s="171">
        <f t="shared" si="2"/>
        <v>0</v>
      </c>
      <c r="T13" s="207"/>
      <c r="U13" s="207"/>
      <c r="V13" s="207"/>
      <c r="W13" s="207"/>
      <c r="X13" s="207"/>
      <c r="Y13" s="208"/>
      <c r="Z13" s="166"/>
      <c r="AA13" s="166"/>
      <c r="AB13" s="166"/>
      <c r="AC13" s="166"/>
      <c r="AD13" s="166"/>
      <c r="AE13" s="166"/>
      <c r="AG13" s="164" t="s">
        <v>94</v>
      </c>
      <c r="AH13" s="164"/>
      <c r="AI13" s="164"/>
      <c r="AJ13" s="164"/>
      <c r="AK13" s="221"/>
      <c r="AL13" s="164"/>
      <c r="AM13" s="164"/>
      <c r="AN13" s="164"/>
      <c r="AO13" s="221"/>
      <c r="AP13" s="164"/>
      <c r="AQ13" s="164"/>
      <c r="AR13" s="164"/>
      <c r="AS13" s="221"/>
      <c r="AT13" s="164"/>
      <c r="AU13" s="164"/>
      <c r="AV13" s="164"/>
      <c r="AW13" s="221"/>
      <c r="AX13" s="209">
        <f t="shared" si="1"/>
        <v>0</v>
      </c>
      <c r="AY13" s="171">
        <f t="shared" si="3"/>
        <v>0</v>
      </c>
      <c r="AZ13" s="166"/>
      <c r="BA13" s="166"/>
      <c r="BB13" s="166"/>
      <c r="BC13" s="166"/>
      <c r="BD13" s="166"/>
      <c r="BE13" s="166"/>
      <c r="BF13" s="166"/>
      <c r="BG13" s="166"/>
      <c r="BH13" s="166"/>
      <c r="BI13" s="166"/>
      <c r="BJ13" s="166"/>
      <c r="BK13" s="166"/>
    </row>
    <row r="14" spans="1:63" ht="15">
      <c r="A14" s="164" t="s">
        <v>95</v>
      </c>
      <c r="B14" s="164"/>
      <c r="C14" s="164"/>
      <c r="D14" s="164"/>
      <c r="E14" s="221"/>
      <c r="F14" s="164"/>
      <c r="G14" s="164"/>
      <c r="H14" s="164"/>
      <c r="I14" s="221"/>
      <c r="J14" s="164"/>
      <c r="K14" s="164"/>
      <c r="L14" s="164"/>
      <c r="M14" s="221"/>
      <c r="N14" s="164"/>
      <c r="O14" s="164"/>
      <c r="P14" s="164"/>
      <c r="Q14" s="221"/>
      <c r="R14" s="209">
        <f t="shared" si="0"/>
        <v>0</v>
      </c>
      <c r="S14" s="171">
        <f t="shared" si="2"/>
        <v>0</v>
      </c>
      <c r="T14" s="207"/>
      <c r="U14" s="207"/>
      <c r="V14" s="207"/>
      <c r="W14" s="207"/>
      <c r="X14" s="207"/>
      <c r="Y14" s="208"/>
      <c r="Z14" s="166"/>
      <c r="AA14" s="166"/>
      <c r="AB14" s="166"/>
      <c r="AC14" s="166"/>
      <c r="AD14" s="166"/>
      <c r="AE14" s="166"/>
      <c r="AG14" s="164" t="s">
        <v>95</v>
      </c>
      <c r="AH14" s="164"/>
      <c r="AI14" s="164"/>
      <c r="AJ14" s="164"/>
      <c r="AK14" s="221"/>
      <c r="AL14" s="164"/>
      <c r="AM14" s="164"/>
      <c r="AN14" s="164"/>
      <c r="AO14" s="221"/>
      <c r="AP14" s="164"/>
      <c r="AQ14" s="164"/>
      <c r="AR14" s="164"/>
      <c r="AS14" s="221"/>
      <c r="AT14" s="164"/>
      <c r="AU14" s="164"/>
      <c r="AV14" s="164"/>
      <c r="AW14" s="221"/>
      <c r="AX14" s="209">
        <f t="shared" si="1"/>
        <v>0</v>
      </c>
      <c r="AY14" s="171">
        <f t="shared" si="3"/>
        <v>0</v>
      </c>
      <c r="AZ14" s="166"/>
      <c r="BA14" s="166"/>
      <c r="BB14" s="166"/>
      <c r="BC14" s="166"/>
      <c r="BD14" s="166"/>
      <c r="BE14" s="166"/>
      <c r="BF14" s="166"/>
      <c r="BG14" s="166"/>
      <c r="BH14" s="166"/>
      <c r="BI14" s="166"/>
      <c r="BJ14" s="166"/>
      <c r="BK14" s="166"/>
    </row>
    <row r="15" spans="1:63" ht="15">
      <c r="A15" s="164" t="s">
        <v>96</v>
      </c>
      <c r="B15" s="164"/>
      <c r="C15" s="164"/>
      <c r="D15" s="164"/>
      <c r="E15" s="221"/>
      <c r="F15" s="164"/>
      <c r="G15" s="164"/>
      <c r="H15" s="164"/>
      <c r="I15" s="221"/>
      <c r="J15" s="164"/>
      <c r="K15" s="164"/>
      <c r="L15" s="164"/>
      <c r="M15" s="221"/>
      <c r="N15" s="164"/>
      <c r="O15" s="164"/>
      <c r="P15" s="164"/>
      <c r="Q15" s="221"/>
      <c r="R15" s="209">
        <f t="shared" si="0"/>
        <v>0</v>
      </c>
      <c r="S15" s="171">
        <f t="shared" si="2"/>
        <v>0</v>
      </c>
      <c r="T15" s="207"/>
      <c r="U15" s="207"/>
      <c r="V15" s="207"/>
      <c r="W15" s="207"/>
      <c r="X15" s="207"/>
      <c r="Y15" s="208"/>
      <c r="Z15" s="166"/>
      <c r="AA15" s="166"/>
      <c r="AB15" s="166"/>
      <c r="AC15" s="166"/>
      <c r="AD15" s="166"/>
      <c r="AE15" s="166"/>
      <c r="AG15" s="164" t="s">
        <v>96</v>
      </c>
      <c r="AH15" s="164"/>
      <c r="AI15" s="164"/>
      <c r="AJ15" s="164"/>
      <c r="AK15" s="221"/>
      <c r="AL15" s="164"/>
      <c r="AM15" s="164"/>
      <c r="AN15" s="164"/>
      <c r="AO15" s="221"/>
      <c r="AP15" s="164"/>
      <c r="AQ15" s="164"/>
      <c r="AR15" s="164"/>
      <c r="AS15" s="221"/>
      <c r="AT15" s="164"/>
      <c r="AU15" s="164"/>
      <c r="AV15" s="164"/>
      <c r="AW15" s="221"/>
      <c r="AX15" s="209">
        <f t="shared" si="1"/>
        <v>0</v>
      </c>
      <c r="AY15" s="171">
        <f t="shared" si="3"/>
        <v>0</v>
      </c>
      <c r="AZ15" s="166"/>
      <c r="BA15" s="166"/>
      <c r="BB15" s="166"/>
      <c r="BC15" s="166"/>
      <c r="BD15" s="166"/>
      <c r="BE15" s="166"/>
      <c r="BF15" s="166"/>
      <c r="BG15" s="166"/>
      <c r="BH15" s="166"/>
      <c r="BI15" s="166"/>
      <c r="BJ15" s="166"/>
      <c r="BK15" s="166"/>
    </row>
    <row r="16" spans="1:63" ht="15">
      <c r="A16" s="164" t="s">
        <v>97</v>
      </c>
      <c r="B16" s="164"/>
      <c r="C16" s="164"/>
      <c r="D16" s="164"/>
      <c r="E16" s="221"/>
      <c r="F16" s="164"/>
      <c r="G16" s="164"/>
      <c r="H16" s="164"/>
      <c r="I16" s="221"/>
      <c r="J16" s="164"/>
      <c r="K16" s="164"/>
      <c r="L16" s="164"/>
      <c r="M16" s="221"/>
      <c r="N16" s="164"/>
      <c r="O16" s="164"/>
      <c r="P16" s="164"/>
      <c r="Q16" s="221"/>
      <c r="R16" s="209">
        <f t="shared" si="0"/>
        <v>0</v>
      </c>
      <c r="S16" s="171">
        <f t="shared" si="2"/>
        <v>0</v>
      </c>
      <c r="T16" s="207"/>
      <c r="U16" s="207"/>
      <c r="V16" s="207"/>
      <c r="W16" s="207"/>
      <c r="X16" s="207"/>
      <c r="Y16" s="208"/>
      <c r="Z16" s="166"/>
      <c r="AA16" s="166"/>
      <c r="AB16" s="166"/>
      <c r="AC16" s="166"/>
      <c r="AD16" s="166"/>
      <c r="AE16" s="166"/>
      <c r="AG16" s="164" t="s">
        <v>97</v>
      </c>
      <c r="AH16" s="164"/>
      <c r="AI16" s="164"/>
      <c r="AJ16" s="164"/>
      <c r="AK16" s="221"/>
      <c r="AL16" s="164"/>
      <c r="AM16" s="164"/>
      <c r="AN16" s="164"/>
      <c r="AO16" s="221"/>
      <c r="AP16" s="164"/>
      <c r="AQ16" s="164"/>
      <c r="AR16" s="164"/>
      <c r="AS16" s="221"/>
      <c r="AT16" s="164"/>
      <c r="AU16" s="164"/>
      <c r="AV16" s="164"/>
      <c r="AW16" s="221"/>
      <c r="AX16" s="209">
        <f t="shared" si="1"/>
        <v>0</v>
      </c>
      <c r="AY16" s="171">
        <f t="shared" si="3"/>
        <v>0</v>
      </c>
      <c r="AZ16" s="166"/>
      <c r="BA16" s="166"/>
      <c r="BB16" s="166"/>
      <c r="BC16" s="166"/>
      <c r="BD16" s="166"/>
      <c r="BE16" s="166"/>
      <c r="BF16" s="166"/>
      <c r="BG16" s="166"/>
      <c r="BH16" s="166"/>
      <c r="BI16" s="166"/>
      <c r="BJ16" s="166"/>
      <c r="BK16" s="166"/>
    </row>
    <row r="17" spans="1:63" ht="15">
      <c r="A17" s="164" t="s">
        <v>98</v>
      </c>
      <c r="B17" s="164"/>
      <c r="C17" s="164"/>
      <c r="D17" s="164"/>
      <c r="E17" s="221"/>
      <c r="F17" s="164"/>
      <c r="G17" s="164"/>
      <c r="H17" s="164"/>
      <c r="I17" s="221"/>
      <c r="J17" s="164"/>
      <c r="K17" s="164"/>
      <c r="L17" s="164"/>
      <c r="M17" s="221"/>
      <c r="N17" s="164"/>
      <c r="O17" s="164"/>
      <c r="P17" s="164"/>
      <c r="Q17" s="221"/>
      <c r="R17" s="209">
        <f t="shared" si="0"/>
        <v>0</v>
      </c>
      <c r="S17" s="171">
        <f t="shared" si="2"/>
        <v>0</v>
      </c>
      <c r="T17" s="207"/>
      <c r="U17" s="207"/>
      <c r="V17" s="207"/>
      <c r="W17" s="207"/>
      <c r="X17" s="207"/>
      <c r="Y17" s="208"/>
      <c r="Z17" s="166"/>
      <c r="AA17" s="166"/>
      <c r="AB17" s="166"/>
      <c r="AC17" s="166"/>
      <c r="AD17" s="166"/>
      <c r="AE17" s="166"/>
      <c r="AG17" s="164" t="s">
        <v>98</v>
      </c>
      <c r="AH17" s="164"/>
      <c r="AI17" s="164"/>
      <c r="AJ17" s="164"/>
      <c r="AK17" s="221"/>
      <c r="AL17" s="164"/>
      <c r="AM17" s="164"/>
      <c r="AN17" s="164"/>
      <c r="AO17" s="221"/>
      <c r="AP17" s="164"/>
      <c r="AQ17" s="164"/>
      <c r="AR17" s="164"/>
      <c r="AS17" s="221"/>
      <c r="AT17" s="164"/>
      <c r="AU17" s="164"/>
      <c r="AV17" s="164"/>
      <c r="AW17" s="221"/>
      <c r="AX17" s="209">
        <f t="shared" si="1"/>
        <v>0</v>
      </c>
      <c r="AY17" s="171">
        <f t="shared" si="3"/>
        <v>0</v>
      </c>
      <c r="AZ17" s="166"/>
      <c r="BA17" s="166"/>
      <c r="BB17" s="166"/>
      <c r="BC17" s="166"/>
      <c r="BD17" s="166"/>
      <c r="BE17" s="166"/>
      <c r="BF17" s="166"/>
      <c r="BG17" s="166"/>
      <c r="BH17" s="166"/>
      <c r="BI17" s="166"/>
      <c r="BJ17" s="166"/>
      <c r="BK17" s="166"/>
    </row>
    <row r="18" spans="1:63" ht="15">
      <c r="A18" s="164" t="s">
        <v>99</v>
      </c>
      <c r="B18" s="164"/>
      <c r="C18" s="164"/>
      <c r="D18" s="164"/>
      <c r="E18" s="221"/>
      <c r="F18" s="164"/>
      <c r="G18" s="164"/>
      <c r="H18" s="164"/>
      <c r="I18" s="221"/>
      <c r="J18" s="164"/>
      <c r="K18" s="164"/>
      <c r="L18" s="164"/>
      <c r="M18" s="221"/>
      <c r="N18" s="164"/>
      <c r="O18" s="164"/>
      <c r="P18" s="164"/>
      <c r="Q18" s="221"/>
      <c r="R18" s="209">
        <f t="shared" si="0"/>
        <v>0</v>
      </c>
      <c r="S18" s="171">
        <f t="shared" si="2"/>
        <v>0</v>
      </c>
      <c r="T18" s="207"/>
      <c r="U18" s="207"/>
      <c r="V18" s="207"/>
      <c r="W18" s="207"/>
      <c r="X18" s="207"/>
      <c r="Y18" s="208"/>
      <c r="Z18" s="166"/>
      <c r="AA18" s="166"/>
      <c r="AB18" s="166"/>
      <c r="AC18" s="166"/>
      <c r="AD18" s="166"/>
      <c r="AE18" s="166"/>
      <c r="AG18" s="164" t="s">
        <v>99</v>
      </c>
      <c r="AH18" s="164"/>
      <c r="AI18" s="164"/>
      <c r="AJ18" s="164"/>
      <c r="AK18" s="221"/>
      <c r="AL18" s="164"/>
      <c r="AM18" s="164"/>
      <c r="AN18" s="164"/>
      <c r="AO18" s="221"/>
      <c r="AP18" s="164"/>
      <c r="AQ18" s="164"/>
      <c r="AR18" s="164"/>
      <c r="AS18" s="221"/>
      <c r="AT18" s="164"/>
      <c r="AU18" s="164"/>
      <c r="AV18" s="164"/>
      <c r="AW18" s="221"/>
      <c r="AX18" s="209">
        <f t="shared" si="1"/>
        <v>0</v>
      </c>
      <c r="AY18" s="171">
        <f t="shared" si="3"/>
        <v>0</v>
      </c>
      <c r="AZ18" s="166"/>
      <c r="BA18" s="166"/>
      <c r="BB18" s="166"/>
      <c r="BC18" s="166"/>
      <c r="BD18" s="166"/>
      <c r="BE18" s="166"/>
      <c r="BF18" s="166"/>
      <c r="BG18" s="166"/>
      <c r="BH18" s="166"/>
      <c r="BI18" s="166"/>
      <c r="BJ18" s="166"/>
      <c r="BK18" s="166"/>
    </row>
    <row r="19" spans="1:63" ht="15">
      <c r="A19" s="164" t="s">
        <v>100</v>
      </c>
      <c r="B19" s="164"/>
      <c r="C19" s="164"/>
      <c r="D19" s="164"/>
      <c r="E19" s="221"/>
      <c r="F19" s="164"/>
      <c r="G19" s="164"/>
      <c r="H19" s="164"/>
      <c r="I19" s="221"/>
      <c r="J19" s="164"/>
      <c r="K19" s="164"/>
      <c r="L19" s="164"/>
      <c r="M19" s="221"/>
      <c r="N19" s="164"/>
      <c r="O19" s="164"/>
      <c r="P19" s="164"/>
      <c r="Q19" s="221"/>
      <c r="R19" s="209">
        <f t="shared" si="0"/>
        <v>0</v>
      </c>
      <c r="S19" s="171">
        <f t="shared" si="2"/>
        <v>0</v>
      </c>
      <c r="T19" s="207"/>
      <c r="U19" s="207"/>
      <c r="V19" s="207"/>
      <c r="W19" s="207"/>
      <c r="X19" s="207"/>
      <c r="Y19" s="208"/>
      <c r="Z19" s="166"/>
      <c r="AA19" s="166"/>
      <c r="AB19" s="166"/>
      <c r="AC19" s="166"/>
      <c r="AD19" s="166"/>
      <c r="AE19" s="166"/>
      <c r="AG19" s="164" t="s">
        <v>100</v>
      </c>
      <c r="AH19" s="164"/>
      <c r="AI19" s="164"/>
      <c r="AJ19" s="164"/>
      <c r="AK19" s="221"/>
      <c r="AL19" s="164"/>
      <c r="AM19" s="164"/>
      <c r="AN19" s="164"/>
      <c r="AO19" s="221"/>
      <c r="AP19" s="164"/>
      <c r="AQ19" s="164"/>
      <c r="AR19" s="164"/>
      <c r="AS19" s="221"/>
      <c r="AT19" s="164"/>
      <c r="AU19" s="164"/>
      <c r="AV19" s="164"/>
      <c r="AW19" s="221"/>
      <c r="AX19" s="209">
        <f t="shared" si="1"/>
        <v>0</v>
      </c>
      <c r="AY19" s="171">
        <f t="shared" si="3"/>
        <v>0</v>
      </c>
      <c r="AZ19" s="166"/>
      <c r="BA19" s="208"/>
      <c r="BB19" s="166"/>
      <c r="BC19" s="166"/>
      <c r="BD19" s="166"/>
      <c r="BE19" s="166"/>
      <c r="BF19" s="166"/>
      <c r="BG19" s="166"/>
      <c r="BH19" s="166"/>
      <c r="BI19" s="164"/>
      <c r="BJ19" s="164"/>
      <c r="BK19" s="164"/>
    </row>
    <row r="20" spans="1:63" ht="15">
      <c r="A20" s="164" t="s">
        <v>101</v>
      </c>
      <c r="B20" s="164"/>
      <c r="C20" s="164"/>
      <c r="D20" s="164"/>
      <c r="E20" s="221"/>
      <c r="F20" s="164"/>
      <c r="G20" s="164"/>
      <c r="H20" s="164"/>
      <c r="I20" s="221"/>
      <c r="J20" s="164"/>
      <c r="K20" s="164"/>
      <c r="L20" s="164"/>
      <c r="M20" s="221"/>
      <c r="N20" s="164"/>
      <c r="O20" s="164"/>
      <c r="P20" s="164"/>
      <c r="Q20" s="221"/>
      <c r="R20" s="209">
        <f t="shared" si="0"/>
        <v>0</v>
      </c>
      <c r="S20" s="171">
        <f t="shared" si="2"/>
        <v>0</v>
      </c>
      <c r="T20" s="207"/>
      <c r="U20" s="207"/>
      <c r="V20" s="207"/>
      <c r="W20" s="207"/>
      <c r="X20" s="207"/>
      <c r="Y20" s="208"/>
      <c r="Z20" s="166"/>
      <c r="AA20" s="166"/>
      <c r="AB20" s="166"/>
      <c r="AC20" s="166"/>
      <c r="AD20" s="166"/>
      <c r="AE20" s="166"/>
      <c r="AG20" s="164" t="s">
        <v>101</v>
      </c>
      <c r="AH20" s="164"/>
      <c r="AI20" s="164"/>
      <c r="AJ20" s="164"/>
      <c r="AK20" s="221"/>
      <c r="AL20" s="164"/>
      <c r="AM20" s="164"/>
      <c r="AN20" s="164"/>
      <c r="AO20" s="221"/>
      <c r="AP20" s="164"/>
      <c r="AQ20" s="164"/>
      <c r="AR20" s="164"/>
      <c r="AS20" s="221"/>
      <c r="AT20" s="164"/>
      <c r="AU20" s="164"/>
      <c r="AV20" s="164"/>
      <c r="AW20" s="221"/>
      <c r="AX20" s="209">
        <f t="shared" si="1"/>
        <v>0</v>
      </c>
      <c r="AY20" s="171">
        <f t="shared" si="3"/>
        <v>0</v>
      </c>
      <c r="AZ20" s="166"/>
      <c r="BA20" s="208"/>
      <c r="BB20" s="166"/>
      <c r="BC20" s="166"/>
      <c r="BD20" s="166"/>
      <c r="BE20" s="166"/>
      <c r="BF20" s="166"/>
      <c r="BG20" s="166"/>
      <c r="BH20" s="166"/>
      <c r="BI20" s="164"/>
      <c r="BJ20" s="164"/>
      <c r="BK20" s="164"/>
    </row>
    <row r="21" spans="1:63" ht="15">
      <c r="A21" s="164" t="s">
        <v>102</v>
      </c>
      <c r="B21" s="164"/>
      <c r="C21" s="164"/>
      <c r="D21" s="164"/>
      <c r="E21" s="221"/>
      <c r="F21" s="164"/>
      <c r="G21" s="164"/>
      <c r="H21" s="164"/>
      <c r="I21" s="221"/>
      <c r="J21" s="164"/>
      <c r="K21" s="164"/>
      <c r="L21" s="164"/>
      <c r="M21" s="221"/>
      <c r="N21" s="164"/>
      <c r="O21" s="164"/>
      <c r="P21" s="164"/>
      <c r="Q21" s="221"/>
      <c r="R21" s="209">
        <f t="shared" si="0"/>
        <v>0</v>
      </c>
      <c r="S21" s="171">
        <f t="shared" si="2"/>
        <v>0</v>
      </c>
      <c r="T21" s="207"/>
      <c r="U21" s="207"/>
      <c r="V21" s="207"/>
      <c r="W21" s="207"/>
      <c r="X21" s="207"/>
      <c r="Y21" s="208"/>
      <c r="Z21" s="166"/>
      <c r="AA21" s="166"/>
      <c r="AB21" s="166"/>
      <c r="AC21" s="166"/>
      <c r="AD21" s="166"/>
      <c r="AE21" s="166"/>
      <c r="AG21" s="164" t="s">
        <v>102</v>
      </c>
      <c r="AH21" s="164"/>
      <c r="AI21" s="164"/>
      <c r="AJ21" s="164"/>
      <c r="AK21" s="221"/>
      <c r="AL21" s="164"/>
      <c r="AM21" s="164"/>
      <c r="AN21" s="164"/>
      <c r="AO21" s="221"/>
      <c r="AP21" s="164"/>
      <c r="AQ21" s="164"/>
      <c r="AR21" s="164"/>
      <c r="AS21" s="221"/>
      <c r="AT21" s="164"/>
      <c r="AU21" s="164"/>
      <c r="AV21" s="164"/>
      <c r="AW21" s="221"/>
      <c r="AX21" s="209">
        <f t="shared" si="1"/>
        <v>0</v>
      </c>
      <c r="AY21" s="171">
        <f t="shared" si="3"/>
        <v>0</v>
      </c>
      <c r="AZ21" s="166"/>
      <c r="BA21" s="208"/>
      <c r="BB21" s="166"/>
      <c r="BC21" s="166"/>
      <c r="BD21" s="166"/>
      <c r="BE21" s="166"/>
      <c r="BF21" s="166"/>
      <c r="BG21" s="166"/>
      <c r="BH21" s="166"/>
      <c r="BI21" s="164"/>
      <c r="BJ21" s="164"/>
      <c r="BK21" s="164"/>
    </row>
    <row r="22" spans="1:63" ht="15">
      <c r="A22" s="164" t="s">
        <v>103</v>
      </c>
      <c r="B22" s="164"/>
      <c r="C22" s="164"/>
      <c r="D22" s="164"/>
      <c r="E22" s="221"/>
      <c r="F22" s="164"/>
      <c r="G22" s="164"/>
      <c r="H22" s="164"/>
      <c r="I22" s="221"/>
      <c r="J22" s="164"/>
      <c r="K22" s="164"/>
      <c r="L22" s="164"/>
      <c r="M22" s="221"/>
      <c r="N22" s="164"/>
      <c r="O22" s="164"/>
      <c r="P22" s="164"/>
      <c r="Q22" s="221"/>
      <c r="R22" s="209">
        <f t="shared" si="0"/>
        <v>0</v>
      </c>
      <c r="S22" s="171">
        <f t="shared" si="2"/>
        <v>0</v>
      </c>
      <c r="T22" s="207"/>
      <c r="U22" s="207"/>
      <c r="V22" s="207"/>
      <c r="W22" s="207"/>
      <c r="X22" s="207"/>
      <c r="Y22" s="208"/>
      <c r="Z22" s="166"/>
      <c r="AA22" s="166"/>
      <c r="AB22" s="166"/>
      <c r="AC22" s="166"/>
      <c r="AD22" s="166"/>
      <c r="AE22" s="166"/>
      <c r="AG22" s="164" t="s">
        <v>103</v>
      </c>
      <c r="AH22" s="164"/>
      <c r="AI22" s="164"/>
      <c r="AJ22" s="164"/>
      <c r="AK22" s="221"/>
      <c r="AL22" s="164"/>
      <c r="AM22" s="164"/>
      <c r="AN22" s="164"/>
      <c r="AO22" s="221"/>
      <c r="AP22" s="164"/>
      <c r="AQ22" s="164"/>
      <c r="AR22" s="164"/>
      <c r="AS22" s="221"/>
      <c r="AT22" s="164"/>
      <c r="AU22" s="164"/>
      <c r="AV22" s="164"/>
      <c r="AW22" s="221"/>
      <c r="AX22" s="209">
        <f t="shared" si="1"/>
        <v>0</v>
      </c>
      <c r="AY22" s="171">
        <f t="shared" si="3"/>
        <v>0</v>
      </c>
      <c r="AZ22" s="166"/>
      <c r="BA22" s="166"/>
      <c r="BB22" s="166"/>
      <c r="BC22" s="166"/>
      <c r="BD22" s="166"/>
      <c r="BE22" s="166"/>
      <c r="BF22" s="166"/>
      <c r="BG22" s="166"/>
      <c r="BH22" s="166"/>
      <c r="BI22" s="166"/>
      <c r="BJ22" s="166"/>
      <c r="BK22" s="166"/>
    </row>
    <row r="23" spans="1:63" ht="15">
      <c r="A23" s="164" t="s">
        <v>104</v>
      </c>
      <c r="B23" s="164"/>
      <c r="C23" s="164"/>
      <c r="D23" s="164"/>
      <c r="E23" s="221"/>
      <c r="F23" s="164"/>
      <c r="G23" s="164"/>
      <c r="H23" s="164"/>
      <c r="I23" s="221"/>
      <c r="J23" s="164"/>
      <c r="K23" s="164"/>
      <c r="L23" s="164"/>
      <c r="M23" s="221"/>
      <c r="N23" s="164"/>
      <c r="O23" s="164"/>
      <c r="P23" s="164"/>
      <c r="Q23" s="221"/>
      <c r="R23" s="209">
        <f t="shared" si="0"/>
        <v>0</v>
      </c>
      <c r="S23" s="171">
        <f t="shared" si="2"/>
        <v>0</v>
      </c>
      <c r="T23" s="207"/>
      <c r="U23" s="207"/>
      <c r="V23" s="207"/>
      <c r="W23" s="207"/>
      <c r="X23" s="207"/>
      <c r="Y23" s="208"/>
      <c r="Z23" s="166"/>
      <c r="AA23" s="166"/>
      <c r="AB23" s="166"/>
      <c r="AC23" s="166"/>
      <c r="AD23" s="166"/>
      <c r="AE23" s="166"/>
      <c r="AG23" s="164" t="s">
        <v>104</v>
      </c>
      <c r="AH23" s="164"/>
      <c r="AI23" s="164"/>
      <c r="AJ23" s="164"/>
      <c r="AK23" s="221"/>
      <c r="AL23" s="164"/>
      <c r="AM23" s="164"/>
      <c r="AN23" s="164"/>
      <c r="AO23" s="221"/>
      <c r="AP23" s="164"/>
      <c r="AQ23" s="164"/>
      <c r="AR23" s="164"/>
      <c r="AS23" s="221"/>
      <c r="AT23" s="164"/>
      <c r="AU23" s="164"/>
      <c r="AV23" s="164"/>
      <c r="AW23" s="221"/>
      <c r="AX23" s="209">
        <f t="shared" si="1"/>
        <v>0</v>
      </c>
      <c r="AY23" s="171">
        <f t="shared" si="3"/>
        <v>0</v>
      </c>
      <c r="AZ23" s="166"/>
      <c r="BA23" s="166"/>
      <c r="BB23" s="166"/>
      <c r="BC23" s="166"/>
      <c r="BD23" s="166"/>
      <c r="BE23" s="166"/>
      <c r="BF23" s="166"/>
      <c r="BG23" s="166"/>
      <c r="BH23" s="166"/>
      <c r="BI23" s="166"/>
      <c r="BJ23" s="166"/>
      <c r="BK23" s="166"/>
    </row>
    <row r="24" spans="1:63" ht="15">
      <c r="A24" s="164" t="s">
        <v>105</v>
      </c>
      <c r="B24" s="164"/>
      <c r="C24" s="164"/>
      <c r="D24" s="164"/>
      <c r="E24" s="221"/>
      <c r="F24" s="164"/>
      <c r="G24" s="164"/>
      <c r="H24" s="164"/>
      <c r="I24" s="221"/>
      <c r="J24" s="164"/>
      <c r="K24" s="164"/>
      <c r="L24" s="164"/>
      <c r="M24" s="221"/>
      <c r="N24" s="164"/>
      <c r="O24" s="164"/>
      <c r="P24" s="164"/>
      <c r="Q24" s="221"/>
      <c r="R24" s="209">
        <f t="shared" si="0"/>
        <v>0</v>
      </c>
      <c r="S24" s="171">
        <f t="shared" si="2"/>
        <v>0</v>
      </c>
      <c r="T24" s="207"/>
      <c r="U24" s="207"/>
      <c r="V24" s="207"/>
      <c r="W24" s="207"/>
      <c r="X24" s="207"/>
      <c r="Y24" s="208"/>
      <c r="Z24" s="166"/>
      <c r="AA24" s="166"/>
      <c r="AB24" s="166"/>
      <c r="AC24" s="166"/>
      <c r="AD24" s="166"/>
      <c r="AE24" s="166"/>
      <c r="AG24" s="164" t="s">
        <v>105</v>
      </c>
      <c r="AH24" s="164"/>
      <c r="AI24" s="164"/>
      <c r="AJ24" s="164"/>
      <c r="AK24" s="221"/>
      <c r="AL24" s="164"/>
      <c r="AM24" s="164"/>
      <c r="AN24" s="164"/>
      <c r="AO24" s="221"/>
      <c r="AP24" s="164"/>
      <c r="AQ24" s="164"/>
      <c r="AR24" s="164"/>
      <c r="AS24" s="221"/>
      <c r="AT24" s="164"/>
      <c r="AU24" s="164"/>
      <c r="AV24" s="164"/>
      <c r="AW24" s="221"/>
      <c r="AX24" s="209">
        <f t="shared" si="1"/>
        <v>0</v>
      </c>
      <c r="AY24" s="171">
        <f t="shared" si="3"/>
        <v>0</v>
      </c>
      <c r="AZ24" s="166"/>
      <c r="BA24" s="166"/>
      <c r="BB24" s="166"/>
      <c r="BC24" s="166"/>
      <c r="BD24" s="166"/>
      <c r="BE24" s="166"/>
      <c r="BF24" s="166"/>
      <c r="BG24" s="166"/>
      <c r="BH24" s="166"/>
      <c r="BI24" s="166"/>
      <c r="BJ24" s="166"/>
      <c r="BK24" s="166"/>
    </row>
    <row r="25" spans="1:63" ht="15">
      <c r="A25" s="164" t="s">
        <v>106</v>
      </c>
      <c r="B25" s="164"/>
      <c r="C25" s="164"/>
      <c r="D25" s="164"/>
      <c r="E25" s="221"/>
      <c r="F25" s="164"/>
      <c r="G25" s="164"/>
      <c r="H25" s="164"/>
      <c r="I25" s="221"/>
      <c r="J25" s="164"/>
      <c r="K25" s="164"/>
      <c r="L25" s="164"/>
      <c r="M25" s="221"/>
      <c r="N25" s="164"/>
      <c r="O25" s="164"/>
      <c r="P25" s="164"/>
      <c r="Q25" s="221"/>
      <c r="R25" s="209">
        <f t="shared" si="0"/>
        <v>0</v>
      </c>
      <c r="S25" s="171">
        <f t="shared" si="2"/>
        <v>0</v>
      </c>
      <c r="T25" s="207"/>
      <c r="U25" s="207"/>
      <c r="V25" s="207"/>
      <c r="W25" s="207"/>
      <c r="X25" s="207"/>
      <c r="Y25" s="208"/>
      <c r="Z25" s="166"/>
      <c r="AA25" s="166"/>
      <c r="AB25" s="166"/>
      <c r="AC25" s="166"/>
      <c r="AD25" s="166"/>
      <c r="AE25" s="166"/>
      <c r="AG25" s="164" t="s">
        <v>106</v>
      </c>
      <c r="AH25" s="164"/>
      <c r="AI25" s="164"/>
      <c r="AJ25" s="164"/>
      <c r="AK25" s="221"/>
      <c r="AL25" s="164"/>
      <c r="AM25" s="164"/>
      <c r="AN25" s="164"/>
      <c r="AO25" s="221"/>
      <c r="AP25" s="164"/>
      <c r="AQ25" s="164"/>
      <c r="AR25" s="164"/>
      <c r="AS25" s="221"/>
      <c r="AT25" s="164"/>
      <c r="AU25" s="164"/>
      <c r="AV25" s="164"/>
      <c r="AW25" s="221"/>
      <c r="AX25" s="209">
        <f t="shared" si="1"/>
        <v>0</v>
      </c>
      <c r="AY25" s="171">
        <f t="shared" si="3"/>
        <v>0</v>
      </c>
      <c r="AZ25" s="166"/>
      <c r="BA25" s="166"/>
      <c r="BB25" s="166"/>
      <c r="BC25" s="166"/>
      <c r="BD25" s="166"/>
      <c r="BE25" s="166"/>
      <c r="BF25" s="166"/>
      <c r="BG25" s="166"/>
      <c r="BH25" s="166"/>
      <c r="BI25" s="166"/>
      <c r="BJ25" s="166"/>
      <c r="BK25" s="166"/>
    </row>
    <row r="26" spans="1:63" ht="15">
      <c r="A26" s="164" t="s">
        <v>107</v>
      </c>
      <c r="B26" s="164"/>
      <c r="C26" s="164"/>
      <c r="D26" s="164"/>
      <c r="E26" s="221"/>
      <c r="F26" s="164"/>
      <c r="G26" s="164"/>
      <c r="H26" s="164"/>
      <c r="I26" s="221"/>
      <c r="J26" s="164"/>
      <c r="K26" s="164"/>
      <c r="L26" s="164"/>
      <c r="M26" s="221"/>
      <c r="N26" s="164"/>
      <c r="O26" s="164"/>
      <c r="P26" s="164"/>
      <c r="Q26" s="221"/>
      <c r="R26" s="209">
        <f t="shared" si="0"/>
        <v>0</v>
      </c>
      <c r="S26" s="171">
        <f t="shared" si="2"/>
        <v>0</v>
      </c>
      <c r="T26" s="207"/>
      <c r="U26" s="207"/>
      <c r="V26" s="207"/>
      <c r="W26" s="207"/>
      <c r="X26" s="207"/>
      <c r="Y26" s="208"/>
      <c r="Z26" s="166"/>
      <c r="AA26" s="166"/>
      <c r="AB26" s="166"/>
      <c r="AC26" s="166"/>
      <c r="AD26" s="166"/>
      <c r="AE26" s="166"/>
      <c r="AG26" s="164" t="s">
        <v>107</v>
      </c>
      <c r="AH26" s="164"/>
      <c r="AI26" s="164"/>
      <c r="AJ26" s="164"/>
      <c r="AK26" s="221"/>
      <c r="AL26" s="164"/>
      <c r="AM26" s="164"/>
      <c r="AN26" s="164"/>
      <c r="AO26" s="221"/>
      <c r="AP26" s="164"/>
      <c r="AQ26" s="164"/>
      <c r="AR26" s="164"/>
      <c r="AS26" s="221"/>
      <c r="AT26" s="164"/>
      <c r="AU26" s="164"/>
      <c r="AV26" s="164"/>
      <c r="AW26" s="221"/>
      <c r="AX26" s="209">
        <f t="shared" si="1"/>
        <v>0</v>
      </c>
      <c r="AY26" s="171">
        <f t="shared" si="3"/>
        <v>0</v>
      </c>
      <c r="AZ26" s="166"/>
      <c r="BA26" s="166"/>
      <c r="BB26" s="166"/>
      <c r="BC26" s="166"/>
      <c r="BD26" s="166"/>
      <c r="BE26" s="166"/>
      <c r="BF26" s="166"/>
      <c r="BG26" s="166"/>
      <c r="BH26" s="166"/>
      <c r="BI26" s="166"/>
      <c r="BJ26" s="166"/>
      <c r="BK26" s="166"/>
    </row>
    <row r="27" spans="1:63" ht="15">
      <c r="A27" s="164" t="s">
        <v>108</v>
      </c>
      <c r="B27" s="164"/>
      <c r="C27" s="164"/>
      <c r="D27" s="164"/>
      <c r="E27" s="221"/>
      <c r="F27" s="164"/>
      <c r="G27" s="164"/>
      <c r="H27" s="164"/>
      <c r="I27" s="221"/>
      <c r="J27" s="164"/>
      <c r="K27" s="164"/>
      <c r="L27" s="164"/>
      <c r="M27" s="221"/>
      <c r="N27" s="164"/>
      <c r="O27" s="164"/>
      <c r="P27" s="164"/>
      <c r="Q27" s="221"/>
      <c r="R27" s="209">
        <f t="shared" si="0"/>
        <v>0</v>
      </c>
      <c r="S27" s="171">
        <f t="shared" si="2"/>
        <v>0</v>
      </c>
      <c r="T27" s="207"/>
      <c r="U27" s="207"/>
      <c r="V27" s="207"/>
      <c r="W27" s="207"/>
      <c r="X27" s="207"/>
      <c r="Y27" s="208"/>
      <c r="Z27" s="166"/>
      <c r="AA27" s="166"/>
      <c r="AB27" s="166"/>
      <c r="AC27" s="166"/>
      <c r="AD27" s="166"/>
      <c r="AE27" s="166"/>
      <c r="AG27" s="164" t="s">
        <v>108</v>
      </c>
      <c r="AH27" s="164"/>
      <c r="AI27" s="164"/>
      <c r="AJ27" s="164"/>
      <c r="AK27" s="221"/>
      <c r="AL27" s="164"/>
      <c r="AM27" s="164"/>
      <c r="AN27" s="164"/>
      <c r="AO27" s="221"/>
      <c r="AP27" s="164"/>
      <c r="AQ27" s="164"/>
      <c r="AR27" s="164"/>
      <c r="AS27" s="221"/>
      <c r="AT27" s="164"/>
      <c r="AU27" s="164"/>
      <c r="AV27" s="164"/>
      <c r="AW27" s="221"/>
      <c r="AX27" s="209">
        <f t="shared" si="1"/>
        <v>0</v>
      </c>
      <c r="AY27" s="171">
        <f t="shared" si="3"/>
        <v>0</v>
      </c>
      <c r="AZ27" s="166"/>
      <c r="BA27" s="166"/>
      <c r="BB27" s="166"/>
      <c r="BC27" s="166"/>
      <c r="BD27" s="166"/>
      <c r="BE27" s="166"/>
      <c r="BF27" s="166"/>
      <c r="BG27" s="166"/>
      <c r="BH27" s="166"/>
      <c r="BI27" s="166"/>
      <c r="BJ27" s="166"/>
      <c r="BK27" s="166"/>
    </row>
    <row r="28" spans="1:63" ht="15">
      <c r="A28" s="164" t="s">
        <v>109</v>
      </c>
      <c r="B28" s="164"/>
      <c r="C28" s="164"/>
      <c r="D28" s="164"/>
      <c r="E28" s="221"/>
      <c r="F28" s="164"/>
      <c r="G28" s="164"/>
      <c r="H28" s="164"/>
      <c r="I28" s="221"/>
      <c r="J28" s="164"/>
      <c r="K28" s="164"/>
      <c r="L28" s="164"/>
      <c r="M28" s="221"/>
      <c r="N28" s="164"/>
      <c r="O28" s="164"/>
      <c r="P28" s="164"/>
      <c r="Q28" s="221"/>
      <c r="R28" s="209">
        <f t="shared" si="0"/>
        <v>0</v>
      </c>
      <c r="S28" s="171">
        <f t="shared" si="2"/>
        <v>0</v>
      </c>
      <c r="T28" s="207"/>
      <c r="U28" s="207"/>
      <c r="V28" s="207"/>
      <c r="W28" s="207"/>
      <c r="X28" s="207"/>
      <c r="Y28" s="208"/>
      <c r="Z28" s="166"/>
      <c r="AA28" s="166"/>
      <c r="AB28" s="166"/>
      <c r="AC28" s="166"/>
      <c r="AD28" s="166"/>
      <c r="AE28" s="166"/>
      <c r="AG28" s="164" t="s">
        <v>109</v>
      </c>
      <c r="AH28" s="164"/>
      <c r="AI28" s="164"/>
      <c r="AJ28" s="164"/>
      <c r="AK28" s="221"/>
      <c r="AL28" s="164"/>
      <c r="AM28" s="164"/>
      <c r="AN28" s="164"/>
      <c r="AO28" s="221"/>
      <c r="AP28" s="164"/>
      <c r="AQ28" s="164"/>
      <c r="AR28" s="164"/>
      <c r="AS28" s="221"/>
      <c r="AT28" s="164"/>
      <c r="AU28" s="164"/>
      <c r="AV28" s="164"/>
      <c r="AW28" s="221"/>
      <c r="AX28" s="209">
        <f t="shared" si="1"/>
        <v>0</v>
      </c>
      <c r="AY28" s="171">
        <f t="shared" si="3"/>
        <v>0</v>
      </c>
      <c r="AZ28" s="166"/>
      <c r="BA28" s="166"/>
      <c r="BB28" s="166"/>
      <c r="BC28" s="166"/>
      <c r="BD28" s="166"/>
      <c r="BE28" s="166"/>
      <c r="BF28" s="166"/>
      <c r="BG28" s="166"/>
      <c r="BH28" s="166"/>
      <c r="BI28" s="166"/>
      <c r="BJ28" s="166"/>
      <c r="BK28" s="166"/>
    </row>
    <row r="29" spans="1:63" ht="15">
      <c r="A29" s="164" t="s">
        <v>110</v>
      </c>
      <c r="B29" s="164"/>
      <c r="C29" s="164"/>
      <c r="D29" s="164"/>
      <c r="E29" s="221"/>
      <c r="F29" s="164"/>
      <c r="G29" s="164"/>
      <c r="H29" s="164"/>
      <c r="I29" s="221"/>
      <c r="J29" s="164"/>
      <c r="K29" s="164"/>
      <c r="L29" s="164"/>
      <c r="M29" s="221"/>
      <c r="N29" s="164"/>
      <c r="O29" s="164"/>
      <c r="P29" s="164"/>
      <c r="Q29" s="221"/>
      <c r="R29" s="209">
        <f t="shared" si="0"/>
        <v>0</v>
      </c>
      <c r="S29" s="171">
        <f t="shared" si="2"/>
        <v>0</v>
      </c>
      <c r="T29" s="207"/>
      <c r="U29" s="207"/>
      <c r="V29" s="207"/>
      <c r="W29" s="207"/>
      <c r="X29" s="207"/>
      <c r="Y29" s="208"/>
      <c r="Z29" s="166"/>
      <c r="AA29" s="166"/>
      <c r="AB29" s="166"/>
      <c r="AC29" s="166"/>
      <c r="AD29" s="166"/>
      <c r="AE29" s="166"/>
      <c r="AG29" s="164" t="s">
        <v>110</v>
      </c>
      <c r="AH29" s="164"/>
      <c r="AI29" s="164"/>
      <c r="AJ29" s="164"/>
      <c r="AK29" s="221"/>
      <c r="AL29" s="164"/>
      <c r="AM29" s="164"/>
      <c r="AN29" s="164"/>
      <c r="AO29" s="221"/>
      <c r="AP29" s="164"/>
      <c r="AQ29" s="164"/>
      <c r="AR29" s="164"/>
      <c r="AS29" s="221"/>
      <c r="AT29" s="164"/>
      <c r="AU29" s="164"/>
      <c r="AV29" s="164"/>
      <c r="AW29" s="221"/>
      <c r="AX29" s="209">
        <f t="shared" si="1"/>
        <v>0</v>
      </c>
      <c r="AY29" s="171">
        <f t="shared" si="3"/>
        <v>0</v>
      </c>
      <c r="AZ29" s="166"/>
      <c r="BA29" s="166"/>
      <c r="BB29" s="166"/>
      <c r="BC29" s="166"/>
      <c r="BD29" s="166"/>
      <c r="BE29" s="166"/>
      <c r="BF29" s="166"/>
      <c r="BG29" s="166"/>
      <c r="BH29" s="166"/>
      <c r="BI29" s="166"/>
      <c r="BJ29" s="166"/>
      <c r="BK29" s="166"/>
    </row>
    <row r="30" spans="1:63" ht="15">
      <c r="A30" s="164" t="s">
        <v>111</v>
      </c>
      <c r="B30" s="164"/>
      <c r="C30" s="164"/>
      <c r="D30" s="164"/>
      <c r="E30" s="221"/>
      <c r="F30" s="164"/>
      <c r="G30" s="164"/>
      <c r="H30" s="164"/>
      <c r="I30" s="221"/>
      <c r="J30" s="164"/>
      <c r="K30" s="164"/>
      <c r="L30" s="164"/>
      <c r="M30" s="221"/>
      <c r="N30" s="164"/>
      <c r="O30" s="164"/>
      <c r="P30" s="164"/>
      <c r="Q30" s="221"/>
      <c r="R30" s="209">
        <f t="shared" si="0"/>
        <v>0</v>
      </c>
      <c r="S30" s="171">
        <f t="shared" si="2"/>
        <v>0</v>
      </c>
      <c r="T30" s="207"/>
      <c r="U30" s="207"/>
      <c r="V30" s="207"/>
      <c r="W30" s="207"/>
      <c r="X30" s="207"/>
      <c r="Y30" s="208"/>
      <c r="Z30" s="166"/>
      <c r="AA30" s="166"/>
      <c r="AB30" s="166"/>
      <c r="AC30" s="166"/>
      <c r="AD30" s="166"/>
      <c r="AE30" s="166"/>
      <c r="AG30" s="164" t="s">
        <v>111</v>
      </c>
      <c r="AH30" s="164"/>
      <c r="AI30" s="164"/>
      <c r="AJ30" s="164"/>
      <c r="AK30" s="221"/>
      <c r="AL30" s="164"/>
      <c r="AM30" s="164"/>
      <c r="AN30" s="164"/>
      <c r="AO30" s="221"/>
      <c r="AP30" s="164"/>
      <c r="AQ30" s="164"/>
      <c r="AR30" s="164"/>
      <c r="AS30" s="221"/>
      <c r="AT30" s="164"/>
      <c r="AU30" s="164"/>
      <c r="AV30" s="164"/>
      <c r="AW30" s="221"/>
      <c r="AX30" s="209">
        <f t="shared" si="1"/>
        <v>0</v>
      </c>
      <c r="AY30" s="171">
        <f t="shared" si="3"/>
        <v>0</v>
      </c>
      <c r="AZ30" s="166"/>
      <c r="BA30" s="166"/>
      <c r="BB30" s="166"/>
      <c r="BC30" s="166"/>
      <c r="BD30" s="166"/>
      <c r="BE30" s="166"/>
      <c r="BF30" s="166"/>
      <c r="BG30" s="166"/>
      <c r="BH30" s="166"/>
      <c r="BI30" s="166"/>
      <c r="BJ30" s="166"/>
      <c r="BK30" s="166"/>
    </row>
    <row r="31" spans="1:63" ht="15">
      <c r="A31" s="164" t="s">
        <v>112</v>
      </c>
      <c r="B31" s="164"/>
      <c r="C31" s="164"/>
      <c r="D31" s="164"/>
      <c r="E31" s="221"/>
      <c r="F31" s="164"/>
      <c r="G31" s="164"/>
      <c r="H31" s="164"/>
      <c r="I31" s="221"/>
      <c r="J31" s="164"/>
      <c r="K31" s="164"/>
      <c r="L31" s="164"/>
      <c r="M31" s="221"/>
      <c r="N31" s="164"/>
      <c r="O31" s="164"/>
      <c r="P31" s="164"/>
      <c r="Q31" s="221"/>
      <c r="R31" s="209">
        <f t="shared" si="0"/>
        <v>0</v>
      </c>
      <c r="S31" s="171">
        <f t="shared" si="2"/>
        <v>0</v>
      </c>
      <c r="T31" s="207"/>
      <c r="U31" s="207"/>
      <c r="V31" s="207"/>
      <c r="W31" s="207"/>
      <c r="X31" s="207"/>
      <c r="Y31" s="208"/>
      <c r="Z31" s="166"/>
      <c r="AA31" s="166"/>
      <c r="AB31" s="166"/>
      <c r="AC31" s="166"/>
      <c r="AD31" s="166"/>
      <c r="AE31" s="166"/>
      <c r="AG31" s="164" t="s">
        <v>112</v>
      </c>
      <c r="AH31" s="164"/>
      <c r="AI31" s="164"/>
      <c r="AJ31" s="164"/>
      <c r="AK31" s="221"/>
      <c r="AL31" s="164"/>
      <c r="AM31" s="164"/>
      <c r="AN31" s="164"/>
      <c r="AO31" s="221"/>
      <c r="AP31" s="164"/>
      <c r="AQ31" s="164"/>
      <c r="AR31" s="164"/>
      <c r="AS31" s="221"/>
      <c r="AT31" s="164"/>
      <c r="AU31" s="164"/>
      <c r="AV31" s="164"/>
      <c r="AW31" s="221"/>
      <c r="AX31" s="209">
        <f t="shared" si="1"/>
        <v>0</v>
      </c>
      <c r="AY31" s="171">
        <f t="shared" si="3"/>
        <v>0</v>
      </c>
      <c r="AZ31" s="166"/>
      <c r="BA31" s="166"/>
      <c r="BB31" s="166"/>
      <c r="BC31" s="166"/>
      <c r="BD31" s="166"/>
      <c r="BE31" s="166"/>
      <c r="BF31" s="166"/>
      <c r="BG31" s="166"/>
      <c r="BH31" s="166"/>
      <c r="BI31" s="166"/>
      <c r="BJ31" s="166"/>
      <c r="BK31" s="166"/>
    </row>
    <row r="32" spans="1:63" ht="15">
      <c r="A32" s="168" t="s">
        <v>113</v>
      </c>
      <c r="B32" s="165">
        <f>SUM(B11:B31)</f>
        <v>0</v>
      </c>
      <c r="C32" s="165">
        <f aca="true" t="shared" si="4" ref="C32:AE32">SUM(C11:C31)</f>
        <v>0</v>
      </c>
      <c r="D32" s="165">
        <f t="shared" si="4"/>
        <v>0</v>
      </c>
      <c r="E32" s="222">
        <f>SUM(E11:E31)</f>
        <v>0</v>
      </c>
      <c r="F32" s="165">
        <f t="shared" si="4"/>
        <v>0</v>
      </c>
      <c r="G32" s="165">
        <f t="shared" si="4"/>
        <v>0</v>
      </c>
      <c r="H32" s="165">
        <f t="shared" si="4"/>
        <v>0</v>
      </c>
      <c r="I32" s="222">
        <f>SUM(I11:I31)</f>
        <v>0</v>
      </c>
      <c r="J32" s="165">
        <f t="shared" si="4"/>
        <v>0</v>
      </c>
      <c r="K32" s="165">
        <f t="shared" si="4"/>
        <v>0</v>
      </c>
      <c r="L32" s="165">
        <f t="shared" si="4"/>
        <v>0</v>
      </c>
      <c r="M32" s="222">
        <f>SUM(M11:M31)</f>
        <v>0</v>
      </c>
      <c r="N32" s="165">
        <f t="shared" si="4"/>
        <v>0</v>
      </c>
      <c r="O32" s="165">
        <f t="shared" si="4"/>
        <v>0</v>
      </c>
      <c r="P32" s="165">
        <f t="shared" si="4"/>
        <v>0</v>
      </c>
      <c r="Q32" s="222">
        <f>SUM(Q11:Q31)</f>
        <v>0</v>
      </c>
      <c r="R32" s="165">
        <f t="shared" si="4"/>
        <v>0</v>
      </c>
      <c r="S32" s="171">
        <f t="shared" si="4"/>
        <v>0</v>
      </c>
      <c r="T32" s="165">
        <f t="shared" si="4"/>
        <v>0</v>
      </c>
      <c r="U32" s="165">
        <f t="shared" si="4"/>
        <v>0</v>
      </c>
      <c r="V32" s="165">
        <f t="shared" si="4"/>
        <v>0</v>
      </c>
      <c r="W32" s="165">
        <f t="shared" si="4"/>
        <v>0</v>
      </c>
      <c r="X32" s="165">
        <f t="shared" si="4"/>
        <v>0</v>
      </c>
      <c r="Y32" s="165">
        <f t="shared" si="4"/>
        <v>0</v>
      </c>
      <c r="Z32" s="165">
        <f t="shared" si="4"/>
        <v>0</v>
      </c>
      <c r="AA32" s="165">
        <f t="shared" si="4"/>
        <v>0</v>
      </c>
      <c r="AB32" s="165">
        <f t="shared" si="4"/>
        <v>0</v>
      </c>
      <c r="AC32" s="165">
        <f t="shared" si="4"/>
        <v>0</v>
      </c>
      <c r="AD32" s="165">
        <f t="shared" si="4"/>
        <v>0</v>
      </c>
      <c r="AE32" s="165">
        <f t="shared" si="4"/>
        <v>0</v>
      </c>
      <c r="AG32" s="168" t="s">
        <v>113</v>
      </c>
      <c r="AH32" s="165">
        <f aca="true" t="shared" si="5" ref="AH32:AW32">SUM(AH11:AH31)</f>
        <v>0</v>
      </c>
      <c r="AI32" s="165">
        <f t="shared" si="5"/>
        <v>0</v>
      </c>
      <c r="AJ32" s="165">
        <f t="shared" si="5"/>
        <v>0</v>
      </c>
      <c r="AK32" s="222">
        <f t="shared" si="5"/>
        <v>0</v>
      </c>
      <c r="AL32" s="165">
        <f t="shared" si="5"/>
        <v>0</v>
      </c>
      <c r="AM32" s="165">
        <f t="shared" si="5"/>
        <v>0</v>
      </c>
      <c r="AN32" s="165">
        <f t="shared" si="5"/>
        <v>0</v>
      </c>
      <c r="AO32" s="222">
        <f t="shared" si="5"/>
        <v>0</v>
      </c>
      <c r="AP32" s="165">
        <f t="shared" si="5"/>
        <v>0</v>
      </c>
      <c r="AQ32" s="165">
        <f t="shared" si="5"/>
        <v>0</v>
      </c>
      <c r="AR32" s="165">
        <f t="shared" si="5"/>
        <v>0</v>
      </c>
      <c r="AS32" s="222">
        <f t="shared" si="5"/>
        <v>0</v>
      </c>
      <c r="AT32" s="165">
        <f t="shared" si="5"/>
        <v>0</v>
      </c>
      <c r="AU32" s="165">
        <f t="shared" si="5"/>
        <v>0</v>
      </c>
      <c r="AV32" s="165">
        <f t="shared" si="5"/>
        <v>0</v>
      </c>
      <c r="AW32" s="222">
        <f t="shared" si="5"/>
        <v>0</v>
      </c>
      <c r="AX32" s="210">
        <f aca="true" t="shared" si="6" ref="AX32:BK32">SUM(AX11:AX31)</f>
        <v>0</v>
      </c>
      <c r="AY32" s="172">
        <f t="shared" si="6"/>
        <v>0</v>
      </c>
      <c r="AZ32" s="165">
        <f t="shared" si="6"/>
        <v>0</v>
      </c>
      <c r="BA32" s="165">
        <f t="shared" si="6"/>
        <v>0</v>
      </c>
      <c r="BB32" s="165">
        <f t="shared" si="6"/>
        <v>0</v>
      </c>
      <c r="BC32" s="165">
        <f t="shared" si="6"/>
        <v>0</v>
      </c>
      <c r="BD32" s="165">
        <f t="shared" si="6"/>
        <v>0</v>
      </c>
      <c r="BE32" s="165">
        <f t="shared" si="6"/>
        <v>0</v>
      </c>
      <c r="BF32" s="165">
        <f t="shared" si="6"/>
        <v>0</v>
      </c>
      <c r="BG32" s="165">
        <f t="shared" si="6"/>
        <v>0</v>
      </c>
      <c r="BH32" s="165">
        <f t="shared" si="6"/>
        <v>0</v>
      </c>
      <c r="BI32" s="165">
        <f t="shared" si="6"/>
        <v>0</v>
      </c>
      <c r="BJ32" s="165">
        <f t="shared" si="6"/>
        <v>0</v>
      </c>
      <c r="BK32" s="165">
        <f t="shared" si="6"/>
        <v>0</v>
      </c>
    </row>
    <row r="35" spans="1:63" ht="30" customHeight="1">
      <c r="A35" s="832" t="s">
        <v>90</v>
      </c>
      <c r="B35" s="213" t="s">
        <v>39</v>
      </c>
      <c r="C35" s="213" t="s">
        <v>40</v>
      </c>
      <c r="D35" s="834" t="s">
        <v>41</v>
      </c>
      <c r="E35" s="835"/>
      <c r="F35" s="213" t="s">
        <v>42</v>
      </c>
      <c r="G35" s="213" t="s">
        <v>43</v>
      </c>
      <c r="H35" s="834" t="s">
        <v>44</v>
      </c>
      <c r="I35" s="835"/>
      <c r="J35" s="213" t="s">
        <v>45</v>
      </c>
      <c r="K35" s="213" t="s">
        <v>46</v>
      </c>
      <c r="L35" s="834" t="s">
        <v>47</v>
      </c>
      <c r="M35" s="835"/>
      <c r="N35" s="213" t="s">
        <v>48</v>
      </c>
      <c r="O35" s="213" t="s">
        <v>49</v>
      </c>
      <c r="P35" s="834" t="s">
        <v>50</v>
      </c>
      <c r="Q35" s="835"/>
      <c r="R35" s="834" t="s">
        <v>91</v>
      </c>
      <c r="S35" s="835"/>
      <c r="T35" s="834" t="s">
        <v>289</v>
      </c>
      <c r="U35" s="837"/>
      <c r="V35" s="837"/>
      <c r="W35" s="837"/>
      <c r="X35" s="837"/>
      <c r="Y35" s="835"/>
      <c r="Z35" s="834" t="s">
        <v>288</v>
      </c>
      <c r="AA35" s="837"/>
      <c r="AB35" s="837"/>
      <c r="AC35" s="837"/>
      <c r="AD35" s="837"/>
      <c r="AE35" s="835"/>
      <c r="AG35" s="832" t="s">
        <v>90</v>
      </c>
      <c r="AH35" s="213" t="s">
        <v>39</v>
      </c>
      <c r="AI35" s="213" t="s">
        <v>40</v>
      </c>
      <c r="AJ35" s="834" t="s">
        <v>41</v>
      </c>
      <c r="AK35" s="835"/>
      <c r="AL35" s="213" t="s">
        <v>42</v>
      </c>
      <c r="AM35" s="213" t="s">
        <v>43</v>
      </c>
      <c r="AN35" s="834" t="s">
        <v>44</v>
      </c>
      <c r="AO35" s="835"/>
      <c r="AP35" s="213" t="s">
        <v>45</v>
      </c>
      <c r="AQ35" s="213" t="s">
        <v>46</v>
      </c>
      <c r="AR35" s="834" t="s">
        <v>47</v>
      </c>
      <c r="AS35" s="835"/>
      <c r="AT35" s="213" t="s">
        <v>48</v>
      </c>
      <c r="AU35" s="213" t="s">
        <v>49</v>
      </c>
      <c r="AV35" s="834" t="s">
        <v>50</v>
      </c>
      <c r="AW35" s="835"/>
      <c r="AX35" s="834" t="s">
        <v>91</v>
      </c>
      <c r="AY35" s="835"/>
      <c r="AZ35" s="834" t="s">
        <v>289</v>
      </c>
      <c r="BA35" s="837"/>
      <c r="BB35" s="837"/>
      <c r="BC35" s="837"/>
      <c r="BD35" s="837"/>
      <c r="BE35" s="835"/>
      <c r="BF35" s="834" t="s">
        <v>288</v>
      </c>
      <c r="BG35" s="837"/>
      <c r="BH35" s="837"/>
      <c r="BI35" s="837"/>
      <c r="BJ35" s="837"/>
      <c r="BK35" s="835"/>
    </row>
    <row r="36" spans="1:63" ht="36" customHeight="1">
      <c r="A36" s="833"/>
      <c r="B36" s="214" t="s">
        <v>372</v>
      </c>
      <c r="C36" s="214" t="s">
        <v>372</v>
      </c>
      <c r="D36" s="214" t="s">
        <v>372</v>
      </c>
      <c r="E36" s="214" t="s">
        <v>373</v>
      </c>
      <c r="F36" s="214" t="s">
        <v>372</v>
      </c>
      <c r="G36" s="214" t="s">
        <v>372</v>
      </c>
      <c r="H36" s="214" t="s">
        <v>372</v>
      </c>
      <c r="I36" s="214" t="s">
        <v>373</v>
      </c>
      <c r="J36" s="214" t="s">
        <v>372</v>
      </c>
      <c r="K36" s="214" t="s">
        <v>372</v>
      </c>
      <c r="L36" s="214" t="s">
        <v>372</v>
      </c>
      <c r="M36" s="214" t="s">
        <v>373</v>
      </c>
      <c r="N36" s="214" t="s">
        <v>372</v>
      </c>
      <c r="O36" s="214" t="s">
        <v>372</v>
      </c>
      <c r="P36" s="214" t="s">
        <v>372</v>
      </c>
      <c r="Q36" s="214" t="s">
        <v>373</v>
      </c>
      <c r="R36" s="214" t="s">
        <v>372</v>
      </c>
      <c r="S36" s="214" t="s">
        <v>373</v>
      </c>
      <c r="T36" s="205" t="s">
        <v>393</v>
      </c>
      <c r="U36" s="205" t="s">
        <v>394</v>
      </c>
      <c r="V36" s="205" t="s">
        <v>395</v>
      </c>
      <c r="W36" s="205" t="s">
        <v>305</v>
      </c>
      <c r="X36" s="206" t="s">
        <v>396</v>
      </c>
      <c r="Y36" s="205" t="s">
        <v>304</v>
      </c>
      <c r="Z36" s="214" t="s">
        <v>387</v>
      </c>
      <c r="AA36" s="163" t="s">
        <v>388</v>
      </c>
      <c r="AB36" s="214" t="s">
        <v>389</v>
      </c>
      <c r="AC36" s="214" t="s">
        <v>390</v>
      </c>
      <c r="AD36" s="214" t="s">
        <v>391</v>
      </c>
      <c r="AE36" s="214" t="s">
        <v>392</v>
      </c>
      <c r="AG36" s="833"/>
      <c r="AH36" s="214" t="s">
        <v>372</v>
      </c>
      <c r="AI36" s="214" t="s">
        <v>372</v>
      </c>
      <c r="AJ36" s="214" t="s">
        <v>372</v>
      </c>
      <c r="AK36" s="214" t="s">
        <v>373</v>
      </c>
      <c r="AL36" s="214" t="s">
        <v>372</v>
      </c>
      <c r="AM36" s="214" t="s">
        <v>372</v>
      </c>
      <c r="AN36" s="214" t="s">
        <v>372</v>
      </c>
      <c r="AO36" s="214" t="s">
        <v>373</v>
      </c>
      <c r="AP36" s="214" t="s">
        <v>372</v>
      </c>
      <c r="AQ36" s="214" t="s">
        <v>372</v>
      </c>
      <c r="AR36" s="214" t="s">
        <v>372</v>
      </c>
      <c r="AS36" s="214" t="s">
        <v>373</v>
      </c>
      <c r="AT36" s="214" t="s">
        <v>372</v>
      </c>
      <c r="AU36" s="214" t="s">
        <v>372</v>
      </c>
      <c r="AV36" s="214" t="s">
        <v>372</v>
      </c>
      <c r="AW36" s="214" t="s">
        <v>373</v>
      </c>
      <c r="AX36" s="214" t="s">
        <v>372</v>
      </c>
      <c r="AY36" s="214" t="s">
        <v>373</v>
      </c>
      <c r="AZ36" s="205" t="s">
        <v>393</v>
      </c>
      <c r="BA36" s="205" t="s">
        <v>394</v>
      </c>
      <c r="BB36" s="205" t="s">
        <v>395</v>
      </c>
      <c r="BC36" s="205" t="s">
        <v>305</v>
      </c>
      <c r="BD36" s="206" t="s">
        <v>396</v>
      </c>
      <c r="BE36" s="205" t="s">
        <v>304</v>
      </c>
      <c r="BF36" s="203" t="s">
        <v>387</v>
      </c>
      <c r="BG36" s="204" t="s">
        <v>388</v>
      </c>
      <c r="BH36" s="203" t="s">
        <v>389</v>
      </c>
      <c r="BI36" s="203" t="s">
        <v>390</v>
      </c>
      <c r="BJ36" s="203" t="s">
        <v>391</v>
      </c>
      <c r="BK36" s="203" t="s">
        <v>392</v>
      </c>
    </row>
    <row r="37" spans="1:63" ht="15">
      <c r="A37" s="164" t="s">
        <v>92</v>
      </c>
      <c r="B37" s="164"/>
      <c r="C37" s="164"/>
      <c r="D37" s="164"/>
      <c r="E37" s="221"/>
      <c r="F37" s="164"/>
      <c r="G37" s="164"/>
      <c r="H37" s="164"/>
      <c r="I37" s="221"/>
      <c r="J37" s="164"/>
      <c r="K37" s="164"/>
      <c r="L37" s="164"/>
      <c r="M37" s="221"/>
      <c r="N37" s="164"/>
      <c r="O37" s="164"/>
      <c r="P37" s="164"/>
      <c r="Q37" s="221"/>
      <c r="R37" s="209">
        <f aca="true" t="shared" si="7" ref="R37:R57">B37+C37+D37+F37+G37+H37+J37+K37+L37+N37+O37+P37</f>
        <v>0</v>
      </c>
      <c r="S37" s="171">
        <f>+E37+I37+M37+Q37</f>
        <v>0</v>
      </c>
      <c r="T37" s="207"/>
      <c r="U37" s="207"/>
      <c r="V37" s="207"/>
      <c r="W37" s="207"/>
      <c r="X37" s="207"/>
      <c r="Y37" s="166"/>
      <c r="Z37" s="166"/>
      <c r="AA37" s="166"/>
      <c r="AB37" s="166"/>
      <c r="AC37" s="166"/>
      <c r="AD37" s="166"/>
      <c r="AE37" s="167"/>
      <c r="AG37" s="164" t="s">
        <v>92</v>
      </c>
      <c r="AH37" s="164"/>
      <c r="AI37" s="164"/>
      <c r="AJ37" s="164"/>
      <c r="AK37" s="221"/>
      <c r="AL37" s="164"/>
      <c r="AM37" s="164"/>
      <c r="AN37" s="164"/>
      <c r="AO37" s="221"/>
      <c r="AP37" s="164"/>
      <c r="AQ37" s="164"/>
      <c r="AR37" s="164"/>
      <c r="AS37" s="221"/>
      <c r="AT37" s="164"/>
      <c r="AU37" s="164"/>
      <c r="AV37" s="164"/>
      <c r="AW37" s="221"/>
      <c r="AX37" s="209">
        <f aca="true" t="shared" si="8" ref="AX37:AX57">AH37+AI37+AJ37+AL37+AM37+AN37+AP37+AQ37+AR37+AT37+AU37+AV37</f>
        <v>0</v>
      </c>
      <c r="AY37" s="171">
        <f>+AK37+AO37+AS37+AW37</f>
        <v>0</v>
      </c>
      <c r="AZ37" s="166"/>
      <c r="BA37" s="166"/>
      <c r="BB37" s="166"/>
      <c r="BC37" s="166"/>
      <c r="BD37" s="166"/>
      <c r="BE37" s="166"/>
      <c r="BF37" s="166"/>
      <c r="BG37" s="166"/>
      <c r="BH37" s="166"/>
      <c r="BI37" s="166"/>
      <c r="BJ37" s="166"/>
      <c r="BK37" s="167"/>
    </row>
    <row r="38" spans="1:63" ht="15">
      <c r="A38" s="164" t="s">
        <v>93</v>
      </c>
      <c r="B38" s="164"/>
      <c r="C38" s="164"/>
      <c r="D38" s="164"/>
      <c r="E38" s="221"/>
      <c r="F38" s="164"/>
      <c r="G38" s="164"/>
      <c r="H38" s="164"/>
      <c r="I38" s="221"/>
      <c r="J38" s="164"/>
      <c r="K38" s="164"/>
      <c r="L38" s="164"/>
      <c r="M38" s="221"/>
      <c r="N38" s="164"/>
      <c r="O38" s="164"/>
      <c r="P38" s="164"/>
      <c r="Q38" s="221"/>
      <c r="R38" s="209">
        <f t="shared" si="7"/>
        <v>0</v>
      </c>
      <c r="S38" s="171">
        <f aca="true" t="shared" si="9" ref="S38:S57">+E38+I38+M38+Q38</f>
        <v>0</v>
      </c>
      <c r="T38" s="207"/>
      <c r="U38" s="207"/>
      <c r="V38" s="207"/>
      <c r="W38" s="207"/>
      <c r="X38" s="207"/>
      <c r="Y38" s="208"/>
      <c r="Z38" s="166"/>
      <c r="AA38" s="166"/>
      <c r="AB38" s="166"/>
      <c r="AC38" s="166"/>
      <c r="AD38" s="166"/>
      <c r="AE38" s="166"/>
      <c r="AG38" s="164" t="s">
        <v>93</v>
      </c>
      <c r="AH38" s="164"/>
      <c r="AI38" s="164"/>
      <c r="AJ38" s="164"/>
      <c r="AK38" s="221"/>
      <c r="AL38" s="164"/>
      <c r="AM38" s="164"/>
      <c r="AN38" s="164"/>
      <c r="AO38" s="221"/>
      <c r="AP38" s="164"/>
      <c r="AQ38" s="164"/>
      <c r="AR38" s="164"/>
      <c r="AS38" s="221"/>
      <c r="AT38" s="164"/>
      <c r="AU38" s="164"/>
      <c r="AV38" s="164"/>
      <c r="AW38" s="221"/>
      <c r="AX38" s="209">
        <f t="shared" si="8"/>
        <v>0</v>
      </c>
      <c r="AY38" s="171">
        <f aca="true" t="shared" si="10" ref="AY38:AY57">+AK38+AO38+AS38+AW38</f>
        <v>0</v>
      </c>
      <c r="AZ38" s="166"/>
      <c r="BA38" s="166"/>
      <c r="BB38" s="166"/>
      <c r="BC38" s="166"/>
      <c r="BD38" s="166"/>
      <c r="BE38" s="166"/>
      <c r="BF38" s="166"/>
      <c r="BG38" s="166"/>
      <c r="BH38" s="166"/>
      <c r="BI38" s="166"/>
      <c r="BJ38" s="166"/>
      <c r="BK38" s="166"/>
    </row>
    <row r="39" spans="1:63" ht="15">
      <c r="A39" s="164" t="s">
        <v>94</v>
      </c>
      <c r="B39" s="164"/>
      <c r="C39" s="164"/>
      <c r="D39" s="164"/>
      <c r="E39" s="221"/>
      <c r="F39" s="164"/>
      <c r="G39" s="164"/>
      <c r="H39" s="164"/>
      <c r="I39" s="221"/>
      <c r="J39" s="164"/>
      <c r="K39" s="164"/>
      <c r="L39" s="164"/>
      <c r="M39" s="221"/>
      <c r="N39" s="164"/>
      <c r="O39" s="164"/>
      <c r="P39" s="164"/>
      <c r="Q39" s="221"/>
      <c r="R39" s="209">
        <f t="shared" si="7"/>
        <v>0</v>
      </c>
      <c r="S39" s="171">
        <f t="shared" si="9"/>
        <v>0</v>
      </c>
      <c r="T39" s="207"/>
      <c r="U39" s="207"/>
      <c r="V39" s="207"/>
      <c r="W39" s="207"/>
      <c r="X39" s="207"/>
      <c r="Y39" s="208"/>
      <c r="Z39" s="166"/>
      <c r="AA39" s="166"/>
      <c r="AB39" s="166"/>
      <c r="AC39" s="166"/>
      <c r="AD39" s="166"/>
      <c r="AE39" s="166"/>
      <c r="AG39" s="164" t="s">
        <v>94</v>
      </c>
      <c r="AH39" s="164"/>
      <c r="AI39" s="164"/>
      <c r="AJ39" s="164"/>
      <c r="AK39" s="221"/>
      <c r="AL39" s="164"/>
      <c r="AM39" s="164"/>
      <c r="AN39" s="164"/>
      <c r="AO39" s="221"/>
      <c r="AP39" s="164"/>
      <c r="AQ39" s="164"/>
      <c r="AR39" s="164"/>
      <c r="AS39" s="221"/>
      <c r="AT39" s="164"/>
      <c r="AU39" s="164"/>
      <c r="AV39" s="164"/>
      <c r="AW39" s="221"/>
      <c r="AX39" s="209">
        <f t="shared" si="8"/>
        <v>0</v>
      </c>
      <c r="AY39" s="171">
        <f t="shared" si="10"/>
        <v>0</v>
      </c>
      <c r="AZ39" s="166"/>
      <c r="BA39" s="166"/>
      <c r="BB39" s="166"/>
      <c r="BC39" s="166"/>
      <c r="BD39" s="166"/>
      <c r="BE39" s="166"/>
      <c r="BF39" s="166"/>
      <c r="BG39" s="166"/>
      <c r="BH39" s="166"/>
      <c r="BI39" s="166"/>
      <c r="BJ39" s="166"/>
      <c r="BK39" s="166"/>
    </row>
    <row r="40" spans="1:63" ht="15">
      <c r="A40" s="164" t="s">
        <v>95</v>
      </c>
      <c r="B40" s="164"/>
      <c r="C40" s="164"/>
      <c r="D40" s="164"/>
      <c r="E40" s="221"/>
      <c r="F40" s="164"/>
      <c r="G40" s="164"/>
      <c r="H40" s="164"/>
      <c r="I40" s="221"/>
      <c r="J40" s="164"/>
      <c r="K40" s="164"/>
      <c r="L40" s="164"/>
      <c r="M40" s="221"/>
      <c r="N40" s="164"/>
      <c r="O40" s="164"/>
      <c r="P40" s="164"/>
      <c r="Q40" s="221"/>
      <c r="R40" s="209">
        <f t="shared" si="7"/>
        <v>0</v>
      </c>
      <c r="S40" s="171">
        <f t="shared" si="9"/>
        <v>0</v>
      </c>
      <c r="T40" s="207"/>
      <c r="U40" s="207"/>
      <c r="V40" s="207"/>
      <c r="W40" s="207"/>
      <c r="X40" s="207"/>
      <c r="Y40" s="208"/>
      <c r="Z40" s="166"/>
      <c r="AA40" s="166"/>
      <c r="AB40" s="166"/>
      <c r="AC40" s="166"/>
      <c r="AD40" s="166"/>
      <c r="AE40" s="166"/>
      <c r="AG40" s="164" t="s">
        <v>95</v>
      </c>
      <c r="AH40" s="164"/>
      <c r="AI40" s="164"/>
      <c r="AJ40" s="164"/>
      <c r="AK40" s="221"/>
      <c r="AL40" s="164"/>
      <c r="AM40" s="164"/>
      <c r="AN40" s="164"/>
      <c r="AO40" s="221"/>
      <c r="AP40" s="164"/>
      <c r="AQ40" s="164"/>
      <c r="AR40" s="164"/>
      <c r="AS40" s="221"/>
      <c r="AT40" s="164"/>
      <c r="AU40" s="164"/>
      <c r="AV40" s="164"/>
      <c r="AW40" s="221"/>
      <c r="AX40" s="209">
        <f t="shared" si="8"/>
        <v>0</v>
      </c>
      <c r="AY40" s="171">
        <f t="shared" si="10"/>
        <v>0</v>
      </c>
      <c r="AZ40" s="166"/>
      <c r="BA40" s="166"/>
      <c r="BB40" s="166"/>
      <c r="BC40" s="166"/>
      <c r="BD40" s="166"/>
      <c r="BE40" s="166"/>
      <c r="BF40" s="166"/>
      <c r="BG40" s="166"/>
      <c r="BH40" s="166"/>
      <c r="BI40" s="166"/>
      <c r="BJ40" s="166"/>
      <c r="BK40" s="166"/>
    </row>
    <row r="41" spans="1:63" ht="15">
      <c r="A41" s="164" t="s">
        <v>96</v>
      </c>
      <c r="B41" s="164"/>
      <c r="C41" s="164"/>
      <c r="D41" s="164"/>
      <c r="E41" s="221"/>
      <c r="F41" s="164"/>
      <c r="G41" s="164"/>
      <c r="H41" s="164"/>
      <c r="I41" s="221"/>
      <c r="J41" s="164"/>
      <c r="K41" s="164"/>
      <c r="L41" s="164"/>
      <c r="M41" s="221"/>
      <c r="N41" s="164"/>
      <c r="O41" s="164"/>
      <c r="P41" s="164"/>
      <c r="Q41" s="221"/>
      <c r="R41" s="209">
        <f t="shared" si="7"/>
        <v>0</v>
      </c>
      <c r="S41" s="171">
        <f t="shared" si="9"/>
        <v>0</v>
      </c>
      <c r="T41" s="207"/>
      <c r="U41" s="207"/>
      <c r="V41" s="207"/>
      <c r="W41" s="207"/>
      <c r="X41" s="207"/>
      <c r="Y41" s="208"/>
      <c r="Z41" s="166"/>
      <c r="AA41" s="166"/>
      <c r="AB41" s="166"/>
      <c r="AC41" s="166"/>
      <c r="AD41" s="166"/>
      <c r="AE41" s="166"/>
      <c r="AG41" s="164" t="s">
        <v>96</v>
      </c>
      <c r="AH41" s="164"/>
      <c r="AI41" s="164"/>
      <c r="AJ41" s="164"/>
      <c r="AK41" s="221"/>
      <c r="AL41" s="164"/>
      <c r="AM41" s="164"/>
      <c r="AN41" s="164"/>
      <c r="AO41" s="221"/>
      <c r="AP41" s="164"/>
      <c r="AQ41" s="164"/>
      <c r="AR41" s="164"/>
      <c r="AS41" s="221"/>
      <c r="AT41" s="164"/>
      <c r="AU41" s="164"/>
      <c r="AV41" s="164"/>
      <c r="AW41" s="221"/>
      <c r="AX41" s="209">
        <f t="shared" si="8"/>
        <v>0</v>
      </c>
      <c r="AY41" s="171">
        <f t="shared" si="10"/>
        <v>0</v>
      </c>
      <c r="AZ41" s="166"/>
      <c r="BA41" s="166"/>
      <c r="BB41" s="166"/>
      <c r="BC41" s="166"/>
      <c r="BD41" s="166"/>
      <c r="BE41" s="166"/>
      <c r="BF41" s="166"/>
      <c r="BG41" s="166"/>
      <c r="BH41" s="166"/>
      <c r="BI41" s="166"/>
      <c r="BJ41" s="166"/>
      <c r="BK41" s="166"/>
    </row>
    <row r="42" spans="1:63" ht="15">
      <c r="A42" s="164" t="s">
        <v>97</v>
      </c>
      <c r="B42" s="164"/>
      <c r="C42" s="164"/>
      <c r="D42" s="164"/>
      <c r="E42" s="221"/>
      <c r="F42" s="164"/>
      <c r="G42" s="164"/>
      <c r="H42" s="164"/>
      <c r="I42" s="221"/>
      <c r="J42" s="164"/>
      <c r="K42" s="164"/>
      <c r="L42" s="164"/>
      <c r="M42" s="221"/>
      <c r="N42" s="164"/>
      <c r="O42" s="164"/>
      <c r="P42" s="164"/>
      <c r="Q42" s="221"/>
      <c r="R42" s="209">
        <f t="shared" si="7"/>
        <v>0</v>
      </c>
      <c r="S42" s="171">
        <f t="shared" si="9"/>
        <v>0</v>
      </c>
      <c r="T42" s="207"/>
      <c r="U42" s="207"/>
      <c r="V42" s="207"/>
      <c r="W42" s="207"/>
      <c r="X42" s="207"/>
      <c r="Y42" s="208"/>
      <c r="Z42" s="166"/>
      <c r="AA42" s="166"/>
      <c r="AB42" s="166"/>
      <c r="AC42" s="166"/>
      <c r="AD42" s="166"/>
      <c r="AE42" s="166"/>
      <c r="AG42" s="164" t="s">
        <v>97</v>
      </c>
      <c r="AH42" s="164"/>
      <c r="AI42" s="164"/>
      <c r="AJ42" s="164"/>
      <c r="AK42" s="221"/>
      <c r="AL42" s="164"/>
      <c r="AM42" s="164"/>
      <c r="AN42" s="164"/>
      <c r="AO42" s="221"/>
      <c r="AP42" s="164"/>
      <c r="AQ42" s="164"/>
      <c r="AR42" s="164"/>
      <c r="AS42" s="221"/>
      <c r="AT42" s="164"/>
      <c r="AU42" s="164"/>
      <c r="AV42" s="164"/>
      <c r="AW42" s="221"/>
      <c r="AX42" s="209">
        <f t="shared" si="8"/>
        <v>0</v>
      </c>
      <c r="AY42" s="171">
        <f t="shared" si="10"/>
        <v>0</v>
      </c>
      <c r="AZ42" s="166"/>
      <c r="BA42" s="166"/>
      <c r="BB42" s="166"/>
      <c r="BC42" s="166"/>
      <c r="BD42" s="166"/>
      <c r="BE42" s="166"/>
      <c r="BF42" s="166"/>
      <c r="BG42" s="166"/>
      <c r="BH42" s="166"/>
      <c r="BI42" s="166"/>
      <c r="BJ42" s="166"/>
      <c r="BK42" s="166"/>
    </row>
    <row r="43" spans="1:63" ht="15">
      <c r="A43" s="164" t="s">
        <v>98</v>
      </c>
      <c r="B43" s="164"/>
      <c r="C43" s="164"/>
      <c r="D43" s="164"/>
      <c r="E43" s="221"/>
      <c r="F43" s="164"/>
      <c r="G43" s="164"/>
      <c r="H43" s="164"/>
      <c r="I43" s="221"/>
      <c r="J43" s="164"/>
      <c r="K43" s="164"/>
      <c r="L43" s="164"/>
      <c r="M43" s="221"/>
      <c r="N43" s="164"/>
      <c r="O43" s="164"/>
      <c r="P43" s="164"/>
      <c r="Q43" s="221"/>
      <c r="R43" s="209">
        <f t="shared" si="7"/>
        <v>0</v>
      </c>
      <c r="S43" s="171">
        <f t="shared" si="9"/>
        <v>0</v>
      </c>
      <c r="T43" s="207"/>
      <c r="U43" s="207"/>
      <c r="V43" s="207"/>
      <c r="W43" s="207"/>
      <c r="X43" s="207"/>
      <c r="Y43" s="208"/>
      <c r="Z43" s="166"/>
      <c r="AA43" s="166"/>
      <c r="AB43" s="166"/>
      <c r="AC43" s="166"/>
      <c r="AD43" s="166"/>
      <c r="AE43" s="166"/>
      <c r="AG43" s="164" t="s">
        <v>98</v>
      </c>
      <c r="AH43" s="164"/>
      <c r="AI43" s="164"/>
      <c r="AJ43" s="164"/>
      <c r="AK43" s="221"/>
      <c r="AL43" s="164"/>
      <c r="AM43" s="164"/>
      <c r="AN43" s="164"/>
      <c r="AO43" s="221"/>
      <c r="AP43" s="164"/>
      <c r="AQ43" s="164"/>
      <c r="AR43" s="164"/>
      <c r="AS43" s="221"/>
      <c r="AT43" s="164"/>
      <c r="AU43" s="164"/>
      <c r="AV43" s="164"/>
      <c r="AW43" s="221"/>
      <c r="AX43" s="209">
        <f t="shared" si="8"/>
        <v>0</v>
      </c>
      <c r="AY43" s="171">
        <f t="shared" si="10"/>
        <v>0</v>
      </c>
      <c r="AZ43" s="166"/>
      <c r="BA43" s="166"/>
      <c r="BB43" s="166"/>
      <c r="BC43" s="166"/>
      <c r="BD43" s="166"/>
      <c r="BE43" s="166"/>
      <c r="BF43" s="166"/>
      <c r="BG43" s="166"/>
      <c r="BH43" s="166"/>
      <c r="BI43" s="166"/>
      <c r="BJ43" s="166"/>
      <c r="BK43" s="166"/>
    </row>
    <row r="44" spans="1:63" ht="15">
      <c r="A44" s="164" t="s">
        <v>99</v>
      </c>
      <c r="B44" s="164"/>
      <c r="C44" s="164"/>
      <c r="D44" s="164"/>
      <c r="E44" s="221"/>
      <c r="F44" s="164"/>
      <c r="G44" s="164"/>
      <c r="H44" s="164"/>
      <c r="I44" s="221"/>
      <c r="J44" s="164"/>
      <c r="K44" s="164"/>
      <c r="L44" s="164"/>
      <c r="M44" s="221"/>
      <c r="N44" s="164"/>
      <c r="O44" s="164"/>
      <c r="P44" s="164"/>
      <c r="Q44" s="221"/>
      <c r="R44" s="209">
        <f t="shared" si="7"/>
        <v>0</v>
      </c>
      <c r="S44" s="171">
        <f t="shared" si="9"/>
        <v>0</v>
      </c>
      <c r="T44" s="207"/>
      <c r="U44" s="207"/>
      <c r="V44" s="207"/>
      <c r="W44" s="207"/>
      <c r="X44" s="207"/>
      <c r="Y44" s="208"/>
      <c r="Z44" s="166"/>
      <c r="AA44" s="166"/>
      <c r="AB44" s="166"/>
      <c r="AC44" s="166"/>
      <c r="AD44" s="166"/>
      <c r="AE44" s="166"/>
      <c r="AG44" s="164" t="s">
        <v>99</v>
      </c>
      <c r="AH44" s="164"/>
      <c r="AI44" s="164"/>
      <c r="AJ44" s="164"/>
      <c r="AK44" s="221"/>
      <c r="AL44" s="164"/>
      <c r="AM44" s="164"/>
      <c r="AN44" s="164"/>
      <c r="AO44" s="221"/>
      <c r="AP44" s="164"/>
      <c r="AQ44" s="164"/>
      <c r="AR44" s="164"/>
      <c r="AS44" s="221"/>
      <c r="AT44" s="164"/>
      <c r="AU44" s="164"/>
      <c r="AV44" s="164"/>
      <c r="AW44" s="221"/>
      <c r="AX44" s="209">
        <f t="shared" si="8"/>
        <v>0</v>
      </c>
      <c r="AY44" s="171">
        <f t="shared" si="10"/>
        <v>0</v>
      </c>
      <c r="AZ44" s="166"/>
      <c r="BA44" s="166"/>
      <c r="BB44" s="166"/>
      <c r="BC44" s="166"/>
      <c r="BD44" s="166"/>
      <c r="BE44" s="166"/>
      <c r="BF44" s="166"/>
      <c r="BG44" s="166"/>
      <c r="BH44" s="166"/>
      <c r="BI44" s="166"/>
      <c r="BJ44" s="166"/>
      <c r="BK44" s="166"/>
    </row>
    <row r="45" spans="1:63" ht="15">
      <c r="A45" s="164" t="s">
        <v>100</v>
      </c>
      <c r="B45" s="164"/>
      <c r="C45" s="164"/>
      <c r="D45" s="164"/>
      <c r="E45" s="221"/>
      <c r="F45" s="164"/>
      <c r="G45" s="164"/>
      <c r="H45" s="164"/>
      <c r="I45" s="221"/>
      <c r="J45" s="164"/>
      <c r="K45" s="164"/>
      <c r="L45" s="164"/>
      <c r="M45" s="221"/>
      <c r="N45" s="164"/>
      <c r="O45" s="164"/>
      <c r="P45" s="164"/>
      <c r="Q45" s="221"/>
      <c r="R45" s="209">
        <f t="shared" si="7"/>
        <v>0</v>
      </c>
      <c r="S45" s="171">
        <f t="shared" si="9"/>
        <v>0</v>
      </c>
      <c r="T45" s="207"/>
      <c r="U45" s="207"/>
      <c r="V45" s="207"/>
      <c r="W45" s="207"/>
      <c r="X45" s="207"/>
      <c r="Y45" s="208"/>
      <c r="Z45" s="166"/>
      <c r="AA45" s="166"/>
      <c r="AB45" s="166"/>
      <c r="AC45" s="166"/>
      <c r="AD45" s="166"/>
      <c r="AE45" s="166"/>
      <c r="AG45" s="164" t="s">
        <v>100</v>
      </c>
      <c r="AH45" s="164"/>
      <c r="AI45" s="164"/>
      <c r="AJ45" s="164"/>
      <c r="AK45" s="221"/>
      <c r="AL45" s="164"/>
      <c r="AM45" s="164"/>
      <c r="AN45" s="164"/>
      <c r="AO45" s="221"/>
      <c r="AP45" s="164"/>
      <c r="AQ45" s="164"/>
      <c r="AR45" s="164"/>
      <c r="AS45" s="221"/>
      <c r="AT45" s="164"/>
      <c r="AU45" s="164"/>
      <c r="AV45" s="164"/>
      <c r="AW45" s="221"/>
      <c r="AX45" s="209">
        <f t="shared" si="8"/>
        <v>0</v>
      </c>
      <c r="AY45" s="171">
        <f t="shared" si="10"/>
        <v>0</v>
      </c>
      <c r="AZ45" s="166"/>
      <c r="BA45" s="208"/>
      <c r="BB45" s="166"/>
      <c r="BC45" s="166"/>
      <c r="BD45" s="166"/>
      <c r="BE45" s="166"/>
      <c r="BF45" s="166"/>
      <c r="BG45" s="166"/>
      <c r="BH45" s="166"/>
      <c r="BI45" s="164"/>
      <c r="BJ45" s="164"/>
      <c r="BK45" s="164"/>
    </row>
    <row r="46" spans="1:63" ht="15">
      <c r="A46" s="164" t="s">
        <v>101</v>
      </c>
      <c r="B46" s="164"/>
      <c r="C46" s="164"/>
      <c r="D46" s="164"/>
      <c r="E46" s="221"/>
      <c r="F46" s="164"/>
      <c r="G46" s="164"/>
      <c r="H46" s="164"/>
      <c r="I46" s="221"/>
      <c r="J46" s="164"/>
      <c r="K46" s="164"/>
      <c r="L46" s="164"/>
      <c r="M46" s="221"/>
      <c r="N46" s="164"/>
      <c r="O46" s="164"/>
      <c r="P46" s="164"/>
      <c r="Q46" s="221"/>
      <c r="R46" s="209">
        <f t="shared" si="7"/>
        <v>0</v>
      </c>
      <c r="S46" s="171">
        <f t="shared" si="9"/>
        <v>0</v>
      </c>
      <c r="T46" s="207"/>
      <c r="U46" s="207"/>
      <c r="V46" s="207"/>
      <c r="W46" s="207"/>
      <c r="X46" s="207"/>
      <c r="Y46" s="208"/>
      <c r="Z46" s="166"/>
      <c r="AA46" s="166"/>
      <c r="AB46" s="166"/>
      <c r="AC46" s="166"/>
      <c r="AD46" s="166"/>
      <c r="AE46" s="166"/>
      <c r="AG46" s="164" t="s">
        <v>101</v>
      </c>
      <c r="AH46" s="164"/>
      <c r="AI46" s="164"/>
      <c r="AJ46" s="164"/>
      <c r="AK46" s="221"/>
      <c r="AL46" s="164"/>
      <c r="AM46" s="164"/>
      <c r="AN46" s="164"/>
      <c r="AO46" s="221"/>
      <c r="AP46" s="164"/>
      <c r="AQ46" s="164"/>
      <c r="AR46" s="164"/>
      <c r="AS46" s="221"/>
      <c r="AT46" s="164"/>
      <c r="AU46" s="164"/>
      <c r="AV46" s="164"/>
      <c r="AW46" s="221"/>
      <c r="AX46" s="209">
        <f t="shared" si="8"/>
        <v>0</v>
      </c>
      <c r="AY46" s="171">
        <f t="shared" si="10"/>
        <v>0</v>
      </c>
      <c r="AZ46" s="166"/>
      <c r="BA46" s="208"/>
      <c r="BB46" s="166"/>
      <c r="BC46" s="166"/>
      <c r="BD46" s="166"/>
      <c r="BE46" s="166"/>
      <c r="BF46" s="166"/>
      <c r="BG46" s="166"/>
      <c r="BH46" s="166"/>
      <c r="BI46" s="164"/>
      <c r="BJ46" s="164"/>
      <c r="BK46" s="164"/>
    </row>
    <row r="47" spans="1:63" ht="15">
      <c r="A47" s="164" t="s">
        <v>102</v>
      </c>
      <c r="B47" s="164"/>
      <c r="C47" s="164"/>
      <c r="D47" s="164"/>
      <c r="E47" s="221"/>
      <c r="F47" s="164"/>
      <c r="G47" s="164"/>
      <c r="H47" s="164"/>
      <c r="I47" s="221"/>
      <c r="J47" s="164"/>
      <c r="K47" s="164"/>
      <c r="L47" s="164"/>
      <c r="M47" s="221"/>
      <c r="N47" s="164"/>
      <c r="O47" s="164"/>
      <c r="P47" s="164"/>
      <c r="Q47" s="221"/>
      <c r="R47" s="209">
        <f t="shared" si="7"/>
        <v>0</v>
      </c>
      <c r="S47" s="171">
        <f t="shared" si="9"/>
        <v>0</v>
      </c>
      <c r="T47" s="207"/>
      <c r="U47" s="207"/>
      <c r="V47" s="207"/>
      <c r="W47" s="207"/>
      <c r="X47" s="207"/>
      <c r="Y47" s="208"/>
      <c r="Z47" s="166"/>
      <c r="AA47" s="166"/>
      <c r="AB47" s="166"/>
      <c r="AC47" s="166"/>
      <c r="AD47" s="166"/>
      <c r="AE47" s="166"/>
      <c r="AG47" s="164" t="s">
        <v>102</v>
      </c>
      <c r="AH47" s="164"/>
      <c r="AI47" s="164"/>
      <c r="AJ47" s="164"/>
      <c r="AK47" s="221"/>
      <c r="AL47" s="164"/>
      <c r="AM47" s="164"/>
      <c r="AN47" s="164"/>
      <c r="AO47" s="221"/>
      <c r="AP47" s="164"/>
      <c r="AQ47" s="164"/>
      <c r="AR47" s="164"/>
      <c r="AS47" s="221"/>
      <c r="AT47" s="164"/>
      <c r="AU47" s="164"/>
      <c r="AV47" s="164"/>
      <c r="AW47" s="221"/>
      <c r="AX47" s="209">
        <f t="shared" si="8"/>
        <v>0</v>
      </c>
      <c r="AY47" s="171">
        <f t="shared" si="10"/>
        <v>0</v>
      </c>
      <c r="AZ47" s="166"/>
      <c r="BA47" s="208"/>
      <c r="BB47" s="166"/>
      <c r="BC47" s="166"/>
      <c r="BD47" s="166"/>
      <c r="BE47" s="166"/>
      <c r="BF47" s="166"/>
      <c r="BG47" s="166"/>
      <c r="BH47" s="166"/>
      <c r="BI47" s="164"/>
      <c r="BJ47" s="164"/>
      <c r="BK47" s="164"/>
    </row>
    <row r="48" spans="1:63" ht="15">
      <c r="A48" s="164" t="s">
        <v>103</v>
      </c>
      <c r="B48" s="164"/>
      <c r="C48" s="164"/>
      <c r="D48" s="164"/>
      <c r="E48" s="221"/>
      <c r="F48" s="164"/>
      <c r="G48" s="164"/>
      <c r="H48" s="164"/>
      <c r="I48" s="221"/>
      <c r="J48" s="164"/>
      <c r="K48" s="164"/>
      <c r="L48" s="164"/>
      <c r="M48" s="221"/>
      <c r="N48" s="164"/>
      <c r="O48" s="164"/>
      <c r="P48" s="164"/>
      <c r="Q48" s="221"/>
      <c r="R48" s="209">
        <f t="shared" si="7"/>
        <v>0</v>
      </c>
      <c r="S48" s="171">
        <f t="shared" si="9"/>
        <v>0</v>
      </c>
      <c r="T48" s="207"/>
      <c r="U48" s="207"/>
      <c r="V48" s="207"/>
      <c r="W48" s="207"/>
      <c r="X48" s="207"/>
      <c r="Y48" s="208"/>
      <c r="Z48" s="166"/>
      <c r="AA48" s="166"/>
      <c r="AB48" s="166"/>
      <c r="AC48" s="166"/>
      <c r="AD48" s="166"/>
      <c r="AE48" s="166"/>
      <c r="AG48" s="164" t="s">
        <v>103</v>
      </c>
      <c r="AH48" s="164"/>
      <c r="AI48" s="164"/>
      <c r="AJ48" s="164"/>
      <c r="AK48" s="221"/>
      <c r="AL48" s="164"/>
      <c r="AM48" s="164"/>
      <c r="AN48" s="164"/>
      <c r="AO48" s="221"/>
      <c r="AP48" s="164"/>
      <c r="AQ48" s="164"/>
      <c r="AR48" s="164"/>
      <c r="AS48" s="221"/>
      <c r="AT48" s="164"/>
      <c r="AU48" s="164"/>
      <c r="AV48" s="164"/>
      <c r="AW48" s="221"/>
      <c r="AX48" s="209">
        <f t="shared" si="8"/>
        <v>0</v>
      </c>
      <c r="AY48" s="171">
        <f t="shared" si="10"/>
        <v>0</v>
      </c>
      <c r="AZ48" s="166"/>
      <c r="BA48" s="166"/>
      <c r="BB48" s="166"/>
      <c r="BC48" s="166"/>
      <c r="BD48" s="166"/>
      <c r="BE48" s="166"/>
      <c r="BF48" s="166"/>
      <c r="BG48" s="166"/>
      <c r="BH48" s="166"/>
      <c r="BI48" s="166"/>
      <c r="BJ48" s="166"/>
      <c r="BK48" s="166"/>
    </row>
    <row r="49" spans="1:63" ht="15">
      <c r="A49" s="164" t="s">
        <v>104</v>
      </c>
      <c r="B49" s="164"/>
      <c r="C49" s="164"/>
      <c r="D49" s="164"/>
      <c r="E49" s="221"/>
      <c r="F49" s="164"/>
      <c r="G49" s="164"/>
      <c r="H49" s="164"/>
      <c r="I49" s="221"/>
      <c r="J49" s="164"/>
      <c r="K49" s="164"/>
      <c r="L49" s="164"/>
      <c r="M49" s="221"/>
      <c r="N49" s="164"/>
      <c r="O49" s="164"/>
      <c r="P49" s="164"/>
      <c r="Q49" s="221"/>
      <c r="R49" s="209">
        <f t="shared" si="7"/>
        <v>0</v>
      </c>
      <c r="S49" s="171">
        <f t="shared" si="9"/>
        <v>0</v>
      </c>
      <c r="T49" s="207"/>
      <c r="U49" s="207"/>
      <c r="V49" s="207"/>
      <c r="W49" s="207"/>
      <c r="X49" s="207"/>
      <c r="Y49" s="208"/>
      <c r="Z49" s="166"/>
      <c r="AA49" s="166"/>
      <c r="AB49" s="166"/>
      <c r="AC49" s="166"/>
      <c r="AD49" s="166"/>
      <c r="AE49" s="166"/>
      <c r="AG49" s="164" t="s">
        <v>104</v>
      </c>
      <c r="AH49" s="164"/>
      <c r="AI49" s="164"/>
      <c r="AJ49" s="164"/>
      <c r="AK49" s="221"/>
      <c r="AL49" s="164"/>
      <c r="AM49" s="164"/>
      <c r="AN49" s="164"/>
      <c r="AO49" s="221"/>
      <c r="AP49" s="164"/>
      <c r="AQ49" s="164"/>
      <c r="AR49" s="164"/>
      <c r="AS49" s="221"/>
      <c r="AT49" s="164"/>
      <c r="AU49" s="164"/>
      <c r="AV49" s="164"/>
      <c r="AW49" s="221"/>
      <c r="AX49" s="209">
        <f t="shared" si="8"/>
        <v>0</v>
      </c>
      <c r="AY49" s="171">
        <f t="shared" si="10"/>
        <v>0</v>
      </c>
      <c r="AZ49" s="166"/>
      <c r="BA49" s="166"/>
      <c r="BB49" s="166"/>
      <c r="BC49" s="166"/>
      <c r="BD49" s="166"/>
      <c r="BE49" s="166"/>
      <c r="BF49" s="166"/>
      <c r="BG49" s="166"/>
      <c r="BH49" s="166"/>
      <c r="BI49" s="166"/>
      <c r="BJ49" s="166"/>
      <c r="BK49" s="166"/>
    </row>
    <row r="50" spans="1:63" ht="15">
      <c r="A50" s="164" t="s">
        <v>105</v>
      </c>
      <c r="B50" s="164"/>
      <c r="C50" s="164"/>
      <c r="D50" s="164"/>
      <c r="E50" s="221"/>
      <c r="F50" s="164"/>
      <c r="G50" s="164"/>
      <c r="H50" s="164"/>
      <c r="I50" s="221"/>
      <c r="J50" s="164"/>
      <c r="K50" s="164"/>
      <c r="L50" s="164"/>
      <c r="M50" s="221"/>
      <c r="N50" s="164"/>
      <c r="O50" s="164"/>
      <c r="P50" s="164"/>
      <c r="Q50" s="221"/>
      <c r="R50" s="209">
        <f t="shared" si="7"/>
        <v>0</v>
      </c>
      <c r="S50" s="171">
        <f t="shared" si="9"/>
        <v>0</v>
      </c>
      <c r="T50" s="207"/>
      <c r="U50" s="207"/>
      <c r="V50" s="207"/>
      <c r="W50" s="207"/>
      <c r="X50" s="207"/>
      <c r="Y50" s="208"/>
      <c r="Z50" s="166"/>
      <c r="AA50" s="166"/>
      <c r="AB50" s="166"/>
      <c r="AC50" s="166"/>
      <c r="AD50" s="166"/>
      <c r="AE50" s="166"/>
      <c r="AG50" s="164" t="s">
        <v>105</v>
      </c>
      <c r="AH50" s="164"/>
      <c r="AI50" s="164"/>
      <c r="AJ50" s="164"/>
      <c r="AK50" s="221"/>
      <c r="AL50" s="164"/>
      <c r="AM50" s="164"/>
      <c r="AN50" s="164"/>
      <c r="AO50" s="221"/>
      <c r="AP50" s="164"/>
      <c r="AQ50" s="164"/>
      <c r="AR50" s="164"/>
      <c r="AS50" s="221"/>
      <c r="AT50" s="164"/>
      <c r="AU50" s="164"/>
      <c r="AV50" s="164"/>
      <c r="AW50" s="221"/>
      <c r="AX50" s="209">
        <f t="shared" si="8"/>
        <v>0</v>
      </c>
      <c r="AY50" s="171">
        <f t="shared" si="10"/>
        <v>0</v>
      </c>
      <c r="AZ50" s="166"/>
      <c r="BA50" s="166"/>
      <c r="BB50" s="166"/>
      <c r="BC50" s="166"/>
      <c r="BD50" s="166"/>
      <c r="BE50" s="166"/>
      <c r="BF50" s="166"/>
      <c r="BG50" s="166"/>
      <c r="BH50" s="166"/>
      <c r="BI50" s="166"/>
      <c r="BJ50" s="166"/>
      <c r="BK50" s="166"/>
    </row>
    <row r="51" spans="1:63" ht="15">
      <c r="A51" s="164" t="s">
        <v>106</v>
      </c>
      <c r="B51" s="164"/>
      <c r="C51" s="164"/>
      <c r="D51" s="164"/>
      <c r="E51" s="221"/>
      <c r="F51" s="164"/>
      <c r="G51" s="164"/>
      <c r="H51" s="164"/>
      <c r="I51" s="221"/>
      <c r="J51" s="164"/>
      <c r="K51" s="164"/>
      <c r="L51" s="164"/>
      <c r="M51" s="221"/>
      <c r="N51" s="164"/>
      <c r="O51" s="164"/>
      <c r="P51" s="164"/>
      <c r="Q51" s="221"/>
      <c r="R51" s="209">
        <f t="shared" si="7"/>
        <v>0</v>
      </c>
      <c r="S51" s="171">
        <f t="shared" si="9"/>
        <v>0</v>
      </c>
      <c r="T51" s="207"/>
      <c r="U51" s="207"/>
      <c r="V51" s="207"/>
      <c r="W51" s="207"/>
      <c r="X51" s="207"/>
      <c r="Y51" s="208"/>
      <c r="Z51" s="166"/>
      <c r="AA51" s="166"/>
      <c r="AB51" s="166"/>
      <c r="AC51" s="166"/>
      <c r="AD51" s="166"/>
      <c r="AE51" s="166"/>
      <c r="AG51" s="164" t="s">
        <v>106</v>
      </c>
      <c r="AH51" s="164"/>
      <c r="AI51" s="164"/>
      <c r="AJ51" s="164"/>
      <c r="AK51" s="221"/>
      <c r="AL51" s="164"/>
      <c r="AM51" s="164"/>
      <c r="AN51" s="164"/>
      <c r="AO51" s="221"/>
      <c r="AP51" s="164"/>
      <c r="AQ51" s="164"/>
      <c r="AR51" s="164"/>
      <c r="AS51" s="221"/>
      <c r="AT51" s="164"/>
      <c r="AU51" s="164"/>
      <c r="AV51" s="164"/>
      <c r="AW51" s="221"/>
      <c r="AX51" s="209">
        <f t="shared" si="8"/>
        <v>0</v>
      </c>
      <c r="AY51" s="171">
        <f t="shared" si="10"/>
        <v>0</v>
      </c>
      <c r="AZ51" s="166"/>
      <c r="BA51" s="166"/>
      <c r="BB51" s="166"/>
      <c r="BC51" s="166"/>
      <c r="BD51" s="166"/>
      <c r="BE51" s="166"/>
      <c r="BF51" s="166"/>
      <c r="BG51" s="166"/>
      <c r="BH51" s="166"/>
      <c r="BI51" s="166"/>
      <c r="BJ51" s="166"/>
      <c r="BK51" s="166"/>
    </row>
    <row r="52" spans="1:63" ht="15">
      <c r="A52" s="164" t="s">
        <v>107</v>
      </c>
      <c r="B52" s="164"/>
      <c r="C52" s="164"/>
      <c r="D52" s="164"/>
      <c r="E52" s="221"/>
      <c r="F52" s="164"/>
      <c r="G52" s="164"/>
      <c r="H52" s="164"/>
      <c r="I52" s="221"/>
      <c r="J52" s="164"/>
      <c r="K52" s="164"/>
      <c r="L52" s="164"/>
      <c r="M52" s="221"/>
      <c r="N52" s="164"/>
      <c r="O52" s="164"/>
      <c r="P52" s="164"/>
      <c r="Q52" s="221"/>
      <c r="R52" s="209">
        <f t="shared" si="7"/>
        <v>0</v>
      </c>
      <c r="S52" s="171">
        <f t="shared" si="9"/>
        <v>0</v>
      </c>
      <c r="T52" s="207"/>
      <c r="U52" s="207"/>
      <c r="V52" s="207"/>
      <c r="W52" s="207"/>
      <c r="X52" s="207"/>
      <c r="Y52" s="208"/>
      <c r="Z52" s="166"/>
      <c r="AA52" s="166"/>
      <c r="AB52" s="166"/>
      <c r="AC52" s="166"/>
      <c r="AD52" s="166"/>
      <c r="AE52" s="166"/>
      <c r="AG52" s="164" t="s">
        <v>107</v>
      </c>
      <c r="AH52" s="164"/>
      <c r="AI52" s="164"/>
      <c r="AJ52" s="164"/>
      <c r="AK52" s="221"/>
      <c r="AL52" s="164"/>
      <c r="AM52" s="164"/>
      <c r="AN52" s="164"/>
      <c r="AO52" s="221"/>
      <c r="AP52" s="164"/>
      <c r="AQ52" s="164"/>
      <c r="AR52" s="164"/>
      <c r="AS52" s="221"/>
      <c r="AT52" s="164"/>
      <c r="AU52" s="164"/>
      <c r="AV52" s="164"/>
      <c r="AW52" s="221"/>
      <c r="AX52" s="209">
        <f t="shared" si="8"/>
        <v>0</v>
      </c>
      <c r="AY52" s="171">
        <f t="shared" si="10"/>
        <v>0</v>
      </c>
      <c r="AZ52" s="166"/>
      <c r="BA52" s="166"/>
      <c r="BB52" s="166"/>
      <c r="BC52" s="166"/>
      <c r="BD52" s="166"/>
      <c r="BE52" s="166"/>
      <c r="BF52" s="166"/>
      <c r="BG52" s="166"/>
      <c r="BH52" s="166"/>
      <c r="BI52" s="166"/>
      <c r="BJ52" s="166"/>
      <c r="BK52" s="166"/>
    </row>
    <row r="53" spans="1:63" ht="15">
      <c r="A53" s="164" t="s">
        <v>108</v>
      </c>
      <c r="B53" s="164"/>
      <c r="C53" s="164"/>
      <c r="D53" s="164"/>
      <c r="E53" s="221"/>
      <c r="F53" s="164"/>
      <c r="G53" s="164"/>
      <c r="H53" s="164"/>
      <c r="I53" s="221"/>
      <c r="J53" s="164"/>
      <c r="K53" s="164"/>
      <c r="L53" s="164"/>
      <c r="M53" s="221"/>
      <c r="N53" s="164"/>
      <c r="O53" s="164"/>
      <c r="P53" s="164"/>
      <c r="Q53" s="221"/>
      <c r="R53" s="209">
        <f t="shared" si="7"/>
        <v>0</v>
      </c>
      <c r="S53" s="171">
        <f t="shared" si="9"/>
        <v>0</v>
      </c>
      <c r="T53" s="207"/>
      <c r="U53" s="207"/>
      <c r="V53" s="207"/>
      <c r="W53" s="207"/>
      <c r="X53" s="207"/>
      <c r="Y53" s="208"/>
      <c r="Z53" s="166"/>
      <c r="AA53" s="166"/>
      <c r="AB53" s="166"/>
      <c r="AC53" s="166"/>
      <c r="AD53" s="166"/>
      <c r="AE53" s="166"/>
      <c r="AG53" s="164" t="s">
        <v>108</v>
      </c>
      <c r="AH53" s="164"/>
      <c r="AI53" s="164"/>
      <c r="AJ53" s="164"/>
      <c r="AK53" s="221"/>
      <c r="AL53" s="164"/>
      <c r="AM53" s="164"/>
      <c r="AN53" s="164"/>
      <c r="AO53" s="221"/>
      <c r="AP53" s="164"/>
      <c r="AQ53" s="164"/>
      <c r="AR53" s="164"/>
      <c r="AS53" s="221"/>
      <c r="AT53" s="164"/>
      <c r="AU53" s="164"/>
      <c r="AV53" s="164"/>
      <c r="AW53" s="221"/>
      <c r="AX53" s="209">
        <f t="shared" si="8"/>
        <v>0</v>
      </c>
      <c r="AY53" s="171">
        <f t="shared" si="10"/>
        <v>0</v>
      </c>
      <c r="AZ53" s="166"/>
      <c r="BA53" s="166"/>
      <c r="BB53" s="166"/>
      <c r="BC53" s="166"/>
      <c r="BD53" s="166"/>
      <c r="BE53" s="166"/>
      <c r="BF53" s="166"/>
      <c r="BG53" s="166"/>
      <c r="BH53" s="166"/>
      <c r="BI53" s="166"/>
      <c r="BJ53" s="166"/>
      <c r="BK53" s="166"/>
    </row>
    <row r="54" spans="1:63" ht="15">
      <c r="A54" s="164" t="s">
        <v>109</v>
      </c>
      <c r="B54" s="164"/>
      <c r="C54" s="164"/>
      <c r="D54" s="164"/>
      <c r="E54" s="221"/>
      <c r="F54" s="164"/>
      <c r="G54" s="164"/>
      <c r="H54" s="164"/>
      <c r="I54" s="221"/>
      <c r="J54" s="164"/>
      <c r="K54" s="164"/>
      <c r="L54" s="164"/>
      <c r="M54" s="221"/>
      <c r="N54" s="164"/>
      <c r="O54" s="164"/>
      <c r="P54" s="164"/>
      <c r="Q54" s="221"/>
      <c r="R54" s="209">
        <f t="shared" si="7"/>
        <v>0</v>
      </c>
      <c r="S54" s="171">
        <f t="shared" si="9"/>
        <v>0</v>
      </c>
      <c r="T54" s="207"/>
      <c r="U54" s="207"/>
      <c r="V54" s="207"/>
      <c r="W54" s="207"/>
      <c r="X54" s="207"/>
      <c r="Y54" s="208"/>
      <c r="Z54" s="166"/>
      <c r="AA54" s="166"/>
      <c r="AB54" s="166"/>
      <c r="AC54" s="166"/>
      <c r="AD54" s="166"/>
      <c r="AE54" s="166"/>
      <c r="AG54" s="164" t="s">
        <v>109</v>
      </c>
      <c r="AH54" s="164"/>
      <c r="AI54" s="164"/>
      <c r="AJ54" s="164"/>
      <c r="AK54" s="221"/>
      <c r="AL54" s="164"/>
      <c r="AM54" s="164"/>
      <c r="AN54" s="164"/>
      <c r="AO54" s="221"/>
      <c r="AP54" s="164"/>
      <c r="AQ54" s="164"/>
      <c r="AR54" s="164"/>
      <c r="AS54" s="221"/>
      <c r="AT54" s="164"/>
      <c r="AU54" s="164"/>
      <c r="AV54" s="164"/>
      <c r="AW54" s="221"/>
      <c r="AX54" s="209">
        <f t="shared" si="8"/>
        <v>0</v>
      </c>
      <c r="AY54" s="171">
        <f t="shared" si="10"/>
        <v>0</v>
      </c>
      <c r="AZ54" s="166"/>
      <c r="BA54" s="166"/>
      <c r="BB54" s="166"/>
      <c r="BC54" s="166"/>
      <c r="BD54" s="166"/>
      <c r="BE54" s="166"/>
      <c r="BF54" s="166"/>
      <c r="BG54" s="166"/>
      <c r="BH54" s="166"/>
      <c r="BI54" s="166"/>
      <c r="BJ54" s="166"/>
      <c r="BK54" s="166"/>
    </row>
    <row r="55" spans="1:63" ht="15">
      <c r="A55" s="164" t="s">
        <v>110</v>
      </c>
      <c r="B55" s="164"/>
      <c r="C55" s="164"/>
      <c r="D55" s="164"/>
      <c r="E55" s="221"/>
      <c r="F55" s="164"/>
      <c r="G55" s="164"/>
      <c r="H55" s="164"/>
      <c r="I55" s="221"/>
      <c r="J55" s="164"/>
      <c r="K55" s="164"/>
      <c r="L55" s="164"/>
      <c r="M55" s="221"/>
      <c r="N55" s="164"/>
      <c r="O55" s="164"/>
      <c r="P55" s="164"/>
      <c r="Q55" s="221"/>
      <c r="R55" s="209">
        <f t="shared" si="7"/>
        <v>0</v>
      </c>
      <c r="S55" s="171">
        <f t="shared" si="9"/>
        <v>0</v>
      </c>
      <c r="T55" s="207"/>
      <c r="U55" s="207"/>
      <c r="V55" s="207"/>
      <c r="W55" s="207"/>
      <c r="X55" s="207"/>
      <c r="Y55" s="208"/>
      <c r="Z55" s="166"/>
      <c r="AA55" s="166"/>
      <c r="AB55" s="166"/>
      <c r="AC55" s="166"/>
      <c r="AD55" s="166"/>
      <c r="AE55" s="166"/>
      <c r="AG55" s="164" t="s">
        <v>110</v>
      </c>
      <c r="AH55" s="164"/>
      <c r="AI55" s="164"/>
      <c r="AJ55" s="164"/>
      <c r="AK55" s="221"/>
      <c r="AL55" s="164"/>
      <c r="AM55" s="164"/>
      <c r="AN55" s="164"/>
      <c r="AO55" s="221"/>
      <c r="AP55" s="164"/>
      <c r="AQ55" s="164"/>
      <c r="AR55" s="164"/>
      <c r="AS55" s="221"/>
      <c r="AT55" s="164"/>
      <c r="AU55" s="164"/>
      <c r="AV55" s="164"/>
      <c r="AW55" s="221"/>
      <c r="AX55" s="209">
        <f t="shared" si="8"/>
        <v>0</v>
      </c>
      <c r="AY55" s="171">
        <f t="shared" si="10"/>
        <v>0</v>
      </c>
      <c r="AZ55" s="166"/>
      <c r="BA55" s="166"/>
      <c r="BB55" s="166"/>
      <c r="BC55" s="166"/>
      <c r="BD55" s="166"/>
      <c r="BE55" s="166"/>
      <c r="BF55" s="166"/>
      <c r="BG55" s="166"/>
      <c r="BH55" s="166"/>
      <c r="BI55" s="166"/>
      <c r="BJ55" s="166"/>
      <c r="BK55" s="166"/>
    </row>
    <row r="56" spans="1:63" ht="15">
      <c r="A56" s="164" t="s">
        <v>111</v>
      </c>
      <c r="B56" s="164"/>
      <c r="C56" s="164"/>
      <c r="D56" s="164"/>
      <c r="E56" s="221"/>
      <c r="F56" s="164"/>
      <c r="G56" s="164"/>
      <c r="H56" s="164"/>
      <c r="I56" s="221"/>
      <c r="J56" s="164"/>
      <c r="K56" s="164"/>
      <c r="L56" s="164"/>
      <c r="M56" s="221"/>
      <c r="N56" s="164"/>
      <c r="O56" s="164"/>
      <c r="P56" s="164"/>
      <c r="Q56" s="221"/>
      <c r="R56" s="209">
        <f t="shared" si="7"/>
        <v>0</v>
      </c>
      <c r="S56" s="171">
        <f t="shared" si="9"/>
        <v>0</v>
      </c>
      <c r="T56" s="207"/>
      <c r="U56" s="207"/>
      <c r="V56" s="207"/>
      <c r="W56" s="207"/>
      <c r="X56" s="207"/>
      <c r="Y56" s="208"/>
      <c r="Z56" s="166"/>
      <c r="AA56" s="166"/>
      <c r="AB56" s="166"/>
      <c r="AC56" s="166"/>
      <c r="AD56" s="166"/>
      <c r="AE56" s="166"/>
      <c r="AG56" s="164" t="s">
        <v>111</v>
      </c>
      <c r="AH56" s="164"/>
      <c r="AI56" s="164"/>
      <c r="AJ56" s="164"/>
      <c r="AK56" s="221"/>
      <c r="AL56" s="164"/>
      <c r="AM56" s="164"/>
      <c r="AN56" s="164"/>
      <c r="AO56" s="221"/>
      <c r="AP56" s="164"/>
      <c r="AQ56" s="164"/>
      <c r="AR56" s="164"/>
      <c r="AS56" s="221"/>
      <c r="AT56" s="164"/>
      <c r="AU56" s="164"/>
      <c r="AV56" s="164"/>
      <c r="AW56" s="221"/>
      <c r="AX56" s="209">
        <f t="shared" si="8"/>
        <v>0</v>
      </c>
      <c r="AY56" s="171">
        <f t="shared" si="10"/>
        <v>0</v>
      </c>
      <c r="AZ56" s="166"/>
      <c r="BA56" s="166"/>
      <c r="BB56" s="166"/>
      <c r="BC56" s="166"/>
      <c r="BD56" s="166"/>
      <c r="BE56" s="166"/>
      <c r="BF56" s="166"/>
      <c r="BG56" s="166"/>
      <c r="BH56" s="166"/>
      <c r="BI56" s="166"/>
      <c r="BJ56" s="166"/>
      <c r="BK56" s="166"/>
    </row>
    <row r="57" spans="1:63" ht="15">
      <c r="A57" s="164" t="s">
        <v>112</v>
      </c>
      <c r="B57" s="164"/>
      <c r="C57" s="164"/>
      <c r="D57" s="164"/>
      <c r="E57" s="221"/>
      <c r="F57" s="164"/>
      <c r="G57" s="164"/>
      <c r="H57" s="164"/>
      <c r="I57" s="221"/>
      <c r="J57" s="164"/>
      <c r="K57" s="164"/>
      <c r="L57" s="164"/>
      <c r="M57" s="221"/>
      <c r="N57" s="164"/>
      <c r="O57" s="164"/>
      <c r="P57" s="164"/>
      <c r="Q57" s="221"/>
      <c r="R57" s="209">
        <f t="shared" si="7"/>
        <v>0</v>
      </c>
      <c r="S57" s="171">
        <f t="shared" si="9"/>
        <v>0</v>
      </c>
      <c r="T57" s="207"/>
      <c r="U57" s="207"/>
      <c r="V57" s="207"/>
      <c r="W57" s="207"/>
      <c r="X57" s="207"/>
      <c r="Y57" s="208"/>
      <c r="Z57" s="166"/>
      <c r="AA57" s="166"/>
      <c r="AB57" s="166"/>
      <c r="AC57" s="166"/>
      <c r="AD57" s="166"/>
      <c r="AE57" s="166"/>
      <c r="AG57" s="164" t="s">
        <v>112</v>
      </c>
      <c r="AH57" s="164"/>
      <c r="AI57" s="164"/>
      <c r="AJ57" s="164"/>
      <c r="AK57" s="221"/>
      <c r="AL57" s="164"/>
      <c r="AM57" s="164"/>
      <c r="AN57" s="164"/>
      <c r="AO57" s="221"/>
      <c r="AP57" s="164"/>
      <c r="AQ57" s="164"/>
      <c r="AR57" s="164"/>
      <c r="AS57" s="221"/>
      <c r="AT57" s="164"/>
      <c r="AU57" s="164"/>
      <c r="AV57" s="164"/>
      <c r="AW57" s="221"/>
      <c r="AX57" s="209">
        <f t="shared" si="8"/>
        <v>0</v>
      </c>
      <c r="AY57" s="171">
        <f t="shared" si="10"/>
        <v>0</v>
      </c>
      <c r="AZ57" s="166"/>
      <c r="BA57" s="166"/>
      <c r="BB57" s="166"/>
      <c r="BC57" s="166"/>
      <c r="BD57" s="166"/>
      <c r="BE57" s="166"/>
      <c r="BF57" s="166"/>
      <c r="BG57" s="166"/>
      <c r="BH57" s="166"/>
      <c r="BI57" s="166"/>
      <c r="BJ57" s="166"/>
      <c r="BK57" s="166"/>
    </row>
    <row r="58" spans="1:63" ht="15">
      <c r="A58" s="168" t="s">
        <v>113</v>
      </c>
      <c r="B58" s="165">
        <f aca="true" t="shared" si="11" ref="B58:Q58">SUM(B37:B57)</f>
        <v>0</v>
      </c>
      <c r="C58" s="165">
        <f t="shared" si="11"/>
        <v>0</v>
      </c>
      <c r="D58" s="165">
        <f t="shared" si="11"/>
        <v>0</v>
      </c>
      <c r="E58" s="222">
        <f t="shared" si="11"/>
        <v>0</v>
      </c>
      <c r="F58" s="165">
        <f t="shared" si="11"/>
        <v>0</v>
      </c>
      <c r="G58" s="165">
        <f t="shared" si="11"/>
        <v>0</v>
      </c>
      <c r="H58" s="165">
        <f t="shared" si="11"/>
        <v>0</v>
      </c>
      <c r="I58" s="222">
        <f t="shared" si="11"/>
        <v>0</v>
      </c>
      <c r="J58" s="165">
        <f t="shared" si="11"/>
        <v>0</v>
      </c>
      <c r="K58" s="165">
        <f t="shared" si="11"/>
        <v>0</v>
      </c>
      <c r="L58" s="165">
        <f t="shared" si="11"/>
        <v>0</v>
      </c>
      <c r="M58" s="222">
        <f t="shared" si="11"/>
        <v>0</v>
      </c>
      <c r="N58" s="165">
        <f t="shared" si="11"/>
        <v>0</v>
      </c>
      <c r="O58" s="165">
        <f t="shared" si="11"/>
        <v>0</v>
      </c>
      <c r="P58" s="165">
        <f t="shared" si="11"/>
        <v>0</v>
      </c>
      <c r="Q58" s="222">
        <f t="shared" si="11"/>
        <v>0</v>
      </c>
      <c r="R58" s="165">
        <f aca="true" t="shared" si="12" ref="R58:AE58">SUM(R37:R57)</f>
        <v>0</v>
      </c>
      <c r="S58" s="171">
        <f t="shared" si="12"/>
        <v>0</v>
      </c>
      <c r="T58" s="165">
        <f t="shared" si="12"/>
        <v>0</v>
      </c>
      <c r="U58" s="165">
        <f t="shared" si="12"/>
        <v>0</v>
      </c>
      <c r="V58" s="165">
        <f t="shared" si="12"/>
        <v>0</v>
      </c>
      <c r="W58" s="165">
        <f t="shared" si="12"/>
        <v>0</v>
      </c>
      <c r="X58" s="165">
        <f t="shared" si="12"/>
        <v>0</v>
      </c>
      <c r="Y58" s="165">
        <f t="shared" si="12"/>
        <v>0</v>
      </c>
      <c r="Z58" s="165">
        <f t="shared" si="12"/>
        <v>0</v>
      </c>
      <c r="AA58" s="165">
        <f t="shared" si="12"/>
        <v>0</v>
      </c>
      <c r="AB58" s="165">
        <f t="shared" si="12"/>
        <v>0</v>
      </c>
      <c r="AC58" s="165">
        <f t="shared" si="12"/>
        <v>0</v>
      </c>
      <c r="AD58" s="165">
        <f t="shared" si="12"/>
        <v>0</v>
      </c>
      <c r="AE58" s="165">
        <f t="shared" si="12"/>
        <v>0</v>
      </c>
      <c r="AG58" s="168" t="s">
        <v>113</v>
      </c>
      <c r="AH58" s="165">
        <f aca="true" t="shared" si="13" ref="AH58:AW58">SUM(AH37:AH57)</f>
        <v>0</v>
      </c>
      <c r="AI58" s="165">
        <f t="shared" si="13"/>
        <v>0</v>
      </c>
      <c r="AJ58" s="165">
        <f t="shared" si="13"/>
        <v>0</v>
      </c>
      <c r="AK58" s="222">
        <f t="shared" si="13"/>
        <v>0</v>
      </c>
      <c r="AL58" s="165">
        <f t="shared" si="13"/>
        <v>0</v>
      </c>
      <c r="AM58" s="165">
        <f t="shared" si="13"/>
        <v>0</v>
      </c>
      <c r="AN58" s="165">
        <f t="shared" si="13"/>
        <v>0</v>
      </c>
      <c r="AO58" s="222">
        <f t="shared" si="13"/>
        <v>0</v>
      </c>
      <c r="AP58" s="165">
        <f t="shared" si="13"/>
        <v>0</v>
      </c>
      <c r="AQ58" s="165">
        <f t="shared" si="13"/>
        <v>0</v>
      </c>
      <c r="AR58" s="165">
        <f t="shared" si="13"/>
        <v>0</v>
      </c>
      <c r="AS58" s="222">
        <f t="shared" si="13"/>
        <v>0</v>
      </c>
      <c r="AT58" s="165">
        <f t="shared" si="13"/>
        <v>0</v>
      </c>
      <c r="AU58" s="165">
        <f t="shared" si="13"/>
        <v>0</v>
      </c>
      <c r="AV58" s="165">
        <f t="shared" si="13"/>
        <v>0</v>
      </c>
      <c r="AW58" s="222">
        <f t="shared" si="13"/>
        <v>0</v>
      </c>
      <c r="AX58" s="210">
        <f aca="true" t="shared" si="14" ref="AX58:BK58">SUM(AX37:AX57)</f>
        <v>0</v>
      </c>
      <c r="AY58" s="172">
        <f t="shared" si="14"/>
        <v>0</v>
      </c>
      <c r="AZ58" s="165">
        <f t="shared" si="14"/>
        <v>0</v>
      </c>
      <c r="BA58" s="165">
        <f t="shared" si="14"/>
        <v>0</v>
      </c>
      <c r="BB58" s="165">
        <f t="shared" si="14"/>
        <v>0</v>
      </c>
      <c r="BC58" s="165">
        <f t="shared" si="14"/>
        <v>0</v>
      </c>
      <c r="BD58" s="165">
        <f t="shared" si="14"/>
        <v>0</v>
      </c>
      <c r="BE58" s="165">
        <f t="shared" si="14"/>
        <v>0</v>
      </c>
      <c r="BF58" s="165">
        <f t="shared" si="14"/>
        <v>0</v>
      </c>
      <c r="BG58" s="165">
        <f t="shared" si="14"/>
        <v>0</v>
      </c>
      <c r="BH58" s="165">
        <f t="shared" si="14"/>
        <v>0</v>
      </c>
      <c r="BI58" s="165">
        <f t="shared" si="14"/>
        <v>0</v>
      </c>
      <c r="BJ58" s="165">
        <f t="shared" si="14"/>
        <v>0</v>
      </c>
      <c r="BK58" s="165">
        <f t="shared" si="14"/>
        <v>0</v>
      </c>
    </row>
  </sheetData>
  <sheetProtection/>
  <mergeCells count="44">
    <mergeCell ref="AX9:AY9"/>
    <mergeCell ref="B7:BK7"/>
    <mergeCell ref="T9:Y9"/>
    <mergeCell ref="A35:A36"/>
    <mergeCell ref="D35:E35"/>
    <mergeCell ref="H35:I35"/>
    <mergeCell ref="L35:M35"/>
    <mergeCell ref="P35:Q35"/>
    <mergeCell ref="R35:S35"/>
    <mergeCell ref="T35:Y35"/>
    <mergeCell ref="Z35:AE35"/>
    <mergeCell ref="AG35:AG36"/>
    <mergeCell ref="AJ35:AK35"/>
    <mergeCell ref="AN35:AO35"/>
    <mergeCell ref="AR35:AS35"/>
    <mergeCell ref="AV35:AW35"/>
    <mergeCell ref="AG9:AG10"/>
    <mergeCell ref="L9:M9"/>
    <mergeCell ref="P9:Q9"/>
    <mergeCell ref="AX35:AY35"/>
    <mergeCell ref="AZ35:BE35"/>
    <mergeCell ref="BF35:BK35"/>
    <mergeCell ref="AR9:AS9"/>
    <mergeCell ref="AV9:AW9"/>
    <mergeCell ref="BF9:BK9"/>
    <mergeCell ref="AZ9:BE9"/>
    <mergeCell ref="AG5:BK5"/>
    <mergeCell ref="A9:A10"/>
    <mergeCell ref="D9:E9"/>
    <mergeCell ref="H9:I9"/>
    <mergeCell ref="B6:BK6"/>
    <mergeCell ref="R9:S9"/>
    <mergeCell ref="A5:AE5"/>
    <mergeCell ref="AJ9:AK9"/>
    <mergeCell ref="AN9:AO9"/>
    <mergeCell ref="Z9:AE9"/>
    <mergeCell ref="BI4:BK4"/>
    <mergeCell ref="A4:BH4"/>
    <mergeCell ref="BI1:BK1"/>
    <mergeCell ref="BI2:BK2"/>
    <mergeCell ref="BI3:BK3"/>
    <mergeCell ref="A1:BH1"/>
    <mergeCell ref="A2:BH2"/>
    <mergeCell ref="A3:BH3"/>
  </mergeCells>
  <printOptions/>
  <pageMargins left="0.7" right="0.7" top="0.75" bottom="0.75" header="0.3" footer="0.3"/>
  <pageSetup fitToHeight="1" fitToWidth="1" horizontalDpi="600" verticalDpi="600" orientation="landscape" scale="18" r:id="rId1"/>
</worksheet>
</file>

<file path=xl/worksheets/sheet5.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1">
      <selection activeCell="C17" sqref="C17:Q17"/>
    </sheetView>
  </sheetViews>
  <sheetFormatPr defaultColWidth="10.8515625" defaultRowHeight="15"/>
  <cols>
    <col min="1" max="1" width="72.00390625" style="145" bestFit="1" customWidth="1"/>
    <col min="2" max="2" width="73.421875" style="145" customWidth="1"/>
    <col min="3" max="3" width="10.8515625" style="145" customWidth="1"/>
    <col min="4" max="4" width="31.140625" style="145" customWidth="1"/>
    <col min="5" max="5" width="70.140625" style="145" customWidth="1"/>
    <col min="6" max="6" width="17.28125" style="145" customWidth="1"/>
    <col min="7" max="8" width="21.8515625" style="145" customWidth="1"/>
    <col min="9" max="9" width="19.28125" style="145" customWidth="1"/>
    <col min="10" max="10" width="42.00390625" style="145" customWidth="1"/>
    <col min="11" max="16384" width="10.8515625" style="145" customWidth="1"/>
  </cols>
  <sheetData>
    <row r="1" spans="1:2" ht="25.5" customHeight="1">
      <c r="A1" s="840" t="s">
        <v>195</v>
      </c>
      <c r="B1" s="841"/>
    </row>
    <row r="2" spans="1:2" ht="25.5" customHeight="1">
      <c r="A2" s="842" t="s">
        <v>400</v>
      </c>
      <c r="B2" s="843"/>
    </row>
    <row r="3" spans="1:2" ht="15">
      <c r="A3" s="218" t="s">
        <v>324</v>
      </c>
      <c r="B3" s="147" t="s">
        <v>325</v>
      </c>
    </row>
    <row r="4" spans="1:2" ht="15">
      <c r="A4" s="219" t="s">
        <v>71</v>
      </c>
      <c r="B4" s="155" t="s">
        <v>357</v>
      </c>
    </row>
    <row r="5" spans="1:2" ht="105">
      <c r="A5" s="219" t="s">
        <v>67</v>
      </c>
      <c r="B5" s="223" t="s">
        <v>422</v>
      </c>
    </row>
    <row r="6" spans="1:2" s="146" customFormat="1" ht="15">
      <c r="A6" s="219" t="s">
        <v>0</v>
      </c>
      <c r="B6" s="844" t="s">
        <v>352</v>
      </c>
    </row>
    <row r="7" spans="1:2" s="146" customFormat="1" ht="15">
      <c r="A7" s="219" t="s">
        <v>77</v>
      </c>
      <c r="B7" s="845"/>
    </row>
    <row r="8" spans="1:2" s="146" customFormat="1" ht="15">
      <c r="A8" s="219" t="s">
        <v>73</v>
      </c>
      <c r="B8" s="845"/>
    </row>
    <row r="9" spans="1:2" s="146" customFormat="1" ht="15">
      <c r="A9" s="219" t="s">
        <v>333</v>
      </c>
      <c r="B9" s="846"/>
    </row>
    <row r="10" spans="1:2" s="146" customFormat="1" ht="30">
      <c r="A10" s="219" t="s">
        <v>293</v>
      </c>
      <c r="B10" s="148" t="s">
        <v>359</v>
      </c>
    </row>
    <row r="11" spans="1:2" s="146" customFormat="1" ht="45">
      <c r="A11" s="219" t="s">
        <v>1</v>
      </c>
      <c r="B11" s="148" t="s">
        <v>375</v>
      </c>
    </row>
    <row r="12" spans="1:2" s="146" customFormat="1" ht="60">
      <c r="A12" s="219" t="s">
        <v>15</v>
      </c>
      <c r="B12" s="149" t="s">
        <v>353</v>
      </c>
    </row>
    <row r="13" spans="1:2" s="146" customFormat="1" ht="30">
      <c r="A13" s="219" t="s">
        <v>331</v>
      </c>
      <c r="B13" s="149" t="s">
        <v>354</v>
      </c>
    </row>
    <row r="14" spans="1:2" s="146" customFormat="1" ht="45">
      <c r="A14" s="219" t="s">
        <v>332</v>
      </c>
      <c r="B14" s="149" t="s">
        <v>360</v>
      </c>
    </row>
    <row r="15" spans="1:2" ht="72" customHeight="1">
      <c r="A15" s="220" t="s">
        <v>329</v>
      </c>
      <c r="B15" s="150" t="s">
        <v>355</v>
      </c>
    </row>
    <row r="16" spans="1:2" ht="194.25">
      <c r="A16" s="220" t="s">
        <v>330</v>
      </c>
      <c r="B16" s="151" t="s">
        <v>356</v>
      </c>
    </row>
    <row r="17" spans="1:2" ht="25.5" customHeight="1">
      <c r="A17" s="842" t="s">
        <v>401</v>
      </c>
      <c r="B17" s="843"/>
    </row>
    <row r="18" spans="1:2" ht="15">
      <c r="A18" s="218" t="s">
        <v>324</v>
      </c>
      <c r="B18" s="147" t="s">
        <v>325</v>
      </c>
    </row>
    <row r="19" spans="1:2" ht="15">
      <c r="A19" s="219" t="s">
        <v>71</v>
      </c>
      <c r="B19" s="155" t="s">
        <v>357</v>
      </c>
    </row>
    <row r="20" spans="1:2" ht="105">
      <c r="A20" s="219" t="s">
        <v>67</v>
      </c>
      <c r="B20" s="154" t="s">
        <v>358</v>
      </c>
    </row>
    <row r="21" spans="1:2" ht="30">
      <c r="A21" s="219" t="s">
        <v>334</v>
      </c>
      <c r="B21" s="149" t="s">
        <v>335</v>
      </c>
    </row>
    <row r="22" spans="1:2" ht="45">
      <c r="A22" s="219" t="s">
        <v>327</v>
      </c>
      <c r="B22" s="149" t="s">
        <v>361</v>
      </c>
    </row>
    <row r="23" spans="1:2" ht="75">
      <c r="A23" s="219" t="s">
        <v>336</v>
      </c>
      <c r="B23" s="149" t="s">
        <v>337</v>
      </c>
    </row>
    <row r="24" spans="1:2" ht="30">
      <c r="A24" s="219" t="s">
        <v>326</v>
      </c>
      <c r="B24" s="152" t="s">
        <v>362</v>
      </c>
    </row>
    <row r="25" spans="1:2" ht="15">
      <c r="A25" s="219" t="s">
        <v>301</v>
      </c>
      <c r="B25" s="152" t="s">
        <v>411</v>
      </c>
    </row>
    <row r="26" spans="1:2" ht="45.75" customHeight="1">
      <c r="A26" s="219" t="s">
        <v>338</v>
      </c>
      <c r="B26" s="153" t="s">
        <v>371</v>
      </c>
    </row>
    <row r="27" spans="1:2" ht="75">
      <c r="A27" s="219" t="s">
        <v>279</v>
      </c>
      <c r="B27" s="153" t="s">
        <v>365</v>
      </c>
    </row>
    <row r="28" spans="1:2" ht="45">
      <c r="A28" s="219" t="s">
        <v>339</v>
      </c>
      <c r="B28" s="153" t="s">
        <v>340</v>
      </c>
    </row>
    <row r="29" spans="1:2" ht="45">
      <c r="A29" s="219" t="s">
        <v>364</v>
      </c>
      <c r="B29" s="153" t="s">
        <v>366</v>
      </c>
    </row>
    <row r="30" spans="1:2" ht="60">
      <c r="A30" s="219" t="s">
        <v>116</v>
      </c>
      <c r="B30" s="153" t="s">
        <v>367</v>
      </c>
    </row>
    <row r="31" spans="1:2" ht="144" customHeight="1">
      <c r="A31" s="219" t="s">
        <v>341</v>
      </c>
      <c r="B31" s="153" t="s">
        <v>368</v>
      </c>
    </row>
    <row r="32" spans="1:2" ht="30">
      <c r="A32" s="219" t="s">
        <v>342</v>
      </c>
      <c r="B32" s="153" t="s">
        <v>345</v>
      </c>
    </row>
    <row r="33" spans="1:2" ht="30">
      <c r="A33" s="219" t="s">
        <v>343</v>
      </c>
      <c r="B33" s="153" t="s">
        <v>344</v>
      </c>
    </row>
    <row r="34" spans="1:2" ht="30">
      <c r="A34" s="219" t="s">
        <v>322</v>
      </c>
      <c r="B34" s="153" t="s">
        <v>369</v>
      </c>
    </row>
    <row r="35" spans="1:2" ht="30">
      <c r="A35" s="219" t="s">
        <v>349</v>
      </c>
      <c r="B35" s="153" t="s">
        <v>346</v>
      </c>
    </row>
    <row r="36" spans="1:2" ht="75">
      <c r="A36" s="219" t="s">
        <v>412</v>
      </c>
      <c r="B36" s="153" t="s">
        <v>414</v>
      </c>
    </row>
    <row r="37" spans="1:2" ht="15">
      <c r="A37" s="219" t="s">
        <v>409</v>
      </c>
      <c r="B37" s="153" t="s">
        <v>416</v>
      </c>
    </row>
    <row r="38" spans="1:2" ht="30">
      <c r="A38" s="219" t="s">
        <v>415</v>
      </c>
      <c r="B38" s="153" t="s">
        <v>417</v>
      </c>
    </row>
    <row r="39" spans="1:2" ht="45">
      <c r="A39" s="219" t="s">
        <v>328</v>
      </c>
      <c r="B39" s="153" t="s">
        <v>347</v>
      </c>
    </row>
    <row r="40" spans="1:2" ht="28.5">
      <c r="A40" s="220" t="s">
        <v>299</v>
      </c>
      <c r="B40" s="153" t="s">
        <v>348</v>
      </c>
    </row>
    <row r="41" spans="1:2" ht="25.5" customHeight="1">
      <c r="A41" s="842" t="s">
        <v>350</v>
      </c>
      <c r="B41" s="843"/>
    </row>
    <row r="42" spans="1:2" ht="15">
      <c r="A42" s="840" t="s">
        <v>351</v>
      </c>
      <c r="B42" s="841"/>
    </row>
    <row r="43" spans="1:2" ht="72" customHeight="1">
      <c r="A43" s="838" t="s">
        <v>397</v>
      </c>
      <c r="B43" s="839"/>
    </row>
    <row r="44" spans="1:2" ht="30">
      <c r="A44" s="219" t="s">
        <v>364</v>
      </c>
      <c r="B44" s="153" t="s">
        <v>419</v>
      </c>
    </row>
    <row r="45" spans="1:2" ht="45">
      <c r="A45" s="220" t="s">
        <v>421</v>
      </c>
      <c r="B45" s="153" t="s">
        <v>420</v>
      </c>
    </row>
  </sheetData>
  <sheetProtection/>
  <mergeCells count="7">
    <mergeCell ref="A43:B43"/>
    <mergeCell ref="A1:B1"/>
    <mergeCell ref="A2:B2"/>
    <mergeCell ref="B6:B9"/>
    <mergeCell ref="A17:B17"/>
    <mergeCell ref="A41:B41"/>
    <mergeCell ref="A42:B42"/>
  </mergeCells>
  <printOptions/>
  <pageMargins left="0.25" right="0.25" top="0.75" bottom="0.75" header="0.3" footer="0.3"/>
  <pageSetup fitToHeight="1" fitToWidth="1" horizontalDpi="600" verticalDpi="600" orientation="portrait" scale="35" r:id="rId1"/>
</worksheet>
</file>

<file path=xl/worksheets/sheet6.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A1">
      <selection activeCell="A1" sqref="A1"/>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45"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31" customFormat="1" ht="15">
      <c r="A1" s="130" t="s">
        <v>114</v>
      </c>
      <c r="B1" s="130" t="s">
        <v>196</v>
      </c>
      <c r="C1" s="130" t="s">
        <v>115</v>
      </c>
      <c r="D1" s="130" t="s">
        <v>265</v>
      </c>
      <c r="E1" s="130" t="s">
        <v>116</v>
      </c>
      <c r="F1" s="130" t="s">
        <v>86</v>
      </c>
      <c r="G1" s="130" t="s">
        <v>291</v>
      </c>
      <c r="H1" s="130" t="s">
        <v>289</v>
      </c>
      <c r="I1" s="130" t="s">
        <v>301</v>
      </c>
    </row>
    <row r="2" spans="1:9" s="131" customFormat="1" ht="15">
      <c r="A2" s="132" t="s">
        <v>117</v>
      </c>
      <c r="B2" s="122" t="s">
        <v>197</v>
      </c>
      <c r="C2" s="132" t="s">
        <v>118</v>
      </c>
      <c r="D2" s="133" t="s">
        <v>267</v>
      </c>
      <c r="E2" s="124" t="s">
        <v>120</v>
      </c>
      <c r="F2" s="134" t="s">
        <v>280</v>
      </c>
      <c r="G2" s="135" t="s">
        <v>384</v>
      </c>
      <c r="H2" s="135" t="s">
        <v>303</v>
      </c>
      <c r="I2" s="136" t="s">
        <v>306</v>
      </c>
    </row>
    <row r="3" spans="1:9" ht="15">
      <c r="A3" s="132" t="s">
        <v>121</v>
      </c>
      <c r="B3" s="122" t="s">
        <v>198</v>
      </c>
      <c r="C3" s="132" t="s">
        <v>122</v>
      </c>
      <c r="D3" s="137" t="s">
        <v>119</v>
      </c>
      <c r="E3" s="124" t="s">
        <v>124</v>
      </c>
      <c r="F3" s="134" t="s">
        <v>281</v>
      </c>
      <c r="G3" s="135" t="s">
        <v>385</v>
      </c>
      <c r="H3" s="135" t="s">
        <v>304</v>
      </c>
      <c r="I3" s="136" t="s">
        <v>307</v>
      </c>
    </row>
    <row r="4" spans="1:9" ht="15">
      <c r="A4" s="132" t="s">
        <v>125</v>
      </c>
      <c r="B4" s="122" t="s">
        <v>199</v>
      </c>
      <c r="C4" s="132" t="s">
        <v>126</v>
      </c>
      <c r="D4" s="137" t="s">
        <v>123</v>
      </c>
      <c r="E4" s="124" t="s">
        <v>128</v>
      </c>
      <c r="F4" s="134" t="s">
        <v>282</v>
      </c>
      <c r="G4" s="135" t="s">
        <v>386</v>
      </c>
      <c r="H4" s="135" t="s">
        <v>393</v>
      </c>
      <c r="I4" s="136" t="s">
        <v>308</v>
      </c>
    </row>
    <row r="5" spans="1:9" ht="15">
      <c r="A5" s="132" t="s">
        <v>129</v>
      </c>
      <c r="B5" s="122" t="s">
        <v>200</v>
      </c>
      <c r="C5" s="132" t="s">
        <v>130</v>
      </c>
      <c r="D5" s="137" t="s">
        <v>127</v>
      </c>
      <c r="E5" s="124" t="s">
        <v>132</v>
      </c>
      <c r="F5" s="134" t="s">
        <v>283</v>
      </c>
      <c r="G5" s="135" t="s">
        <v>383</v>
      </c>
      <c r="H5" s="135" t="s">
        <v>394</v>
      </c>
      <c r="I5" s="136" t="s">
        <v>309</v>
      </c>
    </row>
    <row r="6" spans="1:9" ht="30">
      <c r="A6" s="132" t="s">
        <v>133</v>
      </c>
      <c r="B6" s="122" t="s">
        <v>201</v>
      </c>
      <c r="C6" s="132" t="s">
        <v>134</v>
      </c>
      <c r="D6" s="137" t="s">
        <v>131</v>
      </c>
      <c r="E6" s="124" t="s">
        <v>136</v>
      </c>
      <c r="G6" s="135" t="s">
        <v>302</v>
      </c>
      <c r="H6" s="135" t="s">
        <v>395</v>
      </c>
      <c r="I6" s="136" t="s">
        <v>310</v>
      </c>
    </row>
    <row r="7" spans="2:9" ht="30">
      <c r="B7" s="122" t="s">
        <v>202</v>
      </c>
      <c r="C7" s="132" t="s">
        <v>137</v>
      </c>
      <c r="D7" s="137" t="s">
        <v>135</v>
      </c>
      <c r="E7" s="134" t="s">
        <v>139</v>
      </c>
      <c r="G7" s="124" t="s">
        <v>392</v>
      </c>
      <c r="H7" s="135" t="s">
        <v>305</v>
      </c>
      <c r="I7" s="136" t="s">
        <v>311</v>
      </c>
    </row>
    <row r="8" spans="1:9" ht="30">
      <c r="A8" s="138"/>
      <c r="B8" s="122" t="s">
        <v>203</v>
      </c>
      <c r="C8" s="132" t="s">
        <v>140</v>
      </c>
      <c r="D8" s="137" t="s">
        <v>138</v>
      </c>
      <c r="E8" s="134" t="s">
        <v>142</v>
      </c>
      <c r="I8" s="134" t="s">
        <v>312</v>
      </c>
    </row>
    <row r="9" spans="1:9" ht="31.5" customHeight="1">
      <c r="A9" s="138"/>
      <c r="B9" s="122" t="s">
        <v>204</v>
      </c>
      <c r="C9" s="132" t="s">
        <v>143</v>
      </c>
      <c r="D9" s="137" t="s">
        <v>141</v>
      </c>
      <c r="E9" s="134" t="s">
        <v>145</v>
      </c>
      <c r="I9" s="134" t="s">
        <v>313</v>
      </c>
    </row>
    <row r="10" spans="1:9" ht="15">
      <c r="A10" s="138"/>
      <c r="B10" s="122" t="s">
        <v>205</v>
      </c>
      <c r="C10" s="132" t="s">
        <v>146</v>
      </c>
      <c r="D10" s="137" t="s">
        <v>144</v>
      </c>
      <c r="E10" s="134" t="s">
        <v>148</v>
      </c>
      <c r="I10" s="134" t="s">
        <v>314</v>
      </c>
    </row>
    <row r="11" spans="1:9" ht="15">
      <c r="A11" s="138"/>
      <c r="B11" s="122" t="s">
        <v>206</v>
      </c>
      <c r="C11" s="132" t="s">
        <v>149</v>
      </c>
      <c r="D11" s="137" t="s">
        <v>147</v>
      </c>
      <c r="E11" s="134" t="s">
        <v>151</v>
      </c>
      <c r="I11" s="134" t="s">
        <v>315</v>
      </c>
    </row>
    <row r="12" spans="1:9" ht="30">
      <c r="A12" s="138"/>
      <c r="B12" s="122" t="s">
        <v>207</v>
      </c>
      <c r="C12" s="132" t="s">
        <v>152</v>
      </c>
      <c r="D12" s="137" t="s">
        <v>150</v>
      </c>
      <c r="E12" s="134" t="s">
        <v>154</v>
      </c>
      <c r="I12" s="134" t="s">
        <v>316</v>
      </c>
    </row>
    <row r="13" spans="1:9" ht="15">
      <c r="A13" s="138"/>
      <c r="B13" s="139" t="s">
        <v>208</v>
      </c>
      <c r="D13" s="137" t="s">
        <v>153</v>
      </c>
      <c r="E13" s="134" t="s">
        <v>156</v>
      </c>
      <c r="I13" s="134" t="s">
        <v>317</v>
      </c>
    </row>
    <row r="14" spans="1:5" ht="15">
      <c r="A14" s="138"/>
      <c r="B14" s="122" t="s">
        <v>209</v>
      </c>
      <c r="C14" s="138"/>
      <c r="D14" s="137" t="s">
        <v>155</v>
      </c>
      <c r="E14" s="134" t="s">
        <v>158</v>
      </c>
    </row>
    <row r="15" spans="1:5" ht="15">
      <c r="A15" s="138"/>
      <c r="B15" s="122" t="s">
        <v>210</v>
      </c>
      <c r="C15" s="138"/>
      <c r="D15" s="137" t="s">
        <v>157</v>
      </c>
      <c r="E15" s="134" t="s">
        <v>276</v>
      </c>
    </row>
    <row r="16" spans="1:5" ht="15">
      <c r="A16" s="138"/>
      <c r="B16" s="122" t="s">
        <v>211</v>
      </c>
      <c r="C16" s="138"/>
      <c r="D16" s="137" t="s">
        <v>159</v>
      </c>
      <c r="E16" s="140"/>
    </row>
    <row r="17" spans="1:5" ht="15">
      <c r="A17" s="138"/>
      <c r="B17" s="122" t="s">
        <v>212</v>
      </c>
      <c r="C17" s="138"/>
      <c r="D17" s="137" t="s">
        <v>160</v>
      </c>
      <c r="E17" s="140"/>
    </row>
    <row r="18" spans="1:5" ht="15">
      <c r="A18" s="138"/>
      <c r="B18" s="122" t="s">
        <v>213</v>
      </c>
      <c r="C18" s="138"/>
      <c r="D18" s="137" t="s">
        <v>161</v>
      </c>
      <c r="E18" s="140"/>
    </row>
    <row r="19" spans="1:5" ht="15">
      <c r="A19" s="138"/>
      <c r="B19" s="122" t="s">
        <v>214</v>
      </c>
      <c r="C19" s="138"/>
      <c r="D19" s="137" t="s">
        <v>162</v>
      </c>
      <c r="E19" s="140"/>
    </row>
    <row r="20" spans="1:5" ht="15">
      <c r="A20" s="138"/>
      <c r="B20" s="122" t="s">
        <v>215</v>
      </c>
      <c r="C20" s="138"/>
      <c r="D20" s="137" t="s">
        <v>163</v>
      </c>
      <c r="E20" s="140"/>
    </row>
    <row r="21" spans="2:5" ht="15">
      <c r="B21" s="122" t="s">
        <v>216</v>
      </c>
      <c r="D21" s="137" t="s">
        <v>164</v>
      </c>
      <c r="E21" s="140"/>
    </row>
    <row r="22" spans="2:5" ht="15">
      <c r="B22" s="122" t="s">
        <v>217</v>
      </c>
      <c r="D22" s="137" t="s">
        <v>165</v>
      </c>
      <c r="E22" s="140"/>
    </row>
    <row r="23" spans="2:5" ht="15">
      <c r="B23" s="122" t="s">
        <v>218</v>
      </c>
      <c r="D23" s="137" t="s">
        <v>166</v>
      </c>
      <c r="E23" s="140"/>
    </row>
    <row r="24" spans="4:5" ht="15">
      <c r="D24" s="141" t="s">
        <v>266</v>
      </c>
      <c r="E24" s="141" t="s">
        <v>257</v>
      </c>
    </row>
    <row r="25" spans="4:5" ht="15">
      <c r="D25" s="142" t="s">
        <v>219</v>
      </c>
      <c r="E25" s="134" t="s">
        <v>220</v>
      </c>
    </row>
    <row r="26" spans="4:5" ht="15">
      <c r="D26" s="142" t="s">
        <v>221</v>
      </c>
      <c r="E26" s="134" t="s">
        <v>264</v>
      </c>
    </row>
    <row r="27" spans="4:5" ht="15">
      <c r="D27" s="847" t="s">
        <v>222</v>
      </c>
      <c r="E27" s="134" t="s">
        <v>223</v>
      </c>
    </row>
    <row r="28" spans="4:5" ht="15">
      <c r="D28" s="848"/>
      <c r="E28" s="134" t="s">
        <v>224</v>
      </c>
    </row>
    <row r="29" spans="4:5" ht="15">
      <c r="D29" s="848"/>
      <c r="E29" s="134" t="s">
        <v>225</v>
      </c>
    </row>
    <row r="30" spans="4:5" ht="15">
      <c r="D30" s="849"/>
      <c r="E30" s="134" t="s">
        <v>226</v>
      </c>
    </row>
    <row r="31" spans="4:5" ht="15">
      <c r="D31" s="142" t="s">
        <v>227</v>
      </c>
      <c r="E31" s="134" t="s">
        <v>228</v>
      </c>
    </row>
    <row r="32" spans="4:5" ht="15">
      <c r="D32" s="142" t="s">
        <v>229</v>
      </c>
      <c r="E32" s="134" t="s">
        <v>230</v>
      </c>
    </row>
    <row r="33" spans="4:5" ht="15">
      <c r="D33" s="142" t="s">
        <v>231</v>
      </c>
      <c r="E33" s="134" t="s">
        <v>232</v>
      </c>
    </row>
    <row r="34" spans="4:5" ht="15">
      <c r="D34" s="142" t="s">
        <v>258</v>
      </c>
      <c r="E34" s="134" t="s">
        <v>233</v>
      </c>
    </row>
    <row r="35" spans="4:5" ht="15">
      <c r="D35" s="142" t="s">
        <v>234</v>
      </c>
      <c r="E35" s="134" t="s">
        <v>235</v>
      </c>
    </row>
    <row r="36" spans="4:5" ht="15">
      <c r="D36" s="142" t="s">
        <v>236</v>
      </c>
      <c r="E36" s="134" t="s">
        <v>237</v>
      </c>
    </row>
    <row r="37" spans="4:5" ht="15">
      <c r="D37" s="142" t="s">
        <v>238</v>
      </c>
      <c r="E37" s="134" t="s">
        <v>239</v>
      </c>
    </row>
    <row r="38" spans="4:5" ht="15">
      <c r="D38" s="142" t="s">
        <v>240</v>
      </c>
      <c r="E38" s="134" t="s">
        <v>241</v>
      </c>
    </row>
    <row r="39" spans="4:5" ht="15">
      <c r="D39" s="143" t="s">
        <v>259</v>
      </c>
      <c r="E39" s="134" t="s">
        <v>242</v>
      </c>
    </row>
    <row r="40" spans="4:5" ht="15">
      <c r="D40" s="143" t="s">
        <v>243</v>
      </c>
      <c r="E40" s="134" t="s">
        <v>263</v>
      </c>
    </row>
    <row r="41" spans="4:5" ht="15">
      <c r="D41" s="142" t="s">
        <v>260</v>
      </c>
      <c r="E41" s="134" t="s">
        <v>244</v>
      </c>
    </row>
    <row r="42" spans="4:5" ht="15">
      <c r="D42" s="142" t="s">
        <v>245</v>
      </c>
      <c r="E42" s="134" t="s">
        <v>246</v>
      </c>
    </row>
    <row r="43" spans="4:5" ht="15">
      <c r="D43" s="143" t="s">
        <v>253</v>
      </c>
      <c r="E43" s="134" t="s">
        <v>262</v>
      </c>
    </row>
    <row r="44" spans="4:5" ht="15">
      <c r="D44" s="144" t="s">
        <v>254</v>
      </c>
      <c r="E44" s="134" t="s">
        <v>261</v>
      </c>
    </row>
    <row r="45" spans="4:5" ht="15">
      <c r="D45" s="137" t="s">
        <v>247</v>
      </c>
      <c r="E45" s="134" t="s">
        <v>248</v>
      </c>
    </row>
    <row r="46" spans="4:5" ht="15">
      <c r="D46" s="137" t="s">
        <v>249</v>
      </c>
      <c r="E46" s="134" t="s">
        <v>250</v>
      </c>
    </row>
    <row r="47" spans="4:5" ht="15">
      <c r="D47" s="137" t="s">
        <v>251</v>
      </c>
      <c r="E47" s="134" t="s">
        <v>252</v>
      </c>
    </row>
    <row r="48" spans="4:5" ht="15">
      <c r="D48" s="137" t="s">
        <v>255</v>
      </c>
      <c r="E48" s="134" t="s">
        <v>256</v>
      </c>
    </row>
    <row r="49" ht="15">
      <c r="D49" s="141" t="s">
        <v>268</v>
      </c>
    </row>
    <row r="50" ht="15">
      <c r="D50" s="137" t="s">
        <v>274</v>
      </c>
    </row>
    <row r="51" ht="15">
      <c r="D51" s="137" t="s">
        <v>275</v>
      </c>
    </row>
    <row r="52" ht="15">
      <c r="D52" s="141" t="s">
        <v>269</v>
      </c>
    </row>
    <row r="53" ht="15">
      <c r="D53" s="144" t="s">
        <v>270</v>
      </c>
    </row>
    <row r="54" ht="15">
      <c r="D54" s="144" t="s">
        <v>271</v>
      </c>
    </row>
    <row r="55" ht="15">
      <c r="D55" s="144" t="s">
        <v>272</v>
      </c>
    </row>
    <row r="56" ht="15">
      <c r="D56" s="144" t="s">
        <v>273</v>
      </c>
    </row>
  </sheetData>
  <sheetProtection/>
  <mergeCells count="1">
    <mergeCell ref="D27:D30"/>
  </mergeCells>
  <printOptions/>
  <pageMargins left="0.7" right="0.7" top="0.75" bottom="0.75" header="0.3" footer="0.3"/>
  <pageSetup fitToHeight="1" fitToWidth="1" horizontalDpi="600" verticalDpi="600" orientation="landscape" scale="27" r:id="rId1"/>
</worksheet>
</file>

<file path=xl/worksheets/sheet7.xml><?xml version="1.0" encoding="utf-8"?>
<worksheet xmlns="http://schemas.openxmlformats.org/spreadsheetml/2006/main" xmlns:r="http://schemas.openxmlformats.org/officeDocument/2006/relationships">
  <sheetPr>
    <tabColor rgb="FF7030A0"/>
  </sheetPr>
  <dimension ref="A2:AE28"/>
  <sheetViews>
    <sheetView zoomScalePageLayoutView="0" workbookViewId="0" topLeftCell="P2">
      <selection activeCell="AD18" sqref="AD18"/>
    </sheetView>
  </sheetViews>
  <sheetFormatPr defaultColWidth="11.421875" defaultRowHeight="15"/>
  <cols>
    <col min="2" max="2" width="25.28125" style="0" customWidth="1"/>
    <col min="3" max="3" width="29.28125" style="387" bestFit="1" customWidth="1"/>
    <col min="4" max="5" width="19.140625" style="0" customWidth="1"/>
    <col min="6" max="7" width="15.421875" style="0" customWidth="1"/>
    <col min="8" max="10" width="17.421875" style="0" customWidth="1"/>
    <col min="11" max="11" width="15.421875" style="0" customWidth="1"/>
    <col min="12" max="13" width="15.57421875" style="0" customWidth="1"/>
    <col min="14" max="14" width="15.28125" style="0" customWidth="1"/>
    <col min="15" max="15" width="13.00390625" style="0" customWidth="1"/>
    <col min="16" max="16" width="15.28125" style="0" customWidth="1"/>
    <col min="17" max="17" width="13.00390625" style="0" customWidth="1"/>
    <col min="18" max="18" width="15.8515625" style="0" customWidth="1"/>
    <col min="19" max="19" width="16.140625" style="0" customWidth="1"/>
    <col min="20" max="20" width="15.28125" style="0" bestFit="1" customWidth="1"/>
    <col min="21" max="21" width="13.00390625" style="0" bestFit="1" customWidth="1"/>
    <col min="22" max="22" width="15.28125" style="0" bestFit="1" customWidth="1"/>
    <col min="23" max="23" width="16.57421875" style="0" customWidth="1"/>
    <col min="24" max="27" width="11.421875" style="0" hidden="1" customWidth="1"/>
    <col min="28" max="28" width="15.57421875" style="0" bestFit="1" customWidth="1"/>
    <col min="29" max="29" width="16.7109375" style="0" bestFit="1" customWidth="1"/>
    <col min="30" max="30" width="16.28125" style="0" customWidth="1"/>
    <col min="31" max="31" width="13.00390625" style="0" bestFit="1" customWidth="1"/>
    <col min="33" max="33" width="14.00390625" style="0" bestFit="1" customWidth="1"/>
  </cols>
  <sheetData>
    <row r="2" spans="2:3" ht="15">
      <c r="B2" t="s">
        <v>748</v>
      </c>
      <c r="C2" s="388">
        <v>44927</v>
      </c>
    </row>
    <row r="4" spans="2:3" ht="15">
      <c r="B4" t="s">
        <v>749</v>
      </c>
      <c r="C4" s="387" t="s">
        <v>750</v>
      </c>
    </row>
    <row r="5" spans="2:6" ht="15">
      <c r="B5" t="s">
        <v>751</v>
      </c>
      <c r="C5" s="387">
        <v>78887973</v>
      </c>
      <c r="D5" s="389">
        <f>+C5/$C$9</f>
        <v>0.2651661426887374</v>
      </c>
      <c r="F5" s="387">
        <v>78887973</v>
      </c>
    </row>
    <row r="6" spans="2:6" ht="15">
      <c r="B6" t="s">
        <v>752</v>
      </c>
      <c r="C6" s="387">
        <v>148248728</v>
      </c>
      <c r="D6" s="389">
        <f>+C6/$C$9</f>
        <v>0.49830844762954957</v>
      </c>
      <c r="F6" s="387">
        <v>135888728</v>
      </c>
    </row>
    <row r="7" spans="2:6" ht="15">
      <c r="B7" t="s">
        <v>753</v>
      </c>
      <c r="C7" s="387">
        <v>49583934</v>
      </c>
      <c r="D7" s="389">
        <f>+C7/$C$9</f>
        <v>0.16666647675321736</v>
      </c>
      <c r="F7" s="387">
        <v>11205600</v>
      </c>
    </row>
    <row r="8" spans="2:6" ht="15">
      <c r="B8" t="s">
        <v>754</v>
      </c>
      <c r="C8" s="387">
        <v>20783308</v>
      </c>
      <c r="D8" s="389">
        <f>+C8/$C$9</f>
        <v>0.06985893292849567</v>
      </c>
      <c r="F8" s="387">
        <v>20760985</v>
      </c>
    </row>
    <row r="9" spans="2:3" ht="15">
      <c r="B9" t="s">
        <v>755</v>
      </c>
      <c r="C9" s="387">
        <v>297503943</v>
      </c>
    </row>
    <row r="11" spans="4:30" s="387" customFormat="1" ht="15">
      <c r="D11" s="851" t="s">
        <v>816</v>
      </c>
      <c r="E11" s="851"/>
      <c r="F11" s="851" t="s">
        <v>817</v>
      </c>
      <c r="G11" s="851"/>
      <c r="H11" s="851" t="s">
        <v>818</v>
      </c>
      <c r="I11" s="851"/>
      <c r="J11" s="851" t="s">
        <v>819</v>
      </c>
      <c r="K11" s="851"/>
      <c r="L11" s="851" t="s">
        <v>820</v>
      </c>
      <c r="M11" s="851"/>
      <c r="N11" s="851" t="s">
        <v>821</v>
      </c>
      <c r="O11" s="851"/>
      <c r="P11" s="851" t="s">
        <v>822</v>
      </c>
      <c r="Q11" s="851"/>
      <c r="R11" s="851" t="s">
        <v>823</v>
      </c>
      <c r="S11" s="851"/>
      <c r="T11" s="851" t="s">
        <v>824</v>
      </c>
      <c r="U11" s="851"/>
      <c r="V11" s="851" t="s">
        <v>825</v>
      </c>
      <c r="W11" s="851"/>
      <c r="X11" s="851" t="s">
        <v>826</v>
      </c>
      <c r="Y11" s="851"/>
      <c r="Z11" s="851" t="s">
        <v>827</v>
      </c>
      <c r="AA11" s="851"/>
      <c r="AB11" s="852" t="s">
        <v>63</v>
      </c>
      <c r="AC11" s="853"/>
      <c r="AD11" s="854"/>
    </row>
    <row r="12" spans="2:30" s="387" customFormat="1" ht="15">
      <c r="B12" s="420"/>
      <c r="C12" s="421" t="s">
        <v>828</v>
      </c>
      <c r="D12" s="421" t="s">
        <v>829</v>
      </c>
      <c r="E12" s="422" t="s">
        <v>381</v>
      </c>
      <c r="F12" s="421" t="s">
        <v>829</v>
      </c>
      <c r="G12" s="422" t="s">
        <v>381</v>
      </c>
      <c r="H12" s="421" t="s">
        <v>829</v>
      </c>
      <c r="I12" s="422" t="s">
        <v>381</v>
      </c>
      <c r="J12" s="421" t="s">
        <v>829</v>
      </c>
      <c r="K12" s="422" t="s">
        <v>381</v>
      </c>
      <c r="L12" s="421" t="s">
        <v>829</v>
      </c>
      <c r="M12" s="422" t="s">
        <v>381</v>
      </c>
      <c r="N12" s="421" t="s">
        <v>829</v>
      </c>
      <c r="O12" s="422" t="s">
        <v>381</v>
      </c>
      <c r="P12" s="421" t="s">
        <v>829</v>
      </c>
      <c r="Q12" s="422" t="s">
        <v>381</v>
      </c>
      <c r="R12" s="421" t="s">
        <v>829</v>
      </c>
      <c r="S12" s="422" t="s">
        <v>381</v>
      </c>
      <c r="T12" s="421" t="s">
        <v>829</v>
      </c>
      <c r="U12" s="422" t="s">
        <v>381</v>
      </c>
      <c r="V12" s="421" t="s">
        <v>829</v>
      </c>
      <c r="W12" s="422" t="s">
        <v>381</v>
      </c>
      <c r="X12" s="421" t="s">
        <v>829</v>
      </c>
      <c r="Y12" s="422" t="s">
        <v>381</v>
      </c>
      <c r="Z12" s="421" t="s">
        <v>829</v>
      </c>
      <c r="AA12" s="422" t="s">
        <v>381</v>
      </c>
      <c r="AB12" s="422" t="s">
        <v>829</v>
      </c>
      <c r="AC12" s="421" t="s">
        <v>828</v>
      </c>
      <c r="AD12" s="422" t="s">
        <v>381</v>
      </c>
    </row>
    <row r="13" spans="1:31" s="387" customFormat="1" ht="15">
      <c r="A13" s="850" t="s">
        <v>830</v>
      </c>
      <c r="B13" s="420" t="s">
        <v>24</v>
      </c>
      <c r="C13" s="420">
        <f>+C5</f>
        <v>78887973</v>
      </c>
      <c r="D13" s="420">
        <v>0</v>
      </c>
      <c r="E13" s="420">
        <v>10197469</v>
      </c>
      <c r="F13" s="420">
        <v>0</v>
      </c>
      <c r="G13" s="420">
        <v>10197468</v>
      </c>
      <c r="H13" s="420">
        <f>0-D13-F13</f>
        <v>0</v>
      </c>
      <c r="I13" s="420">
        <f>30592405-E13-G13</f>
        <v>10197468</v>
      </c>
      <c r="J13" s="420">
        <f>0-D13-F13-H13</f>
        <v>0</v>
      </c>
      <c r="K13" s="420">
        <f>30592405-E13-G13-I13</f>
        <v>0</v>
      </c>
      <c r="L13" s="420">
        <f>9782202-D13-F13-H13-J13</f>
        <v>9782202</v>
      </c>
      <c r="M13" s="420">
        <f>36486058-E13-G13-I13-K13</f>
        <v>5893653</v>
      </c>
      <c r="N13" s="420">
        <f>9782202-D13-F13-H13-J13-L13</f>
        <v>0</v>
      </c>
      <c r="O13" s="420">
        <f>36486058-E13-G13-I13-K13-M13</f>
        <v>0</v>
      </c>
      <c r="P13" s="420">
        <f>9782202-D13-F13-H13-J13-L13-N13</f>
        <v>0</v>
      </c>
      <c r="Q13" s="420">
        <f>40674894-E13-G13-I13-K13-M13-O13</f>
        <v>4188836</v>
      </c>
      <c r="R13" s="420">
        <f>9782203-D13-F13-H13-J13-L13-N13-P13</f>
        <v>1</v>
      </c>
      <c r="S13" s="420">
        <f>40674894-E13-G13-I13-K13-M13-O13-Q13</f>
        <v>0</v>
      </c>
      <c r="T13" s="420">
        <f>9782203-D13-F13-H13-J13-L13-N13-P13-R13</f>
        <v>0</v>
      </c>
      <c r="U13" s="420">
        <f>40674894-E13-G13-I13-K13-M13-O13-Q13-S13</f>
        <v>0</v>
      </c>
      <c r="V13" s="420">
        <f>9782203-D13-F13-H13-J13-L13-N13-P13-R13-T13</f>
        <v>0</v>
      </c>
      <c r="W13" s="420">
        <f>40674894-E13-G13-I13-K13-M13-O13-Q13-S13-U13</f>
        <v>0</v>
      </c>
      <c r="X13" s="420"/>
      <c r="Y13" s="420"/>
      <c r="Z13" s="420"/>
      <c r="AA13" s="420"/>
      <c r="AB13" s="420">
        <f>+D13+F13+H13+J13+L13+N13+P13+R13+T13+V13</f>
        <v>9782203</v>
      </c>
      <c r="AC13" s="420">
        <f>+C13-D13-F13-H13-J13-L13-N13-P13-R13-T13-V13</f>
        <v>69105770</v>
      </c>
      <c r="AD13" s="420">
        <f>+E13+G13+I13+K13+M13+O13+Q13+S13+U13+W13</f>
        <v>40674894</v>
      </c>
      <c r="AE13" s="387">
        <v>40674894</v>
      </c>
    </row>
    <row r="14" spans="1:31" s="387" customFormat="1" ht="15">
      <c r="A14" s="850"/>
      <c r="B14" s="420" t="s">
        <v>25</v>
      </c>
      <c r="C14" s="420">
        <f>+C6</f>
        <v>148248728</v>
      </c>
      <c r="D14" s="420">
        <v>12360000</v>
      </c>
      <c r="E14" s="420">
        <v>613145</v>
      </c>
      <c r="F14" s="420">
        <v>0</v>
      </c>
      <c r="G14" s="420">
        <v>450994</v>
      </c>
      <c r="H14" s="420">
        <f>12360000-D14-F14</f>
        <v>0</v>
      </c>
      <c r="I14" s="420">
        <f>1698219-E14-G14</f>
        <v>634080</v>
      </c>
      <c r="J14" s="420">
        <f>12360000-D14-F14-H14</f>
        <v>0</v>
      </c>
      <c r="K14" s="420">
        <f>2213447-E14-G14-I14</f>
        <v>515228</v>
      </c>
      <c r="L14" s="420">
        <f>13013334-D14-F14-H14-J14</f>
        <v>653334</v>
      </c>
      <c r="M14" s="420">
        <f>3831685-E14-G14-I14-K14</f>
        <v>1618238</v>
      </c>
      <c r="N14" s="420">
        <f>36413334-D14-F14-H14-J14-L14</f>
        <v>23400000</v>
      </c>
      <c r="O14" s="420">
        <f>6706689-E14-G14-I14-K14-M14</f>
        <v>2875004</v>
      </c>
      <c r="P14" s="420">
        <f>36449334-D14-F14-H14-J14-L14-N14</f>
        <v>36000</v>
      </c>
      <c r="Q14" s="420">
        <f>7512535-E14-G14-I14-K14-M14-O14</f>
        <v>805846</v>
      </c>
      <c r="R14" s="420">
        <f>36449334-D14-F14-H14-J14-L14-N14-P14</f>
        <v>0</v>
      </c>
      <c r="S14" s="420">
        <f>8144067-E14-G14-I14-K14-M14-O14-Q14</f>
        <v>631532</v>
      </c>
      <c r="T14" s="420">
        <f>37989334-D14-F14-H14-J14-L14-N14-P14-R14</f>
        <v>1540000</v>
      </c>
      <c r="U14" s="420">
        <f>12105977-E14-G14-I14-K14-M14-O14-Q14-S14</f>
        <v>3961910</v>
      </c>
      <c r="V14" s="420">
        <f>113049334-D14-F14-H14-J14-L14-N14-P14-R14-T14</f>
        <v>75060000</v>
      </c>
      <c r="W14" s="420">
        <f>12548394-E14-G14-I14-K14-M14-O14-Q14-S14-U14</f>
        <v>442417</v>
      </c>
      <c r="X14" s="420"/>
      <c r="Y14" s="420"/>
      <c r="Z14" s="420"/>
      <c r="AA14" s="420"/>
      <c r="AB14" s="420">
        <f>+D14+F14+H14+J14+L14+N14+P14+R14+T14+V14</f>
        <v>113049334</v>
      </c>
      <c r="AC14" s="420">
        <f>+C14-D14-F14-H14-J14-L14-N14-P14-R14-T14-V14</f>
        <v>35199394</v>
      </c>
      <c r="AD14" s="420">
        <f>+E14+G14+I14+K14+M14+O14+Q14+S14+U14+W14</f>
        <v>12548394</v>
      </c>
      <c r="AE14" s="387">
        <v>12105977</v>
      </c>
    </row>
    <row r="15" spans="1:31" s="387" customFormat="1" ht="15">
      <c r="A15" s="850"/>
      <c r="B15" s="420" t="s">
        <v>26</v>
      </c>
      <c r="C15" s="420">
        <f>+C7</f>
        <v>49583934</v>
      </c>
      <c r="D15" s="420">
        <v>25434667</v>
      </c>
      <c r="E15" s="420">
        <v>8240000</v>
      </c>
      <c r="F15" s="420">
        <v>12943667</v>
      </c>
      <c r="G15" s="420">
        <v>0</v>
      </c>
      <c r="H15" s="420">
        <f>38378334-D15-F15</f>
        <v>0</v>
      </c>
      <c r="I15" s="420">
        <f>8240000-E15-G15</f>
        <v>0</v>
      </c>
      <c r="J15" s="420">
        <f>38378334-D15-F15-H15</f>
        <v>0</v>
      </c>
      <c r="K15" s="420">
        <f>8240000-E15-G15-I15</f>
        <v>0</v>
      </c>
      <c r="L15" s="420">
        <f>38378334-D15-F15-H15-J15</f>
        <v>0</v>
      </c>
      <c r="M15" s="420">
        <f>8240000-E15-G15-I15-K15</f>
        <v>0</v>
      </c>
      <c r="N15" s="420">
        <f>38378334-D15-F15-H15-J15-L15</f>
        <v>0</v>
      </c>
      <c r="O15" s="420">
        <f>8240000-E15-G15-I15-K15-M15</f>
        <v>0</v>
      </c>
      <c r="P15" s="420">
        <f>38378334-D15-F15-H15-J15-L15-N15</f>
        <v>0</v>
      </c>
      <c r="Q15" s="420">
        <f>8240000-E15-G15-I15-K15-M15-O15</f>
        <v>0</v>
      </c>
      <c r="R15" s="420">
        <f>38378334-D15-F15-H15-J15-L15-N15-P15</f>
        <v>0</v>
      </c>
      <c r="S15" s="420">
        <f>8240000-E15-G15-I15-K15-M15-O15-Q15</f>
        <v>0</v>
      </c>
      <c r="T15" s="420">
        <f>41343934-D15-F15-H15-J15-L15-N15-P15-R15</f>
        <v>2965600</v>
      </c>
      <c r="U15" s="420">
        <f>8240000-E15-G15-I15-K15-M15-O15-Q15-S15</f>
        <v>0</v>
      </c>
      <c r="V15" s="420">
        <f>41343934-D15-F15-H15-J15-L15-N15-P15-R15-T15</f>
        <v>0</v>
      </c>
      <c r="W15" s="420">
        <f>8240000-E15-G15-I15-K15-M15-O15-Q15-S15-U15</f>
        <v>0</v>
      </c>
      <c r="X15" s="420"/>
      <c r="Y15" s="420"/>
      <c r="Z15" s="420"/>
      <c r="AA15" s="420"/>
      <c r="AB15" s="420">
        <f>+D15+F15+H15+J15+L15+N15+P15+R15+T15+V15</f>
        <v>41343934</v>
      </c>
      <c r="AC15" s="420">
        <f>+C15-D15-F15-H15-J15-L15-N15-P15-R15-T15-V15</f>
        <v>8240000</v>
      </c>
      <c r="AD15" s="420">
        <f>+E15+G15+I15+K15+M15+O15+Q15+S15+U15+W15</f>
        <v>8240000</v>
      </c>
      <c r="AE15" s="387">
        <v>8240000</v>
      </c>
    </row>
    <row r="16" spans="1:31" s="387" customFormat="1" ht="15">
      <c r="A16" s="850"/>
      <c r="B16" s="420" t="s">
        <v>27</v>
      </c>
      <c r="C16" s="420">
        <f>+C8</f>
        <v>20783308</v>
      </c>
      <c r="D16" s="420">
        <v>0</v>
      </c>
      <c r="E16" s="420">
        <v>10423312</v>
      </c>
      <c r="F16" s="420">
        <v>22323</v>
      </c>
      <c r="G16" s="420">
        <v>0</v>
      </c>
      <c r="H16" s="420">
        <f>22323-D16-F16</f>
        <v>0</v>
      </c>
      <c r="I16" s="420">
        <f>10423312-E16-G16</f>
        <v>0</v>
      </c>
      <c r="J16" s="420">
        <f>22323-D16-F16-H16</f>
        <v>0</v>
      </c>
      <c r="K16" s="420">
        <f>10423312-E16-G16-I16</f>
        <v>0</v>
      </c>
      <c r="L16" s="420">
        <f>22323-D16-F16-H16-J16</f>
        <v>0</v>
      </c>
      <c r="M16" s="420">
        <f>16912312-E16-G16-I16-K16</f>
        <v>6489000</v>
      </c>
      <c r="N16" s="420">
        <f>1744323-D16-F16-H16-J16-L16</f>
        <v>1722000</v>
      </c>
      <c r="O16" s="420">
        <f>16912312-E16-G16-I16-K16-M16</f>
        <v>0</v>
      </c>
      <c r="P16" s="420">
        <f>1744323-D16-F16-H16-J16-L16-N16</f>
        <v>0</v>
      </c>
      <c r="Q16" s="420">
        <f>16912312-E16-G16-I16-K16-M16-O16</f>
        <v>0</v>
      </c>
      <c r="R16" s="420">
        <f>1744323-D16-F16-H16-J16-L16-N16-P16</f>
        <v>0</v>
      </c>
      <c r="S16" s="420">
        <f>16912312-E16-G16-I16-K16-M16-O16-Q16</f>
        <v>0</v>
      </c>
      <c r="T16" s="420">
        <f>3870996-D16-F16-H16-J16-L16-N16-P16-R16</f>
        <v>2126673</v>
      </c>
      <c r="U16" s="420">
        <f>16912312-E16-G16-I16-K16-M16-O16-Q16-S16</f>
        <v>0</v>
      </c>
      <c r="V16" s="420">
        <f>3870996-D16-F16-H16-J16-L16-N16-P16-R16-T16</f>
        <v>0</v>
      </c>
      <c r="W16" s="420">
        <f>16912312-E16-G16-I16-K16-M16-O16-Q16-S16-U16</f>
        <v>0</v>
      </c>
      <c r="X16" s="420"/>
      <c r="Y16" s="420"/>
      <c r="Z16" s="420"/>
      <c r="AA16" s="420"/>
      <c r="AB16" s="420">
        <f>+D16+F16+H16+J16+L16+N16+P16+R16+T16+V16</f>
        <v>3870996</v>
      </c>
      <c r="AC16" s="420">
        <f>+C16-D16-F16-H16-J16-L16-N16-P16-R16-T16-V16</f>
        <v>16912312</v>
      </c>
      <c r="AD16" s="420">
        <f>+E16+G16+I16+K16+M16+O16+Q16+S16+U16+W16</f>
        <v>16912312</v>
      </c>
      <c r="AE16" s="387">
        <v>16912312</v>
      </c>
    </row>
    <row r="17" spans="1:30" s="387" customFormat="1" ht="15">
      <c r="A17" s="850"/>
      <c r="B17" s="421" t="s">
        <v>8</v>
      </c>
      <c r="C17" s="421">
        <f aca="true" t="shared" si="0" ref="C17:W17">SUM(C13:C16)</f>
        <v>297503943</v>
      </c>
      <c r="D17" s="421">
        <f t="shared" si="0"/>
        <v>37794667</v>
      </c>
      <c r="E17" s="421">
        <f t="shared" si="0"/>
        <v>29473926</v>
      </c>
      <c r="F17" s="421">
        <f t="shared" si="0"/>
        <v>12965990</v>
      </c>
      <c r="G17" s="421">
        <f t="shared" si="0"/>
        <v>10648462</v>
      </c>
      <c r="H17" s="421">
        <f t="shared" si="0"/>
        <v>0</v>
      </c>
      <c r="I17" s="421">
        <f t="shared" si="0"/>
        <v>10831548</v>
      </c>
      <c r="J17" s="421">
        <f t="shared" si="0"/>
        <v>0</v>
      </c>
      <c r="K17" s="421">
        <f t="shared" si="0"/>
        <v>515228</v>
      </c>
      <c r="L17" s="421">
        <f t="shared" si="0"/>
        <v>10435536</v>
      </c>
      <c r="M17" s="421">
        <f t="shared" si="0"/>
        <v>14000891</v>
      </c>
      <c r="N17" s="421">
        <f t="shared" si="0"/>
        <v>25122000</v>
      </c>
      <c r="O17" s="421">
        <f t="shared" si="0"/>
        <v>2875004</v>
      </c>
      <c r="P17" s="421">
        <f t="shared" si="0"/>
        <v>36000</v>
      </c>
      <c r="Q17" s="421">
        <f t="shared" si="0"/>
        <v>4994682</v>
      </c>
      <c r="R17" s="421">
        <f t="shared" si="0"/>
        <v>1</v>
      </c>
      <c r="S17" s="421">
        <f t="shared" si="0"/>
        <v>631532</v>
      </c>
      <c r="T17" s="421">
        <f t="shared" si="0"/>
        <v>6632273</v>
      </c>
      <c r="U17" s="421">
        <f t="shared" si="0"/>
        <v>3961910</v>
      </c>
      <c r="V17" s="421">
        <f t="shared" si="0"/>
        <v>75060000</v>
      </c>
      <c r="W17" s="421">
        <f t="shared" si="0"/>
        <v>442417</v>
      </c>
      <c r="X17" s="420"/>
      <c r="Y17" s="421"/>
      <c r="Z17" s="420"/>
      <c r="AA17" s="421"/>
      <c r="AB17" s="421">
        <f>SUM(AB13:AB16)</f>
        <v>168046467</v>
      </c>
      <c r="AC17" s="421">
        <f>SUM(AC13:AC16)</f>
        <v>129457476</v>
      </c>
      <c r="AD17" s="421">
        <f>SUM(AD13:AD16)</f>
        <v>78375600</v>
      </c>
    </row>
    <row r="18" spans="3:31" ht="15">
      <c r="C18" s="427">
        <v>297503943</v>
      </c>
      <c r="AB18" s="455">
        <v>168046467</v>
      </c>
      <c r="AC18" s="456">
        <v>129457476</v>
      </c>
      <c r="AD18" s="428">
        <v>78375600</v>
      </c>
      <c r="AE18" s="441">
        <f>+AD18/AC18</f>
        <v>0.6054157891970642</v>
      </c>
    </row>
    <row r="19" spans="28:30" ht="15">
      <c r="AB19" s="435">
        <f>+AB17-AB18</f>
        <v>0</v>
      </c>
      <c r="AC19" s="435">
        <f>+AC17-AC18</f>
        <v>0</v>
      </c>
      <c r="AD19" s="435">
        <f>+AD17-AD18</f>
        <v>0</v>
      </c>
    </row>
    <row r="20" spans="2:3" ht="15">
      <c r="B20" t="s">
        <v>24</v>
      </c>
      <c r="C20" s="387">
        <f>+'Meta 1'!O24</f>
        <v>69105770</v>
      </c>
    </row>
    <row r="21" spans="2:29" ht="15">
      <c r="B21" t="s">
        <v>25</v>
      </c>
      <c r="C21" s="387">
        <f>+'Metas 2'!O24</f>
        <v>35199394</v>
      </c>
      <c r="AC21" s="442"/>
    </row>
    <row r="22" spans="2:29" ht="15">
      <c r="B22" t="s">
        <v>26</v>
      </c>
      <c r="C22" s="387">
        <f>+'Meta 3'!O24</f>
        <v>8240000</v>
      </c>
      <c r="AC22" s="442"/>
    </row>
    <row r="23" spans="2:29" ht="15">
      <c r="B23" t="s">
        <v>27</v>
      </c>
      <c r="C23" s="387">
        <f>+'Meta 4'!O24</f>
        <v>16912312</v>
      </c>
      <c r="AC23" s="442"/>
    </row>
    <row r="24" spans="2:29" ht="15">
      <c r="B24" t="s">
        <v>8</v>
      </c>
      <c r="AC24" s="442"/>
    </row>
    <row r="25" ht="15">
      <c r="C25" s="387">
        <f>+C13-C20</f>
        <v>9782203</v>
      </c>
    </row>
    <row r="26" ht="15">
      <c r="C26" s="442">
        <f>+C14-C21</f>
        <v>113049334</v>
      </c>
    </row>
    <row r="27" ht="15">
      <c r="C27" s="442">
        <f>+C15-C22</f>
        <v>41343934</v>
      </c>
    </row>
    <row r="28" ht="15">
      <c r="C28" s="442">
        <f>+C16-C23</f>
        <v>3870996</v>
      </c>
    </row>
  </sheetData>
  <sheetProtection/>
  <mergeCells count="14">
    <mergeCell ref="Z11:AA11"/>
    <mergeCell ref="D11:E11"/>
    <mergeCell ref="F11:G11"/>
    <mergeCell ref="AB11:AD11"/>
    <mergeCell ref="H11:I11"/>
    <mergeCell ref="J11:K11"/>
    <mergeCell ref="L11:M11"/>
    <mergeCell ref="N11:O11"/>
    <mergeCell ref="A13:A17"/>
    <mergeCell ref="P11:Q11"/>
    <mergeCell ref="R11:S11"/>
    <mergeCell ref="T11:U11"/>
    <mergeCell ref="V11:W11"/>
    <mergeCell ref="X11:Y1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7030A0"/>
  </sheetPr>
  <dimension ref="A3:AG32"/>
  <sheetViews>
    <sheetView zoomScalePageLayoutView="0" workbookViewId="0" topLeftCell="U2">
      <selection activeCell="AD18" sqref="AD18"/>
    </sheetView>
  </sheetViews>
  <sheetFormatPr defaultColWidth="11.421875" defaultRowHeight="15"/>
  <cols>
    <col min="1" max="1" width="14.8515625" style="0" customWidth="1"/>
    <col min="2" max="2" width="25.28125" style="0" customWidth="1"/>
    <col min="3" max="3" width="18.8515625" style="387" customWidth="1"/>
    <col min="4" max="4" width="19.28125" style="0" customWidth="1"/>
    <col min="5" max="5" width="16.28125" style="0" customWidth="1"/>
    <col min="6" max="6" width="16.57421875" style="0" customWidth="1"/>
    <col min="7" max="7" width="14.00390625" style="0" customWidth="1"/>
    <col min="8" max="8" width="16.57421875" style="0" customWidth="1"/>
    <col min="9" max="9" width="16.421875" style="0" customWidth="1"/>
    <col min="10" max="10" width="16.57421875" style="0" customWidth="1"/>
    <col min="11" max="11" width="15.8515625" style="0" customWidth="1"/>
    <col min="12" max="12" width="16.7109375" style="0" customWidth="1"/>
    <col min="13" max="13" width="19.421875" style="0" customWidth="1"/>
    <col min="14" max="14" width="16.7109375" style="0" customWidth="1"/>
    <col min="15" max="15" width="15.57421875" style="0" customWidth="1"/>
    <col min="16" max="16" width="16.7109375" style="0" customWidth="1"/>
    <col min="17" max="17" width="15.57421875" style="0" customWidth="1"/>
    <col min="18" max="19" width="16.57421875" style="0" customWidth="1"/>
    <col min="20" max="21" width="16.8515625" style="0" customWidth="1"/>
    <col min="22" max="22" width="16.7109375" style="0" bestFit="1" customWidth="1"/>
    <col min="23" max="23" width="15.57421875" style="0" bestFit="1" customWidth="1"/>
    <col min="24" max="27" width="11.421875" style="0" hidden="1" customWidth="1"/>
    <col min="28" max="28" width="18.28125" style="0" bestFit="1" customWidth="1"/>
    <col min="29" max="29" width="16.7109375" style="0" bestFit="1" customWidth="1"/>
    <col min="30" max="30" width="15.28125" style="0" customWidth="1"/>
    <col min="31" max="31" width="15.57421875" style="0" bestFit="1" customWidth="1"/>
    <col min="33" max="33" width="15.57421875" style="0" bestFit="1" customWidth="1"/>
    <col min="34" max="34" width="14.00390625" style="0" bestFit="1" customWidth="1"/>
  </cols>
  <sheetData>
    <row r="3" ht="15">
      <c r="B3" t="s">
        <v>757</v>
      </c>
    </row>
    <row r="5" spans="2:6" ht="15">
      <c r="B5" t="s">
        <v>749</v>
      </c>
      <c r="C5" s="387" t="s">
        <v>756</v>
      </c>
      <c r="E5" t="s">
        <v>832</v>
      </c>
      <c r="F5" t="s">
        <v>833</v>
      </c>
    </row>
    <row r="6" spans="2:6" ht="15">
      <c r="B6" t="s">
        <v>751</v>
      </c>
      <c r="C6" s="387">
        <v>2430523029</v>
      </c>
      <c r="D6" s="389">
        <v>0.21</v>
      </c>
      <c r="E6" s="423">
        <f>+'Meta 1'!AC22</f>
        <v>2430523029</v>
      </c>
      <c r="F6" s="424">
        <f>+C6-E6</f>
        <v>0</v>
      </c>
    </row>
    <row r="7" spans="2:6" ht="15">
      <c r="B7" t="s">
        <v>752</v>
      </c>
      <c r="C7" s="387">
        <v>6698541216</v>
      </c>
      <c r="D7" s="389">
        <v>0.58</v>
      </c>
      <c r="E7" s="423">
        <f>+'Metas 2'!AC22</f>
        <v>6698541216</v>
      </c>
      <c r="F7" s="424">
        <f>+C7-E7</f>
        <v>0</v>
      </c>
    </row>
    <row r="8" spans="2:6" ht="15">
      <c r="B8" t="s">
        <v>753</v>
      </c>
      <c r="C8" s="387">
        <v>1523808689</v>
      </c>
      <c r="D8" s="389">
        <v>0.13</v>
      </c>
      <c r="E8" s="423">
        <f>+'Meta 3'!AC22</f>
        <v>1523808689</v>
      </c>
      <c r="F8" s="424">
        <f>+C8-E8</f>
        <v>0</v>
      </c>
    </row>
    <row r="9" spans="2:6" ht="15">
      <c r="B9" t="s">
        <v>754</v>
      </c>
      <c r="C9" s="387">
        <v>937784066</v>
      </c>
      <c r="D9" s="389">
        <v>0.08</v>
      </c>
      <c r="E9" s="423">
        <f>+'Meta 4'!AC22</f>
        <v>937784066</v>
      </c>
      <c r="F9" s="424">
        <f>+C9-E9</f>
        <v>0</v>
      </c>
    </row>
    <row r="10" spans="2:5" ht="15">
      <c r="B10" t="s">
        <v>755</v>
      </c>
      <c r="C10" s="387">
        <v>11590657000</v>
      </c>
      <c r="E10" s="424">
        <f>SUM(E6:E9)</f>
        <v>11590657000</v>
      </c>
    </row>
    <row r="13" spans="4:29" s="387" customFormat="1" ht="15">
      <c r="D13" s="851" t="s">
        <v>816</v>
      </c>
      <c r="E13" s="851"/>
      <c r="F13" s="851" t="s">
        <v>817</v>
      </c>
      <c r="G13" s="851"/>
      <c r="H13" s="851" t="s">
        <v>818</v>
      </c>
      <c r="I13" s="851"/>
      <c r="J13" s="851" t="s">
        <v>819</v>
      </c>
      <c r="K13" s="851"/>
      <c r="L13" s="851" t="s">
        <v>820</v>
      </c>
      <c r="M13" s="851"/>
      <c r="N13" s="851" t="s">
        <v>821</v>
      </c>
      <c r="O13" s="851"/>
      <c r="P13" s="851" t="s">
        <v>822</v>
      </c>
      <c r="Q13" s="851"/>
      <c r="R13" s="851" t="s">
        <v>823</v>
      </c>
      <c r="S13" s="851"/>
      <c r="T13" s="851" t="s">
        <v>824</v>
      </c>
      <c r="U13" s="851"/>
      <c r="V13" s="851" t="s">
        <v>825</v>
      </c>
      <c r="W13" s="851"/>
      <c r="X13" s="851" t="s">
        <v>826</v>
      </c>
      <c r="Y13" s="851"/>
      <c r="Z13" s="851" t="s">
        <v>827</v>
      </c>
      <c r="AA13" s="851"/>
      <c r="AB13" s="851" t="s">
        <v>63</v>
      </c>
      <c r="AC13" s="851"/>
    </row>
    <row r="14" spans="2:29" s="387" customFormat="1" ht="15">
      <c r="B14" s="420"/>
      <c r="C14" s="421" t="s">
        <v>831</v>
      </c>
      <c r="D14" s="421" t="s">
        <v>379</v>
      </c>
      <c r="E14" s="422" t="s">
        <v>381</v>
      </c>
      <c r="F14" s="421" t="s">
        <v>379</v>
      </c>
      <c r="G14" s="422" t="s">
        <v>381</v>
      </c>
      <c r="H14" s="421" t="s">
        <v>379</v>
      </c>
      <c r="I14" s="422" t="s">
        <v>381</v>
      </c>
      <c r="J14" s="421" t="s">
        <v>379</v>
      </c>
      <c r="K14" s="422" t="s">
        <v>381</v>
      </c>
      <c r="L14" s="421" t="s">
        <v>379</v>
      </c>
      <c r="M14" s="422" t="s">
        <v>381</v>
      </c>
      <c r="N14" s="421" t="s">
        <v>379</v>
      </c>
      <c r="O14" s="422" t="s">
        <v>381</v>
      </c>
      <c r="P14" s="421" t="s">
        <v>379</v>
      </c>
      <c r="Q14" s="422" t="s">
        <v>381</v>
      </c>
      <c r="R14" s="421" t="s">
        <v>379</v>
      </c>
      <c r="S14" s="422" t="s">
        <v>381</v>
      </c>
      <c r="T14" s="421" t="s">
        <v>379</v>
      </c>
      <c r="U14" s="422" t="s">
        <v>381</v>
      </c>
      <c r="V14" s="421" t="s">
        <v>379</v>
      </c>
      <c r="W14" s="422" t="s">
        <v>381</v>
      </c>
      <c r="X14" s="421" t="s">
        <v>379</v>
      </c>
      <c r="Y14" s="422" t="s">
        <v>381</v>
      </c>
      <c r="Z14" s="421" t="s">
        <v>379</v>
      </c>
      <c r="AA14" s="422" t="s">
        <v>381</v>
      </c>
      <c r="AB14" s="421" t="s">
        <v>379</v>
      </c>
      <c r="AC14" s="422" t="s">
        <v>381</v>
      </c>
    </row>
    <row r="15" spans="1:33" s="387" customFormat="1" ht="15">
      <c r="A15" s="850" t="s">
        <v>830</v>
      </c>
      <c r="B15" s="420" t="s">
        <v>24</v>
      </c>
      <c r="C15" s="420">
        <f>+C6</f>
        <v>2430523029</v>
      </c>
      <c r="D15" s="420">
        <v>525838496</v>
      </c>
      <c r="E15" s="420">
        <v>0</v>
      </c>
      <c r="F15" s="420">
        <v>142212061</v>
      </c>
      <c r="G15" s="420">
        <v>12534268</v>
      </c>
      <c r="H15" s="420">
        <f>649450759-D15-F15</f>
        <v>-18599798</v>
      </c>
      <c r="I15" s="420">
        <f>59840731-E15-G15</f>
        <v>47306463</v>
      </c>
      <c r="J15" s="420">
        <f>930184092-D15-F15-H15</f>
        <v>280733333</v>
      </c>
      <c r="K15" s="420">
        <f>114813861-E15-G15-I15</f>
        <v>54973130</v>
      </c>
      <c r="L15" s="420">
        <f>1739755706-D15-F15-H15-J15</f>
        <v>809571614</v>
      </c>
      <c r="M15" s="420">
        <f>482499236-E15-G15-I15-K15</f>
        <v>367685375</v>
      </c>
      <c r="N15" s="420">
        <f>2043191375-D15-F15-H15-J15-L15</f>
        <v>303435669</v>
      </c>
      <c r="O15" s="420">
        <f>537472366-E15-G15-I15-K15-M15</f>
        <v>54973130</v>
      </c>
      <c r="P15" s="420">
        <f>2120333880-D15-F15-H15-J15-L15-N15</f>
        <v>77142505</v>
      </c>
      <c r="Q15" s="420">
        <f>1415742392-E15-G15-I15-K15-M15-O15</f>
        <v>878270026</v>
      </c>
      <c r="R15" s="420">
        <f>2107718872-D15-F15-H15-J15-L15-N15-P15</f>
        <v>-12615008</v>
      </c>
      <c r="S15" s="420">
        <f>1539571527-E15-G15-I15-K15-M15-O15-Q15</f>
        <v>123829135</v>
      </c>
      <c r="T15" s="420">
        <f>2167191671-D15-F15-H15-J15-L15-N15-P15-R15</f>
        <v>59472799</v>
      </c>
      <c r="U15" s="420">
        <f>1673380431-E15-G15-I15-K15-M15-O15-Q15-S15</f>
        <v>133808904</v>
      </c>
      <c r="V15" s="420">
        <f>2176330871-D15-F15-H15-J15-L15-N15-P15-R15-T15</f>
        <v>9139200</v>
      </c>
      <c r="W15" s="420">
        <f>1797467313-E15-G15-I15-K15-M15-O15-Q15-S15-U15</f>
        <v>124086882</v>
      </c>
      <c r="X15" s="420"/>
      <c r="Y15" s="420"/>
      <c r="Z15" s="420"/>
      <c r="AA15" s="420"/>
      <c r="AB15" s="420">
        <f aca="true" t="shared" si="0" ref="AB15:AC18">+D15+F15+H15+J15+L15+N15+P15+R15+T15+V15</f>
        <v>2176330871</v>
      </c>
      <c r="AC15" s="420">
        <f t="shared" si="0"/>
        <v>1797467313</v>
      </c>
      <c r="AD15" s="387">
        <v>1797467313</v>
      </c>
      <c r="AE15" s="438">
        <f>+AC15/AB15</f>
        <v>0.8259163792379068</v>
      </c>
      <c r="AG15" s="387">
        <v>649450759</v>
      </c>
    </row>
    <row r="16" spans="1:33" s="387" customFormat="1" ht="15">
      <c r="A16" s="850"/>
      <c r="B16" s="420" t="s">
        <v>25</v>
      </c>
      <c r="C16" s="420">
        <f>+C7</f>
        <v>6698541216</v>
      </c>
      <c r="D16" s="420">
        <v>6153982761</v>
      </c>
      <c r="E16" s="420">
        <v>7763070</v>
      </c>
      <c r="F16" s="420">
        <v>187249867</v>
      </c>
      <c r="G16" s="420">
        <v>354001805</v>
      </c>
      <c r="H16" s="420">
        <f>6353623948-D16-F16</f>
        <v>12391320</v>
      </c>
      <c r="I16" s="420">
        <f>887313432-E16-G16</f>
        <v>525548557</v>
      </c>
      <c r="J16" s="420">
        <f>6430070848-D16-F16-H16</f>
        <v>76446900</v>
      </c>
      <c r="K16" s="420">
        <f>1434537815-E16-G16-I16</f>
        <v>547224383</v>
      </c>
      <c r="L16" s="420">
        <f>6410965201-D16-F16-H16-J16</f>
        <v>-19105647</v>
      </c>
      <c r="M16" s="420">
        <f>1992466214-E16-G16-I16-K16</f>
        <v>557928399</v>
      </c>
      <c r="N16" s="420">
        <f>6479279201-D16-F16-H16-J16-L16</f>
        <v>68314000</v>
      </c>
      <c r="O16" s="420">
        <f>2529061280-E16-G16-I16-K16-M16</f>
        <v>536595066</v>
      </c>
      <c r="P16" s="420">
        <f>6473884534-D16-F16-H16-J16-L16-N16</f>
        <v>-5394667</v>
      </c>
      <c r="Q16" s="420">
        <f>3088833679-E16-G16-I16-K16-M16-O16</f>
        <v>559772399</v>
      </c>
      <c r="R16" s="420">
        <f>6525337867-D16-F16-H16-J16-L16-N16-P16</f>
        <v>51453333</v>
      </c>
      <c r="S16" s="420">
        <f>3657738745-E16-G16-I16-K16-M16-O16-Q16</f>
        <v>568905066</v>
      </c>
      <c r="T16" s="420">
        <f>6581151159-D16-F16-H16-J16-L16-N16-P16-R16</f>
        <v>55813292</v>
      </c>
      <c r="U16" s="420">
        <f>4207741811-E16-G16-I16-K16-M16-O16-Q16-S16</f>
        <v>550003066</v>
      </c>
      <c r="V16" s="420">
        <f>6653698826-D16-F16-H16-J16-L16-N16-P16-R16-T16</f>
        <v>72547667</v>
      </c>
      <c r="W16" s="420">
        <f>4760010442-E16-G16-I16-K16-M16-O16-Q16-S16-U16</f>
        <v>552268631</v>
      </c>
      <c r="X16" s="420"/>
      <c r="Y16" s="420"/>
      <c r="Z16" s="420"/>
      <c r="AA16" s="420"/>
      <c r="AB16" s="420">
        <f t="shared" si="0"/>
        <v>6653698826</v>
      </c>
      <c r="AC16" s="420">
        <f t="shared" si="0"/>
        <v>4760010442</v>
      </c>
      <c r="AD16" s="387">
        <v>4760010442</v>
      </c>
      <c r="AE16" s="438">
        <f>+AC16/AB16</f>
        <v>0.7153931319223195</v>
      </c>
      <c r="AG16" s="423">
        <v>6353623948</v>
      </c>
    </row>
    <row r="17" spans="1:33" s="387" customFormat="1" ht="15">
      <c r="A17" s="850"/>
      <c r="B17" s="420" t="s">
        <v>26</v>
      </c>
      <c r="C17" s="420">
        <f>+C8</f>
        <v>1523808689</v>
      </c>
      <c r="D17" s="420">
        <v>1112475156</v>
      </c>
      <c r="E17" s="420">
        <v>0</v>
      </c>
      <c r="F17" s="420">
        <v>308525999</v>
      </c>
      <c r="G17" s="420">
        <v>45917998</v>
      </c>
      <c r="H17" s="420">
        <f>1500080199-D17-F17</f>
        <v>79079044</v>
      </c>
      <c r="I17" s="420">
        <f>155918395-E17-G17</f>
        <v>110000397</v>
      </c>
      <c r="J17" s="420">
        <f>1465602433-D17-F17-H17</f>
        <v>-34477766</v>
      </c>
      <c r="K17" s="420">
        <f>280178392-E17-G17-I17</f>
        <v>124259997</v>
      </c>
      <c r="L17" s="420">
        <f>1445311434-D17-F17-H17-J17</f>
        <v>-20290999</v>
      </c>
      <c r="M17" s="420">
        <f>410481056-E17-G17-I17-K17</f>
        <v>130302664</v>
      </c>
      <c r="N17" s="420">
        <f>1472091434-D17-F17-H17-J17-L17</f>
        <v>26780000</v>
      </c>
      <c r="O17" s="420">
        <f>540783720-E17-G17-I17-K17-M17</f>
        <v>130302664</v>
      </c>
      <c r="P17" s="420">
        <f>1472091434-D17-F17-H17-J17-L17-N17</f>
        <v>0</v>
      </c>
      <c r="Q17" s="420">
        <f>677781384-E17-G17-I17-K17-M17-O17</f>
        <v>136997664</v>
      </c>
      <c r="R17" s="420">
        <f>1472091434-D17-F17-H17-J17-L17-N17-P17</f>
        <v>0</v>
      </c>
      <c r="S17" s="420">
        <f>814779048-E17-G17-I17-K17-M17-O17-Q17</f>
        <v>136997664</v>
      </c>
      <c r="T17" s="420">
        <f>1472091434-D17-F17-H17-J17-L17-N17-P17-R17</f>
        <v>0</v>
      </c>
      <c r="U17" s="420">
        <f>951776712-E17-G17-I17-K17-M17-O17-Q17-S17</f>
        <v>136997664</v>
      </c>
      <c r="V17" s="420">
        <f>1472091434-D17-F17-H17-J17-L17-N17-P17-R17-T17</f>
        <v>0</v>
      </c>
      <c r="W17" s="420">
        <f>1088774376-E17-G17-I17-K17-M17-O17-Q17-S17-U17</f>
        <v>136997664</v>
      </c>
      <c r="X17" s="420"/>
      <c r="Y17" s="420"/>
      <c r="Z17" s="420"/>
      <c r="AA17" s="420"/>
      <c r="AB17" s="420">
        <f t="shared" si="0"/>
        <v>1472091434</v>
      </c>
      <c r="AC17" s="420">
        <f t="shared" si="0"/>
        <v>1088774376</v>
      </c>
      <c r="AD17" s="387">
        <v>1088774376</v>
      </c>
      <c r="AE17" s="438">
        <f>+AC17/AB17</f>
        <v>0.7396105641628236</v>
      </c>
      <c r="AG17" s="423">
        <v>1500080199</v>
      </c>
    </row>
    <row r="18" spans="1:33" s="387" customFormat="1" ht="15">
      <c r="A18" s="850"/>
      <c r="B18" s="420" t="s">
        <v>27</v>
      </c>
      <c r="C18" s="420">
        <f>+C9</f>
        <v>937784066</v>
      </c>
      <c r="D18" s="420">
        <v>582044581</v>
      </c>
      <c r="E18" s="420">
        <v>0</v>
      </c>
      <c r="F18" s="420">
        <v>67850000</v>
      </c>
      <c r="G18" s="420">
        <v>24978180</v>
      </c>
      <c r="H18" s="420">
        <f>715793783-D18-F18</f>
        <v>65899202</v>
      </c>
      <c r="I18" s="420">
        <f>85150492-E18-G18</f>
        <v>60172312</v>
      </c>
      <c r="J18" s="420">
        <f>711713783-D18-F18-H18</f>
        <v>-4080000</v>
      </c>
      <c r="K18" s="420">
        <f>150902804-E18-G18-I18</f>
        <v>65752312</v>
      </c>
      <c r="L18" s="420">
        <f>696027116-D18-F18-H18-J18</f>
        <v>-15686667</v>
      </c>
      <c r="M18" s="420">
        <f>221535116-E18-G18-I18-K18</f>
        <v>70632312</v>
      </c>
      <c r="N18" s="420">
        <f>769387116-D18-F18-H18-J18-L18</f>
        <v>73360000</v>
      </c>
      <c r="O18" s="420">
        <f>289324116-E18-G18-I18-K18-M18</f>
        <v>67789000</v>
      </c>
      <c r="P18" s="420">
        <f>769387116-D18-F18-H18-J18-L18-N18</f>
        <v>0</v>
      </c>
      <c r="Q18" s="420">
        <f>357113116-E18-G18-I18-K18-M18-O18</f>
        <v>67789000</v>
      </c>
      <c r="R18" s="420">
        <f>769387116-D18-F18-H18-J18-L18-N18-P18</f>
        <v>0</v>
      </c>
      <c r="S18" s="420">
        <f>418413116-E18-G18-I18-K18-M18-O18-Q18</f>
        <v>61300000</v>
      </c>
      <c r="T18" s="420">
        <f>796319899-D18-F18-H18-J18-L18-N18-P18-R18</f>
        <v>26932783</v>
      </c>
      <c r="U18" s="420">
        <f>492691116-E18-G18-I18-K18-M18-O18-Q18-S18</f>
        <v>74278000</v>
      </c>
      <c r="V18" s="420">
        <f>776799899-D18-F18-H18-J18-L18-N18-P18-R18-T18</f>
        <v>-19520000</v>
      </c>
      <c r="W18" s="420">
        <f>553991116-E18-G18-I18-K18-M18-O18-Q18-S18-U18</f>
        <v>61300000</v>
      </c>
      <c r="X18" s="420"/>
      <c r="Y18" s="420"/>
      <c r="Z18" s="420"/>
      <c r="AA18" s="420"/>
      <c r="AB18" s="420">
        <f t="shared" si="0"/>
        <v>776799899</v>
      </c>
      <c r="AC18" s="420">
        <f t="shared" si="0"/>
        <v>553991116</v>
      </c>
      <c r="AD18" s="387">
        <v>553991116</v>
      </c>
      <c r="AE18" s="438">
        <f>+AC18/AB18</f>
        <v>0.7131709423664587</v>
      </c>
      <c r="AG18" s="423">
        <v>715793783</v>
      </c>
    </row>
    <row r="19" spans="1:33" s="387" customFormat="1" ht="15">
      <c r="A19" s="850"/>
      <c r="B19" s="420"/>
      <c r="C19" s="421">
        <f>SUM(C15:C18)</f>
        <v>11590657000</v>
      </c>
      <c r="D19" s="421">
        <f>SUM(D15:D18)</f>
        <v>8374340994</v>
      </c>
      <c r="E19" s="421">
        <f>SUM(E15:E18)</f>
        <v>7763070</v>
      </c>
      <c r="F19" s="421">
        <f>SUM(F15:F18)</f>
        <v>705837927</v>
      </c>
      <c r="G19" s="421">
        <f>SUM(G15:G18)</f>
        <v>437432251</v>
      </c>
      <c r="H19" s="421">
        <f aca="true" t="shared" si="1" ref="H19:AA19">SUM(H15:H18)</f>
        <v>138769768</v>
      </c>
      <c r="I19" s="421">
        <f t="shared" si="1"/>
        <v>743027729</v>
      </c>
      <c r="J19" s="421">
        <f>SUM(J15:J18)</f>
        <v>318622467</v>
      </c>
      <c r="K19" s="421">
        <f t="shared" si="1"/>
        <v>792209822</v>
      </c>
      <c r="L19" s="421">
        <f t="shared" si="1"/>
        <v>754488301</v>
      </c>
      <c r="M19" s="421">
        <f t="shared" si="1"/>
        <v>1126548750</v>
      </c>
      <c r="N19" s="421">
        <f t="shared" si="1"/>
        <v>471889669</v>
      </c>
      <c r="O19" s="421">
        <f t="shared" si="1"/>
        <v>789659860</v>
      </c>
      <c r="P19" s="421">
        <f t="shared" si="1"/>
        <v>71747838</v>
      </c>
      <c r="Q19" s="421">
        <f t="shared" si="1"/>
        <v>1642829089</v>
      </c>
      <c r="R19" s="421">
        <f t="shared" si="1"/>
        <v>38838325</v>
      </c>
      <c r="S19" s="421">
        <f t="shared" si="1"/>
        <v>891031865</v>
      </c>
      <c r="T19" s="421">
        <f t="shared" si="1"/>
        <v>142218874</v>
      </c>
      <c r="U19" s="421">
        <f t="shared" si="1"/>
        <v>895087634</v>
      </c>
      <c r="V19" s="421">
        <f t="shared" si="1"/>
        <v>62166867</v>
      </c>
      <c r="W19" s="421">
        <f t="shared" si="1"/>
        <v>874653177</v>
      </c>
      <c r="X19" s="421">
        <f t="shared" si="1"/>
        <v>0</v>
      </c>
      <c r="Y19" s="421">
        <f t="shared" si="1"/>
        <v>0</v>
      </c>
      <c r="Z19" s="421">
        <f t="shared" si="1"/>
        <v>0</v>
      </c>
      <c r="AA19" s="421">
        <f t="shared" si="1"/>
        <v>0</v>
      </c>
      <c r="AB19" s="421">
        <f>SUM(AB15:AB18)</f>
        <v>11078921030</v>
      </c>
      <c r="AC19" s="421">
        <f>SUM(AC15:AC18)</f>
        <v>8200243247</v>
      </c>
      <c r="AG19" s="423"/>
    </row>
    <row r="20" spans="28:30" ht="15">
      <c r="AB20" s="428">
        <v>11078921030</v>
      </c>
      <c r="AC20" s="428">
        <v>8200243247</v>
      </c>
      <c r="AD20" s="429">
        <f>+AC20/AB20</f>
        <v>0.7401662332274969</v>
      </c>
    </row>
    <row r="21" spans="28:29" ht="15">
      <c r="AB21" s="424">
        <f>+AB19-AB20</f>
        <v>0</v>
      </c>
      <c r="AC21" s="424">
        <f>+AC19-AC20</f>
        <v>0</v>
      </c>
    </row>
    <row r="22" spans="16:30" ht="15">
      <c r="P22" s="424">
        <f>+P15+R15+T15</f>
        <v>124000296</v>
      </c>
      <c r="AD22" s="439" t="s">
        <v>836</v>
      </c>
    </row>
    <row r="23" ht="15">
      <c r="P23" s="424">
        <f>+P16+R16+T16</f>
        <v>101871958</v>
      </c>
    </row>
    <row r="24" ht="15">
      <c r="P24" s="424">
        <f>+P17+R17+T17</f>
        <v>0</v>
      </c>
    </row>
    <row r="25" ht="15">
      <c r="P25" s="424">
        <f>+P18+R18+T18</f>
        <v>26932783</v>
      </c>
    </row>
    <row r="26" spans="3:6" ht="15">
      <c r="C26">
        <v>2020</v>
      </c>
      <c r="D26">
        <v>2021</v>
      </c>
      <c r="E26">
        <v>2022</v>
      </c>
      <c r="F26">
        <v>2023</v>
      </c>
    </row>
    <row r="27" spans="2:28" ht="15">
      <c r="B27" s="430" t="s">
        <v>832</v>
      </c>
      <c r="C27" s="431">
        <v>0.1</v>
      </c>
      <c r="D27" s="431">
        <v>0.35</v>
      </c>
      <c r="E27" s="431">
        <v>0.6</v>
      </c>
      <c r="F27" s="431">
        <v>0.85</v>
      </c>
      <c r="AB27" s="424"/>
    </row>
    <row r="28" spans="3:28" ht="15">
      <c r="C28" s="432">
        <v>0.1</v>
      </c>
      <c r="D28" s="432">
        <v>0.35</v>
      </c>
      <c r="E28" s="432">
        <v>0.6</v>
      </c>
      <c r="F28" s="432">
        <v>0.85</v>
      </c>
      <c r="AB28" s="424"/>
    </row>
    <row r="29" spans="2:28" ht="15">
      <c r="B29" s="433" t="s">
        <v>834</v>
      </c>
      <c r="C29" s="434">
        <f>+C28</f>
        <v>0.1</v>
      </c>
      <c r="D29" s="435">
        <f>+D28-C28</f>
        <v>0.24999999999999997</v>
      </c>
      <c r="E29" s="435">
        <f>+E28-D28</f>
        <v>0.25</v>
      </c>
      <c r="F29" s="435">
        <f>+F28-E28</f>
        <v>0.25</v>
      </c>
      <c r="AA29" t="s">
        <v>852</v>
      </c>
      <c r="AB29" s="424" t="s">
        <v>851</v>
      </c>
    </row>
    <row r="30" spans="2:28" ht="15">
      <c r="B30" s="430"/>
      <c r="C30" s="430"/>
      <c r="D30" s="430"/>
      <c r="F30" s="436">
        <f>+'Meta 4'!P35</f>
        <v>0.815</v>
      </c>
      <c r="G30" t="s">
        <v>835</v>
      </c>
      <c r="AA30" t="s">
        <v>854</v>
      </c>
      <c r="AB30" s="424" t="s">
        <v>853</v>
      </c>
    </row>
    <row r="31" spans="2:28" ht="15">
      <c r="B31" s="430"/>
      <c r="C31" s="430"/>
      <c r="D31" s="430"/>
      <c r="F31" s="437">
        <f>+F30-E27</f>
        <v>0.21499999999999997</v>
      </c>
      <c r="G31" t="s">
        <v>834</v>
      </c>
      <c r="AA31" t="s">
        <v>857</v>
      </c>
      <c r="AB31" t="s">
        <v>858</v>
      </c>
    </row>
    <row r="32" spans="27:28" ht="15">
      <c r="AA32" t="s">
        <v>856</v>
      </c>
      <c r="AB32" t="s">
        <v>855</v>
      </c>
    </row>
  </sheetData>
  <sheetProtection/>
  <mergeCells count="14">
    <mergeCell ref="X13:Y13"/>
    <mergeCell ref="Z13:AA13"/>
    <mergeCell ref="D13:E13"/>
    <mergeCell ref="F13:G13"/>
    <mergeCell ref="H13:I13"/>
    <mergeCell ref="J13:K13"/>
    <mergeCell ref="L13:M13"/>
    <mergeCell ref="N13:O13"/>
    <mergeCell ref="AB13:AC13"/>
    <mergeCell ref="A15:A19"/>
    <mergeCell ref="P13:Q13"/>
    <mergeCell ref="R13:S13"/>
    <mergeCell ref="T13:U13"/>
    <mergeCell ref="V13:W13"/>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8"/>
    <pageSetUpPr fitToPage="1"/>
  </sheetPr>
  <dimension ref="A1:AO43"/>
  <sheetViews>
    <sheetView showGridLines="0" view="pageBreakPreview" zoomScale="34" zoomScaleNormal="70" zoomScaleSheetLayoutView="34" workbookViewId="0" topLeftCell="A36">
      <selection activeCell="P35" sqref="P35"/>
    </sheetView>
  </sheetViews>
  <sheetFormatPr defaultColWidth="10.8515625" defaultRowHeight="15"/>
  <cols>
    <col min="1" max="1" width="38.421875" style="246" customWidth="1"/>
    <col min="2" max="2" width="21.00390625" style="246" customWidth="1"/>
    <col min="3" max="14" width="20.7109375" style="246" customWidth="1"/>
    <col min="15" max="15" width="16.140625" style="246" customWidth="1"/>
    <col min="16" max="19" width="18.140625" style="246" customWidth="1"/>
    <col min="20" max="22" width="21.7109375" style="246" customWidth="1"/>
    <col min="23"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246" customWidth="1"/>
    <col min="33" max="33" width="18.421875" style="246"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10.8515625" style="246" customWidth="1"/>
  </cols>
  <sheetData>
    <row r="1" spans="1:30" ht="32.25" customHeight="1" thickBot="1">
      <c r="A1" s="872"/>
      <c r="B1" s="875" t="s">
        <v>16</v>
      </c>
      <c r="C1" s="876"/>
      <c r="D1" s="876"/>
      <c r="E1" s="876"/>
      <c r="F1" s="876"/>
      <c r="G1" s="876"/>
      <c r="H1" s="876"/>
      <c r="I1" s="876"/>
      <c r="J1" s="876"/>
      <c r="K1" s="876"/>
      <c r="L1" s="876"/>
      <c r="M1" s="876"/>
      <c r="N1" s="876"/>
      <c r="O1" s="876"/>
      <c r="P1" s="876"/>
      <c r="Q1" s="876"/>
      <c r="R1" s="876"/>
      <c r="S1" s="876"/>
      <c r="T1" s="876"/>
      <c r="U1" s="876"/>
      <c r="V1" s="876"/>
      <c r="W1" s="876"/>
      <c r="X1" s="876"/>
      <c r="Y1" s="876"/>
      <c r="Z1" s="876"/>
      <c r="AA1" s="877"/>
      <c r="AB1" s="878" t="s">
        <v>423</v>
      </c>
      <c r="AC1" s="879"/>
      <c r="AD1" s="880"/>
    </row>
    <row r="2" spans="1:30" ht="30.75" customHeight="1" thickBot="1">
      <c r="A2" s="873"/>
      <c r="B2" s="875" t="s">
        <v>17</v>
      </c>
      <c r="C2" s="876"/>
      <c r="D2" s="876"/>
      <c r="E2" s="876"/>
      <c r="F2" s="876"/>
      <c r="G2" s="876"/>
      <c r="H2" s="876"/>
      <c r="I2" s="876"/>
      <c r="J2" s="876"/>
      <c r="K2" s="876"/>
      <c r="L2" s="876"/>
      <c r="M2" s="876"/>
      <c r="N2" s="876"/>
      <c r="O2" s="876"/>
      <c r="P2" s="876"/>
      <c r="Q2" s="876"/>
      <c r="R2" s="876"/>
      <c r="S2" s="876"/>
      <c r="T2" s="876"/>
      <c r="U2" s="876"/>
      <c r="V2" s="876"/>
      <c r="W2" s="876"/>
      <c r="X2" s="876"/>
      <c r="Y2" s="876"/>
      <c r="Z2" s="876"/>
      <c r="AA2" s="877"/>
      <c r="AB2" s="881" t="s">
        <v>418</v>
      </c>
      <c r="AC2" s="882"/>
      <c r="AD2" s="883"/>
    </row>
    <row r="3" spans="1:30" ht="24" customHeight="1">
      <c r="A3" s="873"/>
      <c r="B3" s="884" t="s">
        <v>295</v>
      </c>
      <c r="C3" s="885"/>
      <c r="D3" s="885"/>
      <c r="E3" s="885"/>
      <c r="F3" s="885"/>
      <c r="G3" s="885"/>
      <c r="H3" s="885"/>
      <c r="I3" s="885"/>
      <c r="J3" s="885"/>
      <c r="K3" s="885"/>
      <c r="L3" s="885"/>
      <c r="M3" s="885"/>
      <c r="N3" s="885"/>
      <c r="O3" s="885"/>
      <c r="P3" s="885"/>
      <c r="Q3" s="885"/>
      <c r="R3" s="885"/>
      <c r="S3" s="885"/>
      <c r="T3" s="885"/>
      <c r="U3" s="885"/>
      <c r="V3" s="885"/>
      <c r="W3" s="885"/>
      <c r="X3" s="885"/>
      <c r="Y3" s="885"/>
      <c r="Z3" s="885"/>
      <c r="AA3" s="886"/>
      <c r="AB3" s="881" t="s">
        <v>424</v>
      </c>
      <c r="AC3" s="882"/>
      <c r="AD3" s="883"/>
    </row>
    <row r="4" spans="1:30" ht="21.75" customHeight="1" thickBot="1">
      <c r="A4" s="874"/>
      <c r="B4" s="887"/>
      <c r="C4" s="888"/>
      <c r="D4" s="888"/>
      <c r="E4" s="888"/>
      <c r="F4" s="888"/>
      <c r="G4" s="888"/>
      <c r="H4" s="888"/>
      <c r="I4" s="888"/>
      <c r="J4" s="888"/>
      <c r="K4" s="888"/>
      <c r="L4" s="888"/>
      <c r="M4" s="888"/>
      <c r="N4" s="888"/>
      <c r="O4" s="888"/>
      <c r="P4" s="888"/>
      <c r="Q4" s="888"/>
      <c r="R4" s="888"/>
      <c r="S4" s="888"/>
      <c r="T4" s="888"/>
      <c r="U4" s="888"/>
      <c r="V4" s="888"/>
      <c r="W4" s="888"/>
      <c r="X4" s="888"/>
      <c r="Y4" s="888"/>
      <c r="Z4" s="888"/>
      <c r="AA4" s="889"/>
      <c r="AB4" s="644" t="s">
        <v>774</v>
      </c>
      <c r="AC4" s="645"/>
      <c r="AD4" s="646"/>
    </row>
    <row r="5" spans="1:30" ht="9" customHeight="1" thickBot="1">
      <c r="A5" s="249"/>
      <c r="B5" s="311"/>
      <c r="C5" s="312"/>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647" t="s">
        <v>293</v>
      </c>
      <c r="B7" s="648"/>
      <c r="C7" s="909" t="s">
        <v>48</v>
      </c>
      <c r="D7" s="647" t="s">
        <v>71</v>
      </c>
      <c r="E7" s="653"/>
      <c r="F7" s="653"/>
      <c r="G7" s="653"/>
      <c r="H7" s="648"/>
      <c r="I7" s="864" t="s">
        <v>861</v>
      </c>
      <c r="J7" s="865"/>
      <c r="K7" s="647" t="s">
        <v>67</v>
      </c>
      <c r="L7" s="648"/>
      <c r="M7" s="870" t="s">
        <v>70</v>
      </c>
      <c r="N7" s="871"/>
      <c r="O7" s="890"/>
      <c r="P7" s="891"/>
      <c r="Q7" s="252"/>
      <c r="R7" s="252"/>
      <c r="S7" s="252"/>
      <c r="T7" s="252"/>
      <c r="U7" s="252"/>
      <c r="V7" s="252"/>
      <c r="W7" s="252"/>
      <c r="X7" s="252"/>
      <c r="Y7" s="252"/>
      <c r="Z7" s="253"/>
      <c r="AA7" s="252"/>
      <c r="AB7" s="252"/>
      <c r="AC7" s="258"/>
      <c r="AD7" s="259"/>
    </row>
    <row r="8" spans="1:30" ht="15" customHeight="1">
      <c r="A8" s="649"/>
      <c r="B8" s="650"/>
      <c r="C8" s="910"/>
      <c r="D8" s="649"/>
      <c r="E8" s="912"/>
      <c r="F8" s="912"/>
      <c r="G8" s="912"/>
      <c r="H8" s="650"/>
      <c r="I8" s="866"/>
      <c r="J8" s="867"/>
      <c r="K8" s="649"/>
      <c r="L8" s="650"/>
      <c r="M8" s="892" t="s">
        <v>68</v>
      </c>
      <c r="N8" s="893"/>
      <c r="O8" s="894"/>
      <c r="P8" s="895"/>
      <c r="Q8" s="252"/>
      <c r="R8" s="252"/>
      <c r="S8" s="252"/>
      <c r="T8" s="252"/>
      <c r="U8" s="252"/>
      <c r="V8" s="252"/>
      <c r="W8" s="252"/>
      <c r="X8" s="252"/>
      <c r="Y8" s="252"/>
      <c r="Z8" s="253"/>
      <c r="AA8" s="252"/>
      <c r="AB8" s="252"/>
      <c r="AC8" s="258"/>
      <c r="AD8" s="259"/>
    </row>
    <row r="9" spans="1:30" ht="15.75" customHeight="1" thickBot="1">
      <c r="A9" s="651"/>
      <c r="B9" s="652"/>
      <c r="C9" s="911"/>
      <c r="D9" s="651"/>
      <c r="E9" s="655"/>
      <c r="F9" s="655"/>
      <c r="G9" s="655"/>
      <c r="H9" s="652"/>
      <c r="I9" s="868"/>
      <c r="J9" s="869"/>
      <c r="K9" s="651"/>
      <c r="L9" s="652"/>
      <c r="M9" s="896" t="s">
        <v>69</v>
      </c>
      <c r="N9" s="897"/>
      <c r="O9" s="898" t="s">
        <v>425</v>
      </c>
      <c r="P9" s="899"/>
      <c r="Q9" s="252"/>
      <c r="R9" s="252"/>
      <c r="S9" s="252"/>
      <c r="T9" s="252"/>
      <c r="U9" s="252"/>
      <c r="V9" s="252"/>
      <c r="W9" s="252"/>
      <c r="X9" s="252"/>
      <c r="Y9" s="252"/>
      <c r="Z9" s="253"/>
      <c r="AA9" s="252"/>
      <c r="AB9" s="252"/>
      <c r="AC9" s="258"/>
      <c r="AD9" s="259"/>
    </row>
    <row r="10" spans="1:30"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row>
    <row r="11" spans="1:30" ht="15" customHeight="1">
      <c r="A11" s="647" t="s">
        <v>0</v>
      </c>
      <c r="B11" s="648"/>
      <c r="C11" s="900" t="s">
        <v>497</v>
      </c>
      <c r="D11" s="901"/>
      <c r="E11" s="901"/>
      <c r="F11" s="901"/>
      <c r="G11" s="901"/>
      <c r="H11" s="901"/>
      <c r="I11" s="901"/>
      <c r="J11" s="901"/>
      <c r="K11" s="901"/>
      <c r="L11" s="901"/>
      <c r="M11" s="901"/>
      <c r="N11" s="901"/>
      <c r="O11" s="901"/>
      <c r="P11" s="901"/>
      <c r="Q11" s="901"/>
      <c r="R11" s="901"/>
      <c r="S11" s="901"/>
      <c r="T11" s="901"/>
      <c r="U11" s="901"/>
      <c r="V11" s="901"/>
      <c r="W11" s="901"/>
      <c r="X11" s="901"/>
      <c r="Y11" s="901"/>
      <c r="Z11" s="901"/>
      <c r="AA11" s="901"/>
      <c r="AB11" s="901"/>
      <c r="AC11" s="901"/>
      <c r="AD11" s="902"/>
    </row>
    <row r="12" spans="1:30" ht="15" customHeight="1">
      <c r="A12" s="649"/>
      <c r="B12" s="650"/>
      <c r="C12" s="903"/>
      <c r="D12" s="904"/>
      <c r="E12" s="904"/>
      <c r="F12" s="904"/>
      <c r="G12" s="904"/>
      <c r="H12" s="904"/>
      <c r="I12" s="904"/>
      <c r="J12" s="904"/>
      <c r="K12" s="904"/>
      <c r="L12" s="904"/>
      <c r="M12" s="904"/>
      <c r="N12" s="904"/>
      <c r="O12" s="904"/>
      <c r="P12" s="904"/>
      <c r="Q12" s="904"/>
      <c r="R12" s="904"/>
      <c r="S12" s="904"/>
      <c r="T12" s="904"/>
      <c r="U12" s="904"/>
      <c r="V12" s="904"/>
      <c r="W12" s="904"/>
      <c r="X12" s="904"/>
      <c r="Y12" s="904"/>
      <c r="Z12" s="904"/>
      <c r="AA12" s="904"/>
      <c r="AB12" s="904"/>
      <c r="AC12" s="904"/>
      <c r="AD12" s="905"/>
    </row>
    <row r="13" spans="1:30" ht="15" customHeight="1" thickBot="1">
      <c r="A13" s="651"/>
      <c r="B13" s="652"/>
      <c r="C13" s="906"/>
      <c r="D13" s="907"/>
      <c r="E13" s="907"/>
      <c r="F13" s="907"/>
      <c r="G13" s="907"/>
      <c r="H13" s="907"/>
      <c r="I13" s="907"/>
      <c r="J13" s="907"/>
      <c r="K13" s="907"/>
      <c r="L13" s="907"/>
      <c r="M13" s="907"/>
      <c r="N13" s="907"/>
      <c r="O13" s="907"/>
      <c r="P13" s="907"/>
      <c r="Q13" s="907"/>
      <c r="R13" s="907"/>
      <c r="S13" s="907"/>
      <c r="T13" s="907"/>
      <c r="U13" s="907"/>
      <c r="V13" s="907"/>
      <c r="W13" s="907"/>
      <c r="X13" s="907"/>
      <c r="Y13" s="907"/>
      <c r="Z13" s="907"/>
      <c r="AA13" s="907"/>
      <c r="AB13" s="907"/>
      <c r="AC13" s="907"/>
      <c r="AD13" s="908"/>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617" t="s">
        <v>77</v>
      </c>
      <c r="B15" s="618"/>
      <c r="C15" s="913" t="s">
        <v>426</v>
      </c>
      <c r="D15" s="914"/>
      <c r="E15" s="914"/>
      <c r="F15" s="914"/>
      <c r="G15" s="914"/>
      <c r="H15" s="914"/>
      <c r="I15" s="914"/>
      <c r="J15" s="914"/>
      <c r="K15" s="915"/>
      <c r="L15" s="611" t="s">
        <v>73</v>
      </c>
      <c r="M15" s="687"/>
      <c r="N15" s="687"/>
      <c r="O15" s="687"/>
      <c r="P15" s="687"/>
      <c r="Q15" s="612"/>
      <c r="R15" s="916" t="s">
        <v>622</v>
      </c>
      <c r="S15" s="917"/>
      <c r="T15" s="917"/>
      <c r="U15" s="917"/>
      <c r="V15" s="917"/>
      <c r="W15" s="917"/>
      <c r="X15" s="918"/>
      <c r="Y15" s="611" t="s">
        <v>72</v>
      </c>
      <c r="Z15" s="612"/>
      <c r="AA15" s="913" t="s">
        <v>623</v>
      </c>
      <c r="AB15" s="914"/>
      <c r="AC15" s="914"/>
      <c r="AD15" s="915"/>
    </row>
    <row r="16" spans="1:30" ht="9" customHeight="1" thickBot="1">
      <c r="A16" s="257"/>
      <c r="B16" s="252"/>
      <c r="C16" s="919"/>
      <c r="D16" s="919"/>
      <c r="E16" s="919"/>
      <c r="F16" s="919"/>
      <c r="G16" s="919"/>
      <c r="H16" s="919"/>
      <c r="I16" s="919"/>
      <c r="J16" s="919"/>
      <c r="K16" s="919"/>
      <c r="L16" s="919"/>
      <c r="M16" s="919"/>
      <c r="N16" s="919"/>
      <c r="O16" s="919"/>
      <c r="P16" s="919"/>
      <c r="Q16" s="919"/>
      <c r="R16" s="919"/>
      <c r="S16" s="919"/>
      <c r="T16" s="919"/>
      <c r="U16" s="919"/>
      <c r="V16" s="919"/>
      <c r="W16" s="919"/>
      <c r="X16" s="919"/>
      <c r="Y16" s="919"/>
      <c r="Z16" s="919"/>
      <c r="AA16" s="919"/>
      <c r="AB16" s="919"/>
      <c r="AC16" s="271"/>
      <c r="AD16" s="272"/>
    </row>
    <row r="17" spans="1:30" s="273" customFormat="1" ht="37.5" customHeight="1" thickBot="1">
      <c r="A17" s="617" t="s">
        <v>79</v>
      </c>
      <c r="B17" s="618"/>
      <c r="C17" s="920" t="s">
        <v>624</v>
      </c>
      <c r="D17" s="921"/>
      <c r="E17" s="921"/>
      <c r="F17" s="921"/>
      <c r="G17" s="921"/>
      <c r="H17" s="921"/>
      <c r="I17" s="921"/>
      <c r="J17" s="921"/>
      <c r="K17" s="921"/>
      <c r="L17" s="921"/>
      <c r="M17" s="921"/>
      <c r="N17" s="921"/>
      <c r="O17" s="921"/>
      <c r="P17" s="921"/>
      <c r="Q17" s="922"/>
      <c r="R17" s="611" t="s">
        <v>374</v>
      </c>
      <c r="S17" s="687"/>
      <c r="T17" s="687"/>
      <c r="U17" s="687"/>
      <c r="V17" s="612"/>
      <c r="W17" s="613">
        <v>0.16</v>
      </c>
      <c r="X17" s="614"/>
      <c r="Y17" s="687" t="s">
        <v>15</v>
      </c>
      <c r="Z17" s="687"/>
      <c r="AA17" s="687"/>
      <c r="AB17" s="612"/>
      <c r="AC17" s="923">
        <f>+VIGENCIA!D6</f>
        <v>0.21</v>
      </c>
      <c r="AD17" s="924"/>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611" t="s">
        <v>1</v>
      </c>
      <c r="B19" s="687"/>
      <c r="C19" s="687"/>
      <c r="D19" s="687"/>
      <c r="E19" s="687"/>
      <c r="F19" s="687"/>
      <c r="G19" s="687"/>
      <c r="H19" s="687"/>
      <c r="I19" s="687"/>
      <c r="J19" s="687"/>
      <c r="K19" s="687"/>
      <c r="L19" s="687"/>
      <c r="M19" s="687"/>
      <c r="N19" s="687"/>
      <c r="O19" s="687"/>
      <c r="P19" s="687"/>
      <c r="Q19" s="687"/>
      <c r="R19" s="687"/>
      <c r="S19" s="687"/>
      <c r="T19" s="687"/>
      <c r="U19" s="687"/>
      <c r="V19" s="687"/>
      <c r="W19" s="687"/>
      <c r="X19" s="687"/>
      <c r="Y19" s="687"/>
      <c r="Z19" s="687"/>
      <c r="AA19" s="687"/>
      <c r="AB19" s="687"/>
      <c r="AC19" s="687"/>
      <c r="AD19" s="612"/>
      <c r="AE19" s="275"/>
      <c r="AF19" s="275"/>
    </row>
    <row r="20" spans="1:32" ht="31.5" customHeight="1" thickBot="1">
      <c r="A20" s="276"/>
      <c r="B20" s="258"/>
      <c r="C20" s="715" t="s">
        <v>376</v>
      </c>
      <c r="D20" s="763"/>
      <c r="E20" s="763"/>
      <c r="F20" s="763"/>
      <c r="G20" s="763"/>
      <c r="H20" s="763"/>
      <c r="I20" s="763"/>
      <c r="J20" s="763"/>
      <c r="K20" s="763"/>
      <c r="L20" s="763"/>
      <c r="M20" s="763"/>
      <c r="N20" s="763"/>
      <c r="O20" s="763"/>
      <c r="P20" s="716"/>
      <c r="Q20" s="713" t="s">
        <v>377</v>
      </c>
      <c r="R20" s="925"/>
      <c r="S20" s="925"/>
      <c r="T20" s="925"/>
      <c r="U20" s="925"/>
      <c r="V20" s="925"/>
      <c r="W20" s="925"/>
      <c r="X20" s="925"/>
      <c r="Y20" s="925"/>
      <c r="Z20" s="925"/>
      <c r="AA20" s="925"/>
      <c r="AB20" s="925"/>
      <c r="AC20" s="925"/>
      <c r="AD20" s="714"/>
      <c r="AE20" s="275"/>
      <c r="AF20" s="275"/>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4"/>
    </row>
    <row r="22" spans="1:32" ht="31.5" customHeight="1">
      <c r="A22" s="926" t="s">
        <v>378</v>
      </c>
      <c r="B22" s="927"/>
      <c r="C22" s="197">
        <f>+RESERVA!C13</f>
        <v>78887973</v>
      </c>
      <c r="D22" s="195"/>
      <c r="E22" s="195"/>
      <c r="F22" s="195"/>
      <c r="G22" s="195"/>
      <c r="H22" s="195"/>
      <c r="I22" s="195"/>
      <c r="J22" s="195"/>
      <c r="K22" s="195"/>
      <c r="L22" s="195"/>
      <c r="M22" s="195"/>
      <c r="N22" s="195"/>
      <c r="O22" s="195"/>
      <c r="P22" s="198"/>
      <c r="Q22" s="197">
        <v>886943478</v>
      </c>
      <c r="R22" s="195">
        <v>104843400</v>
      </c>
      <c r="S22" s="195">
        <v>140587987</v>
      </c>
      <c r="T22" s="195">
        <v>1077819097</v>
      </c>
      <c r="U22" s="195">
        <v>46346970</v>
      </c>
      <c r="V22" s="195">
        <v>11000000</v>
      </c>
      <c r="W22" s="195">
        <v>0</v>
      </c>
      <c r="X22" s="195">
        <v>128375097</v>
      </c>
      <c r="Y22" s="195">
        <v>32607000</v>
      </c>
      <c r="Z22" s="195">
        <v>2000000</v>
      </c>
      <c r="AA22" s="195">
        <v>0</v>
      </c>
      <c r="AB22" s="195">
        <v>0</v>
      </c>
      <c r="AC22" s="195">
        <f>SUM(Q22:AB22)</f>
        <v>2430523029</v>
      </c>
      <c r="AD22" s="202"/>
      <c r="AE22" s="4"/>
      <c r="AF22" s="4"/>
    </row>
    <row r="23" spans="1:32" ht="31.5" customHeight="1">
      <c r="A23" s="928" t="s">
        <v>379</v>
      </c>
      <c r="B23" s="929"/>
      <c r="C23" s="192"/>
      <c r="D23" s="191"/>
      <c r="E23" s="191"/>
      <c r="F23" s="191"/>
      <c r="G23" s="191"/>
      <c r="H23" s="191"/>
      <c r="I23" s="191"/>
      <c r="J23" s="191"/>
      <c r="L23" s="191"/>
      <c r="M23" s="191"/>
      <c r="N23" s="191"/>
      <c r="O23" s="191"/>
      <c r="P23" s="211"/>
      <c r="Q23" s="192">
        <f>+VIGENCIA!D15</f>
        <v>525838496</v>
      </c>
      <c r="R23" s="191">
        <f>+VIGENCIA!F15</f>
        <v>142212061</v>
      </c>
      <c r="S23" s="191">
        <f>+VIGENCIA!H15</f>
        <v>-18599798</v>
      </c>
      <c r="T23" s="191">
        <f>+VIGENCIA!J15</f>
        <v>280733333</v>
      </c>
      <c r="U23" s="191">
        <f>+VIGENCIA!L15</f>
        <v>809571614</v>
      </c>
      <c r="V23" s="191">
        <f>+VIGENCIA!N15</f>
        <v>303435669</v>
      </c>
      <c r="W23" s="191">
        <f>+VIGENCIA!P15</f>
        <v>77142505</v>
      </c>
      <c r="X23" s="191">
        <f>+VIGENCIA!R15</f>
        <v>-12615008</v>
      </c>
      <c r="Y23" s="191">
        <f>+VIGENCIA!T15</f>
        <v>59472799</v>
      </c>
      <c r="Z23" s="191">
        <f>+VIGENCIA!V15</f>
        <v>9139200</v>
      </c>
      <c r="AA23" s="191"/>
      <c r="AB23" s="191"/>
      <c r="AC23" s="191">
        <f>SUM(Q23:AB23)</f>
        <v>2176330871</v>
      </c>
      <c r="AD23" s="448">
        <f>+AC23/AC22</f>
        <v>0.8954166839947272</v>
      </c>
      <c r="AE23" s="4"/>
      <c r="AF23" s="4"/>
    </row>
    <row r="24" spans="1:32" ht="31.5" customHeight="1">
      <c r="A24" s="928" t="s">
        <v>380</v>
      </c>
      <c r="B24" s="929"/>
      <c r="C24" s="404">
        <v>10197469</v>
      </c>
      <c r="D24" s="344">
        <v>10197469</v>
      </c>
      <c r="E24" s="344">
        <v>10197466</v>
      </c>
      <c r="F24" s="344">
        <f>3380352+19782203</f>
        <v>23162555</v>
      </c>
      <c r="G24" s="191">
        <f>+-RESERVA!L13</f>
        <v>-9782202</v>
      </c>
      <c r="H24" s="191">
        <v>25133014</v>
      </c>
      <c r="I24" s="191"/>
      <c r="J24" s="191">
        <f>-RESERVA!R13</f>
        <v>-1</v>
      </c>
      <c r="K24" s="191">
        <f>+RESERVA!T13</f>
        <v>0</v>
      </c>
      <c r="L24" s="191">
        <f>+RESERVA!V13</f>
        <v>0</v>
      </c>
      <c r="M24" s="191"/>
      <c r="N24" s="191"/>
      <c r="O24" s="191">
        <f>SUM(C24:N24)</f>
        <v>69105770</v>
      </c>
      <c r="P24" s="196"/>
      <c r="Q24" s="192"/>
      <c r="R24" s="191">
        <v>47869481</v>
      </c>
      <c r="S24" s="191">
        <v>86678163</v>
      </c>
      <c r="T24" s="191">
        <v>102312613</v>
      </c>
      <c r="U24" s="191">
        <v>1179131613</v>
      </c>
      <c r="V24" s="191">
        <v>134706355</v>
      </c>
      <c r="W24" s="191">
        <v>113312613</v>
      </c>
      <c r="X24" s="191">
        <v>104094801</v>
      </c>
      <c r="Y24" s="191">
        <v>229687633</v>
      </c>
      <c r="Z24" s="191">
        <v>134921663</v>
      </c>
      <c r="AA24" s="191">
        <v>103310563</v>
      </c>
      <c r="AB24" s="191">
        <v>194497531</v>
      </c>
      <c r="AC24" s="191">
        <f>SUM(Q24:AB24)</f>
        <v>2430523029</v>
      </c>
      <c r="AD24" s="448"/>
      <c r="AE24" s="4"/>
      <c r="AF24" s="4"/>
    </row>
    <row r="25" spans="1:32" ht="31.5" customHeight="1" thickBot="1">
      <c r="A25" s="931" t="s">
        <v>381</v>
      </c>
      <c r="B25" s="932"/>
      <c r="C25" s="193">
        <f>+RESERVA!E13</f>
        <v>10197469</v>
      </c>
      <c r="D25" s="194">
        <f>+RESERVA!G13</f>
        <v>10197468</v>
      </c>
      <c r="E25" s="194">
        <f>+RESERVA!I13</f>
        <v>10197468</v>
      </c>
      <c r="F25" s="194"/>
      <c r="G25" s="194">
        <f>+RESERVA!M13</f>
        <v>5893653</v>
      </c>
      <c r="H25" s="194">
        <f>+RESERVA!O13</f>
        <v>0</v>
      </c>
      <c r="I25" s="194">
        <f>+RESERVA!Q13</f>
        <v>4188836</v>
      </c>
      <c r="J25" s="194">
        <f>+RESERVA!S13</f>
        <v>0</v>
      </c>
      <c r="K25" s="194">
        <f>+RESERVA!U13</f>
        <v>0</v>
      </c>
      <c r="L25" s="194">
        <f>+RESERVA!W13</f>
        <v>0</v>
      </c>
      <c r="M25" s="194"/>
      <c r="N25" s="194"/>
      <c r="O25" s="194">
        <f>SUM(C25:N25)</f>
        <v>40674894</v>
      </c>
      <c r="P25" s="447">
        <f>+O25/O24</f>
        <v>0.588588970211894</v>
      </c>
      <c r="Q25" s="193">
        <f>+VIGENCIA!E15</f>
        <v>0</v>
      </c>
      <c r="R25" s="194">
        <f>+VIGENCIA!G15</f>
        <v>12534268</v>
      </c>
      <c r="S25" s="194">
        <f>+VIGENCIA!I15</f>
        <v>47306463</v>
      </c>
      <c r="T25" s="194">
        <f>+VIGENCIA!K15</f>
        <v>54973130</v>
      </c>
      <c r="U25" s="194">
        <f>+VIGENCIA!M15</f>
        <v>367685375</v>
      </c>
      <c r="V25" s="194">
        <f>+VIGENCIA!O15</f>
        <v>54973130</v>
      </c>
      <c r="W25" s="194">
        <f>+VIGENCIA!Q15</f>
        <v>878270026</v>
      </c>
      <c r="X25" s="194">
        <f>+VIGENCIA!S15</f>
        <v>123829135</v>
      </c>
      <c r="Y25" s="194">
        <f>+VIGENCIA!U15</f>
        <v>133808904</v>
      </c>
      <c r="Z25" s="194">
        <f>+VIGENCIA!W15</f>
        <v>124086882</v>
      </c>
      <c r="AA25" s="194"/>
      <c r="AB25" s="194"/>
      <c r="AC25" s="194">
        <f>SUM(Q25:AB25)</f>
        <v>1797467313</v>
      </c>
      <c r="AD25" s="449">
        <f>+AC25/AC24</f>
        <v>0.739539305554138</v>
      </c>
      <c r="AE25" s="4"/>
      <c r="AF25" s="4"/>
    </row>
    <row r="26" spans="1:30" ht="31.5" customHeight="1" thickBot="1">
      <c r="A26" s="257"/>
      <c r="B26" s="252"/>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58"/>
      <c r="AD26" s="267"/>
    </row>
    <row r="27" spans="1:30" ht="33.75" customHeight="1">
      <c r="A27" s="933" t="s">
        <v>76</v>
      </c>
      <c r="B27" s="934"/>
      <c r="C27" s="935"/>
      <c r="D27" s="935"/>
      <c r="E27" s="935"/>
      <c r="F27" s="935"/>
      <c r="G27" s="935"/>
      <c r="H27" s="935"/>
      <c r="I27" s="935"/>
      <c r="J27" s="935"/>
      <c r="K27" s="935"/>
      <c r="L27" s="935"/>
      <c r="M27" s="935"/>
      <c r="N27" s="935"/>
      <c r="O27" s="935"/>
      <c r="P27" s="935"/>
      <c r="Q27" s="935"/>
      <c r="R27" s="935"/>
      <c r="S27" s="935"/>
      <c r="T27" s="935"/>
      <c r="U27" s="935"/>
      <c r="V27" s="935"/>
      <c r="W27" s="935"/>
      <c r="X27" s="935"/>
      <c r="Y27" s="935"/>
      <c r="Z27" s="935"/>
      <c r="AA27" s="935"/>
      <c r="AB27" s="935"/>
      <c r="AC27" s="935"/>
      <c r="AD27" s="936"/>
    </row>
    <row r="28" spans="1:30" ht="15" customHeight="1">
      <c r="A28" s="937" t="s">
        <v>189</v>
      </c>
      <c r="B28" s="939" t="s">
        <v>6</v>
      </c>
      <c r="C28" s="940"/>
      <c r="D28" s="929" t="s">
        <v>398</v>
      </c>
      <c r="E28" s="943"/>
      <c r="F28" s="943"/>
      <c r="G28" s="943"/>
      <c r="H28" s="943"/>
      <c r="I28" s="943"/>
      <c r="J28" s="943"/>
      <c r="K28" s="943"/>
      <c r="L28" s="943"/>
      <c r="M28" s="943"/>
      <c r="N28" s="943"/>
      <c r="O28" s="944"/>
      <c r="P28" s="930" t="s">
        <v>8</v>
      </c>
      <c r="Q28" s="930" t="s">
        <v>84</v>
      </c>
      <c r="R28" s="930"/>
      <c r="S28" s="930"/>
      <c r="T28" s="930"/>
      <c r="U28" s="930"/>
      <c r="V28" s="930"/>
      <c r="W28" s="930"/>
      <c r="X28" s="930"/>
      <c r="Y28" s="930"/>
      <c r="Z28" s="930"/>
      <c r="AA28" s="930"/>
      <c r="AB28" s="930"/>
      <c r="AC28" s="930"/>
      <c r="AD28" s="945"/>
    </row>
    <row r="29" spans="1:30" ht="27" customHeight="1">
      <c r="A29" s="938"/>
      <c r="B29" s="941"/>
      <c r="C29" s="942"/>
      <c r="D29" s="281" t="s">
        <v>39</v>
      </c>
      <c r="E29" s="281" t="s">
        <v>40</v>
      </c>
      <c r="F29" s="281" t="s">
        <v>41</v>
      </c>
      <c r="G29" s="281" t="s">
        <v>42</v>
      </c>
      <c r="H29" s="281" t="s">
        <v>43</v>
      </c>
      <c r="I29" s="281" t="s">
        <v>44</v>
      </c>
      <c r="J29" s="281" t="s">
        <v>45</v>
      </c>
      <c r="K29" s="281" t="s">
        <v>46</v>
      </c>
      <c r="L29" s="281" t="s">
        <v>47</v>
      </c>
      <c r="M29" s="281" t="s">
        <v>48</v>
      </c>
      <c r="N29" s="281" t="s">
        <v>49</v>
      </c>
      <c r="O29" s="281" t="s">
        <v>50</v>
      </c>
      <c r="P29" s="944"/>
      <c r="Q29" s="930"/>
      <c r="R29" s="930"/>
      <c r="S29" s="930"/>
      <c r="T29" s="930"/>
      <c r="U29" s="930"/>
      <c r="V29" s="930"/>
      <c r="W29" s="930"/>
      <c r="X29" s="930"/>
      <c r="Y29" s="930"/>
      <c r="Z29" s="930"/>
      <c r="AA29" s="930"/>
      <c r="AB29" s="930"/>
      <c r="AC29" s="930"/>
      <c r="AD29" s="945"/>
    </row>
    <row r="30" spans="1:30" ht="65.25" customHeight="1" thickBot="1">
      <c r="A30" s="330" t="str">
        <f>C17</f>
        <v>Avanzar en el 80% en las políticas de Gobierno Digital y Seguridad Digital contenidas en la Dimensión Gestión con valores para Resultados</v>
      </c>
      <c r="B30" s="952" t="s">
        <v>450</v>
      </c>
      <c r="C30" s="953"/>
      <c r="D30" s="283" t="s">
        <v>450</v>
      </c>
      <c r="E30" s="283" t="s">
        <v>450</v>
      </c>
      <c r="F30" s="283" t="s">
        <v>450</v>
      </c>
      <c r="G30" s="283" t="s">
        <v>450</v>
      </c>
      <c r="H30" s="283" t="s">
        <v>450</v>
      </c>
      <c r="I30" s="283" t="s">
        <v>450</v>
      </c>
      <c r="J30" s="283" t="s">
        <v>450</v>
      </c>
      <c r="K30" s="283" t="s">
        <v>450</v>
      </c>
      <c r="L30" s="283" t="s">
        <v>450</v>
      </c>
      <c r="M30" s="283" t="s">
        <v>450</v>
      </c>
      <c r="N30" s="283" t="s">
        <v>450</v>
      </c>
      <c r="O30" s="283" t="s">
        <v>450</v>
      </c>
      <c r="P30" s="89">
        <f>SUM(D30:O30)</f>
        <v>0</v>
      </c>
      <c r="Q30" s="954"/>
      <c r="R30" s="954"/>
      <c r="S30" s="954"/>
      <c r="T30" s="954"/>
      <c r="U30" s="954"/>
      <c r="V30" s="954"/>
      <c r="W30" s="954"/>
      <c r="X30" s="954"/>
      <c r="Y30" s="954"/>
      <c r="Z30" s="954"/>
      <c r="AA30" s="954"/>
      <c r="AB30" s="954"/>
      <c r="AC30" s="954"/>
      <c r="AD30" s="955"/>
    </row>
    <row r="31" spans="1:30" ht="45" customHeight="1">
      <c r="A31" s="884" t="s">
        <v>292</v>
      </c>
      <c r="B31" s="885"/>
      <c r="C31" s="885"/>
      <c r="D31" s="885"/>
      <c r="E31" s="885"/>
      <c r="F31" s="885"/>
      <c r="G31" s="885"/>
      <c r="H31" s="885"/>
      <c r="I31" s="885"/>
      <c r="J31" s="885"/>
      <c r="K31" s="885"/>
      <c r="L31" s="885"/>
      <c r="M31" s="885"/>
      <c r="N31" s="885"/>
      <c r="O31" s="885"/>
      <c r="P31" s="885"/>
      <c r="Q31" s="885"/>
      <c r="R31" s="885"/>
      <c r="S31" s="885"/>
      <c r="T31" s="885"/>
      <c r="U31" s="885"/>
      <c r="V31" s="885"/>
      <c r="W31" s="885"/>
      <c r="X31" s="885"/>
      <c r="Y31" s="885"/>
      <c r="Z31" s="885"/>
      <c r="AA31" s="885"/>
      <c r="AB31" s="885"/>
      <c r="AC31" s="885"/>
      <c r="AD31" s="886"/>
    </row>
    <row r="32" spans="1:41" ht="22.5" customHeight="1">
      <c r="A32" s="928" t="s">
        <v>190</v>
      </c>
      <c r="B32" s="930" t="s">
        <v>62</v>
      </c>
      <c r="C32" s="930" t="s">
        <v>6</v>
      </c>
      <c r="D32" s="930" t="s">
        <v>60</v>
      </c>
      <c r="E32" s="930"/>
      <c r="F32" s="930"/>
      <c r="G32" s="930"/>
      <c r="H32" s="930"/>
      <c r="I32" s="930"/>
      <c r="J32" s="930"/>
      <c r="K32" s="930"/>
      <c r="L32" s="930"/>
      <c r="M32" s="930"/>
      <c r="N32" s="930"/>
      <c r="O32" s="930"/>
      <c r="P32" s="930"/>
      <c r="Q32" s="930" t="s">
        <v>85</v>
      </c>
      <c r="R32" s="930"/>
      <c r="S32" s="930"/>
      <c r="T32" s="930"/>
      <c r="U32" s="930"/>
      <c r="V32" s="930"/>
      <c r="W32" s="930"/>
      <c r="X32" s="930"/>
      <c r="Y32" s="930"/>
      <c r="Z32" s="930"/>
      <c r="AA32" s="930"/>
      <c r="AB32" s="930"/>
      <c r="AC32" s="930"/>
      <c r="AD32" s="945"/>
      <c r="AG32" s="90"/>
      <c r="AH32" s="90"/>
      <c r="AI32" s="90"/>
      <c r="AJ32" s="90"/>
      <c r="AK32" s="90"/>
      <c r="AL32" s="90"/>
      <c r="AM32" s="90"/>
      <c r="AN32" s="90"/>
      <c r="AO32" s="90"/>
    </row>
    <row r="33" spans="1:41" ht="27" customHeight="1">
      <c r="A33" s="928"/>
      <c r="B33" s="930"/>
      <c r="C33" s="956"/>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930" t="s">
        <v>403</v>
      </c>
      <c r="R33" s="930"/>
      <c r="S33" s="930"/>
      <c r="T33" s="930" t="s">
        <v>406</v>
      </c>
      <c r="U33" s="930"/>
      <c r="V33" s="930"/>
      <c r="W33" s="941" t="s">
        <v>81</v>
      </c>
      <c r="X33" s="962"/>
      <c r="Y33" s="962"/>
      <c r="Z33" s="942"/>
      <c r="AA33" s="941" t="s">
        <v>82</v>
      </c>
      <c r="AB33" s="962"/>
      <c r="AC33" s="962"/>
      <c r="AD33" s="963"/>
      <c r="AG33" s="90"/>
      <c r="AH33" s="90"/>
      <c r="AI33" s="90"/>
      <c r="AJ33" s="90"/>
      <c r="AK33" s="90"/>
      <c r="AL33" s="90"/>
      <c r="AM33" s="90"/>
      <c r="AN33" s="90"/>
      <c r="AO33" s="90"/>
    </row>
    <row r="34" spans="1:41" ht="288.75" customHeight="1">
      <c r="A34" s="964" t="s">
        <v>624</v>
      </c>
      <c r="B34" s="966">
        <f>+AC17</f>
        <v>0.21</v>
      </c>
      <c r="C34" s="284" t="s">
        <v>9</v>
      </c>
      <c r="D34" s="177">
        <f>((D38*($B$38/$B$34))+(D40*($B$40/$B$34))+(D42*($B$42/$B$34)))*$P$34</f>
        <v>0.013600000000000001</v>
      </c>
      <c r="E34" s="177">
        <f aca="true" t="shared" si="0" ref="E34:O34">((E38*($B$38/$B$34))+(E40*($B$40/$B$34))+(E42*($B$42/$B$34)))*$P$34</f>
        <v>0.013600000000000001</v>
      </c>
      <c r="F34" s="177">
        <f t="shared" si="0"/>
        <v>0.015300000000000001</v>
      </c>
      <c r="G34" s="177">
        <f t="shared" si="0"/>
        <v>0.013600000000000001</v>
      </c>
      <c r="H34" s="177">
        <f t="shared" si="0"/>
        <v>0.013600000000000001</v>
      </c>
      <c r="I34" s="177">
        <f t="shared" si="0"/>
        <v>0.015300000000000001</v>
      </c>
      <c r="J34" s="177">
        <f t="shared" si="0"/>
        <v>0.013600000000000001</v>
      </c>
      <c r="K34" s="177">
        <f t="shared" si="0"/>
        <v>0.013600000000000001</v>
      </c>
      <c r="L34" s="177">
        <f t="shared" si="0"/>
        <v>0.015300000000000001</v>
      </c>
      <c r="M34" s="177">
        <f t="shared" si="0"/>
        <v>0.013600000000000001</v>
      </c>
      <c r="N34" s="177">
        <f t="shared" si="0"/>
        <v>0.013600000000000001</v>
      </c>
      <c r="O34" s="177">
        <f t="shared" si="0"/>
        <v>0.015300000000000001</v>
      </c>
      <c r="P34" s="177">
        <v>0.17</v>
      </c>
      <c r="Q34" s="968" t="s">
        <v>875</v>
      </c>
      <c r="R34" s="947"/>
      <c r="S34" s="969"/>
      <c r="T34" s="946" t="s">
        <v>876</v>
      </c>
      <c r="U34" s="947"/>
      <c r="V34" s="969"/>
      <c r="W34" s="971" t="s">
        <v>877</v>
      </c>
      <c r="X34" s="972"/>
      <c r="Y34" s="972"/>
      <c r="Z34" s="973"/>
      <c r="AA34" s="946" t="s">
        <v>878</v>
      </c>
      <c r="AB34" s="947"/>
      <c r="AC34" s="947"/>
      <c r="AD34" s="948"/>
      <c r="AG34" s="90"/>
      <c r="AH34" s="90"/>
      <c r="AI34" s="90"/>
      <c r="AJ34" s="90"/>
      <c r="AK34" s="90"/>
      <c r="AL34" s="90"/>
      <c r="AM34" s="90"/>
      <c r="AN34" s="90"/>
      <c r="AO34" s="90"/>
    </row>
    <row r="35" spans="1:41" ht="288.75" customHeight="1" thickBot="1">
      <c r="A35" s="965"/>
      <c r="B35" s="967"/>
      <c r="C35" s="285" t="s">
        <v>10</v>
      </c>
      <c r="D35" s="413">
        <f>((D39*($B$38/$B$34))+(D41*($B$40/$B$34))+(D43*($B$42/$B$34)))*$P$34</f>
        <v>0.013600000000000001</v>
      </c>
      <c r="E35" s="413">
        <f aca="true" t="shared" si="1" ref="E35:M35">((E39*($B$38/$B$34))+(E41*($B$40/$B$34))+(E43*($B$42/$B$34)))*$P$34</f>
        <v>0.011009523809523811</v>
      </c>
      <c r="F35" s="413">
        <f t="shared" si="1"/>
        <v>0.012385714285714285</v>
      </c>
      <c r="G35" s="413">
        <f t="shared" si="1"/>
        <v>0.011009523809523811</v>
      </c>
      <c r="H35" s="413">
        <f t="shared" si="1"/>
        <v>0.011009523809523811</v>
      </c>
      <c r="I35" s="475">
        <f t="shared" si="1"/>
        <v>0.015300000000000001</v>
      </c>
      <c r="J35" s="475">
        <f t="shared" si="1"/>
        <v>0.013600000000000001</v>
      </c>
      <c r="K35" s="475">
        <f t="shared" si="1"/>
        <v>0.013600000000000001</v>
      </c>
      <c r="L35" s="475">
        <f t="shared" si="1"/>
        <v>0.015300000000000001</v>
      </c>
      <c r="M35" s="475">
        <f t="shared" si="1"/>
        <v>0.013600000000000001</v>
      </c>
      <c r="N35" s="96"/>
      <c r="O35" s="96"/>
      <c r="P35" s="178">
        <f>SUM(D35:O35)</f>
        <v>0.13041428571428573</v>
      </c>
      <c r="Q35" s="949"/>
      <c r="R35" s="950"/>
      <c r="S35" s="970"/>
      <c r="T35" s="949"/>
      <c r="U35" s="950"/>
      <c r="V35" s="970"/>
      <c r="W35" s="974"/>
      <c r="X35" s="975"/>
      <c r="Y35" s="975"/>
      <c r="Z35" s="976"/>
      <c r="AA35" s="949"/>
      <c r="AB35" s="950"/>
      <c r="AC35" s="950"/>
      <c r="AD35" s="951"/>
      <c r="AE35" s="50"/>
      <c r="AG35" s="90"/>
      <c r="AH35" s="90"/>
      <c r="AI35" s="90"/>
      <c r="AJ35" s="90"/>
      <c r="AK35" s="90"/>
      <c r="AL35" s="90"/>
      <c r="AM35" s="90"/>
      <c r="AN35" s="90"/>
      <c r="AO35" s="90"/>
    </row>
    <row r="36" spans="1:41" ht="25.5" customHeight="1">
      <c r="A36" s="984" t="s">
        <v>191</v>
      </c>
      <c r="B36" s="986" t="s">
        <v>61</v>
      </c>
      <c r="C36" s="927" t="s">
        <v>11</v>
      </c>
      <c r="D36" s="988"/>
      <c r="E36" s="988"/>
      <c r="F36" s="988"/>
      <c r="G36" s="988"/>
      <c r="H36" s="988"/>
      <c r="I36" s="988"/>
      <c r="J36" s="988"/>
      <c r="K36" s="988"/>
      <c r="L36" s="988"/>
      <c r="M36" s="988"/>
      <c r="N36" s="988"/>
      <c r="O36" s="988"/>
      <c r="P36" s="989"/>
      <c r="Q36" s="927" t="s">
        <v>78</v>
      </c>
      <c r="R36" s="988"/>
      <c r="S36" s="988"/>
      <c r="T36" s="988"/>
      <c r="U36" s="988"/>
      <c r="V36" s="988"/>
      <c r="W36" s="988"/>
      <c r="X36" s="988"/>
      <c r="Y36" s="988"/>
      <c r="Z36" s="988"/>
      <c r="AA36" s="988"/>
      <c r="AB36" s="988"/>
      <c r="AC36" s="988"/>
      <c r="AD36" s="990"/>
      <c r="AG36" s="90"/>
      <c r="AH36" s="90"/>
      <c r="AI36" s="90"/>
      <c r="AJ36" s="90"/>
      <c r="AK36" s="90"/>
      <c r="AL36" s="90"/>
      <c r="AM36" s="90"/>
      <c r="AN36" s="90"/>
      <c r="AO36" s="90"/>
    </row>
    <row r="37" spans="1:41" ht="42.75" customHeight="1">
      <c r="A37" s="985"/>
      <c r="B37" s="987"/>
      <c r="C37" s="487" t="s">
        <v>12</v>
      </c>
      <c r="D37" s="487" t="s">
        <v>36</v>
      </c>
      <c r="E37" s="487" t="s">
        <v>37</v>
      </c>
      <c r="F37" s="487" t="s">
        <v>38</v>
      </c>
      <c r="G37" s="487" t="s">
        <v>51</v>
      </c>
      <c r="H37" s="487" t="s">
        <v>52</v>
      </c>
      <c r="I37" s="487" t="s">
        <v>53</v>
      </c>
      <c r="J37" s="487" t="s">
        <v>54</v>
      </c>
      <c r="K37" s="487" t="s">
        <v>55</v>
      </c>
      <c r="L37" s="487" t="s">
        <v>56</v>
      </c>
      <c r="M37" s="487" t="s">
        <v>57</v>
      </c>
      <c r="N37" s="487" t="s">
        <v>58</v>
      </c>
      <c r="O37" s="487" t="s">
        <v>59</v>
      </c>
      <c r="P37" s="487" t="s">
        <v>63</v>
      </c>
      <c r="Q37" s="929" t="s">
        <v>83</v>
      </c>
      <c r="R37" s="943"/>
      <c r="S37" s="943"/>
      <c r="T37" s="943"/>
      <c r="U37" s="943"/>
      <c r="V37" s="943"/>
      <c r="W37" s="943"/>
      <c r="X37" s="943"/>
      <c r="Y37" s="943"/>
      <c r="Z37" s="943"/>
      <c r="AA37" s="943"/>
      <c r="AB37" s="943"/>
      <c r="AC37" s="943"/>
      <c r="AD37" s="991"/>
      <c r="AG37" s="98"/>
      <c r="AH37" s="98"/>
      <c r="AI37" s="98"/>
      <c r="AJ37" s="98"/>
      <c r="AK37" s="98"/>
      <c r="AL37" s="98"/>
      <c r="AM37" s="98"/>
      <c r="AN37" s="98"/>
      <c r="AO37" s="98"/>
    </row>
    <row r="38" spans="1:41" ht="130.5" customHeight="1">
      <c r="A38" s="957" t="s">
        <v>625</v>
      </c>
      <c r="B38" s="959">
        <v>0.04</v>
      </c>
      <c r="C38" s="284" t="s">
        <v>9</v>
      </c>
      <c r="D38" s="99">
        <v>0.08</v>
      </c>
      <c r="E38" s="99">
        <v>0.08</v>
      </c>
      <c r="F38" s="99">
        <v>0.09</v>
      </c>
      <c r="G38" s="99">
        <v>0.08</v>
      </c>
      <c r="H38" s="99">
        <v>0.08</v>
      </c>
      <c r="I38" s="99">
        <v>0.09</v>
      </c>
      <c r="J38" s="99">
        <v>0.08</v>
      </c>
      <c r="K38" s="99">
        <v>0.08</v>
      </c>
      <c r="L38" s="99">
        <v>0.09</v>
      </c>
      <c r="M38" s="99">
        <v>0.08</v>
      </c>
      <c r="N38" s="99">
        <v>0.08</v>
      </c>
      <c r="O38" s="99">
        <v>0.09</v>
      </c>
      <c r="P38" s="286">
        <f aca="true" t="shared" si="2" ref="P38:P43">SUM(D38:O38)</f>
        <v>0.9999999999999998</v>
      </c>
      <c r="Q38" s="961" t="s">
        <v>871</v>
      </c>
      <c r="R38" s="856"/>
      <c r="S38" s="856"/>
      <c r="T38" s="856"/>
      <c r="U38" s="856"/>
      <c r="V38" s="856"/>
      <c r="W38" s="856"/>
      <c r="X38" s="856"/>
      <c r="Y38" s="856"/>
      <c r="Z38" s="856"/>
      <c r="AA38" s="856"/>
      <c r="AB38" s="856"/>
      <c r="AC38" s="856"/>
      <c r="AD38" s="857"/>
      <c r="AE38" s="287"/>
      <c r="AG38" s="102"/>
      <c r="AH38" s="102"/>
      <c r="AI38" s="102"/>
      <c r="AJ38" s="102"/>
      <c r="AK38" s="102"/>
      <c r="AL38" s="102"/>
      <c r="AM38" s="102"/>
      <c r="AN38" s="102"/>
      <c r="AO38" s="102"/>
    </row>
    <row r="39" spans="1:31" ht="244.5" customHeight="1">
      <c r="A39" s="958"/>
      <c r="B39" s="960"/>
      <c r="C39" s="288" t="s">
        <v>10</v>
      </c>
      <c r="D39" s="104">
        <v>0.08</v>
      </c>
      <c r="E39" s="104">
        <v>0</v>
      </c>
      <c r="F39" s="104">
        <v>0</v>
      </c>
      <c r="G39" s="104">
        <v>0</v>
      </c>
      <c r="H39" s="104">
        <v>0</v>
      </c>
      <c r="I39" s="104">
        <v>0.09</v>
      </c>
      <c r="J39" s="104">
        <v>0.08</v>
      </c>
      <c r="K39" s="104">
        <v>0.08</v>
      </c>
      <c r="L39" s="104">
        <v>0.09</v>
      </c>
      <c r="M39" s="104">
        <v>0.08</v>
      </c>
      <c r="N39" s="104"/>
      <c r="O39" s="104"/>
      <c r="P39" s="289">
        <f t="shared" si="2"/>
        <v>0.5</v>
      </c>
      <c r="Q39" s="855" t="s">
        <v>872</v>
      </c>
      <c r="R39" s="856"/>
      <c r="S39" s="856"/>
      <c r="T39" s="856"/>
      <c r="U39" s="856"/>
      <c r="V39" s="856"/>
      <c r="W39" s="856"/>
      <c r="X39" s="856"/>
      <c r="Y39" s="856"/>
      <c r="Z39" s="856"/>
      <c r="AA39" s="856"/>
      <c r="AB39" s="856"/>
      <c r="AC39" s="856"/>
      <c r="AD39" s="857"/>
      <c r="AE39" s="287"/>
    </row>
    <row r="40" spans="1:31" ht="240" customHeight="1">
      <c r="A40" s="957" t="s">
        <v>626</v>
      </c>
      <c r="B40" s="959">
        <v>0.12</v>
      </c>
      <c r="C40" s="290" t="s">
        <v>9</v>
      </c>
      <c r="D40" s="107">
        <v>0.08</v>
      </c>
      <c r="E40" s="107">
        <v>0.08</v>
      </c>
      <c r="F40" s="107">
        <v>0.09</v>
      </c>
      <c r="G40" s="107">
        <v>0.08</v>
      </c>
      <c r="H40" s="107">
        <v>0.08</v>
      </c>
      <c r="I40" s="107">
        <v>0.09</v>
      </c>
      <c r="J40" s="107">
        <v>0.08</v>
      </c>
      <c r="K40" s="107">
        <v>0.08</v>
      </c>
      <c r="L40" s="107">
        <v>0.09</v>
      </c>
      <c r="M40" s="107">
        <v>0.08</v>
      </c>
      <c r="N40" s="107">
        <v>0.08</v>
      </c>
      <c r="O40" s="107">
        <v>0.09</v>
      </c>
      <c r="P40" s="289">
        <f t="shared" si="2"/>
        <v>0.9999999999999998</v>
      </c>
      <c r="Q40" s="858" t="s">
        <v>873</v>
      </c>
      <c r="R40" s="859"/>
      <c r="S40" s="859"/>
      <c r="T40" s="859"/>
      <c r="U40" s="859"/>
      <c r="V40" s="859"/>
      <c r="W40" s="859"/>
      <c r="X40" s="859"/>
      <c r="Y40" s="859"/>
      <c r="Z40" s="859"/>
      <c r="AA40" s="859"/>
      <c r="AB40" s="859"/>
      <c r="AC40" s="859"/>
      <c r="AD40" s="860"/>
      <c r="AE40" s="287"/>
    </row>
    <row r="41" spans="1:31" ht="240" customHeight="1">
      <c r="A41" s="958"/>
      <c r="B41" s="960"/>
      <c r="C41" s="288" t="s">
        <v>10</v>
      </c>
      <c r="D41" s="104">
        <v>0.08</v>
      </c>
      <c r="E41" s="104">
        <v>0.08</v>
      </c>
      <c r="F41" s="104">
        <v>0.09</v>
      </c>
      <c r="G41" s="104">
        <v>0.08</v>
      </c>
      <c r="H41" s="104">
        <v>0.08</v>
      </c>
      <c r="I41" s="104">
        <v>0.09</v>
      </c>
      <c r="J41" s="104">
        <v>0.08</v>
      </c>
      <c r="K41" s="104">
        <v>0.08</v>
      </c>
      <c r="L41" s="108">
        <v>0.09</v>
      </c>
      <c r="M41" s="108">
        <v>0.08</v>
      </c>
      <c r="N41" s="108"/>
      <c r="O41" s="108"/>
      <c r="P41" s="289">
        <f t="shared" si="2"/>
        <v>0.8299999999999998</v>
      </c>
      <c r="Q41" s="861"/>
      <c r="R41" s="862"/>
      <c r="S41" s="862"/>
      <c r="T41" s="862"/>
      <c r="U41" s="862"/>
      <c r="V41" s="862"/>
      <c r="W41" s="862"/>
      <c r="X41" s="862"/>
      <c r="Y41" s="862"/>
      <c r="Z41" s="862"/>
      <c r="AA41" s="862"/>
      <c r="AB41" s="862"/>
      <c r="AC41" s="862"/>
      <c r="AD41" s="863"/>
      <c r="AE41" s="287"/>
    </row>
    <row r="42" spans="1:31" ht="86.25" customHeight="1">
      <c r="A42" s="957" t="s">
        <v>627</v>
      </c>
      <c r="B42" s="959">
        <v>0.05</v>
      </c>
      <c r="C42" s="290" t="s">
        <v>9</v>
      </c>
      <c r="D42" s="107">
        <v>0.08</v>
      </c>
      <c r="E42" s="107">
        <v>0.08</v>
      </c>
      <c r="F42" s="107">
        <v>0.09</v>
      </c>
      <c r="G42" s="107">
        <v>0.08</v>
      </c>
      <c r="H42" s="107">
        <v>0.08</v>
      </c>
      <c r="I42" s="107">
        <v>0.09</v>
      </c>
      <c r="J42" s="107">
        <v>0.08</v>
      </c>
      <c r="K42" s="107">
        <v>0.08</v>
      </c>
      <c r="L42" s="107">
        <v>0.09</v>
      </c>
      <c r="M42" s="107">
        <v>0.08</v>
      </c>
      <c r="N42" s="107">
        <v>0.08</v>
      </c>
      <c r="O42" s="107">
        <v>0.09</v>
      </c>
      <c r="P42" s="289">
        <f t="shared" si="2"/>
        <v>0.9999999999999998</v>
      </c>
      <c r="Q42" s="979" t="s">
        <v>874</v>
      </c>
      <c r="R42" s="859"/>
      <c r="S42" s="859"/>
      <c r="T42" s="859"/>
      <c r="U42" s="859"/>
      <c r="V42" s="859"/>
      <c r="W42" s="859"/>
      <c r="X42" s="859"/>
      <c r="Y42" s="859"/>
      <c r="Z42" s="859"/>
      <c r="AA42" s="859"/>
      <c r="AB42" s="859"/>
      <c r="AC42" s="859"/>
      <c r="AD42" s="980"/>
      <c r="AE42" s="287"/>
    </row>
    <row r="43" spans="1:31" ht="86.25" customHeight="1" thickBot="1">
      <c r="A43" s="977"/>
      <c r="B43" s="978"/>
      <c r="C43" s="285" t="s">
        <v>10</v>
      </c>
      <c r="D43" s="110">
        <v>0.08</v>
      </c>
      <c r="E43" s="110">
        <v>0.08</v>
      </c>
      <c r="F43" s="110">
        <v>0.09</v>
      </c>
      <c r="G43" s="110">
        <v>0.08</v>
      </c>
      <c r="H43" s="110">
        <v>0.08</v>
      </c>
      <c r="I43" s="110">
        <v>0.09</v>
      </c>
      <c r="J43" s="110">
        <v>0.08</v>
      </c>
      <c r="K43" s="110">
        <v>0.08</v>
      </c>
      <c r="L43" s="111">
        <v>0.09</v>
      </c>
      <c r="M43" s="111">
        <v>0.08</v>
      </c>
      <c r="N43" s="111"/>
      <c r="O43" s="111"/>
      <c r="P43" s="291">
        <f t="shared" si="2"/>
        <v>0.8299999999999998</v>
      </c>
      <c r="Q43" s="981"/>
      <c r="R43" s="982"/>
      <c r="S43" s="982"/>
      <c r="T43" s="982"/>
      <c r="U43" s="982"/>
      <c r="V43" s="982"/>
      <c r="W43" s="982"/>
      <c r="X43" s="982"/>
      <c r="Y43" s="982"/>
      <c r="Z43" s="982"/>
      <c r="AA43" s="982"/>
      <c r="AB43" s="982"/>
      <c r="AC43" s="982"/>
      <c r="AD43" s="983"/>
      <c r="AE43" s="287"/>
    </row>
  </sheetData>
  <sheetProtection/>
  <mergeCells count="80">
    <mergeCell ref="A40:A41"/>
    <mergeCell ref="B40:B41"/>
    <mergeCell ref="A42:A43"/>
    <mergeCell ref="B42:B43"/>
    <mergeCell ref="Q42:AD43"/>
    <mergeCell ref="A36:A37"/>
    <mergeCell ref="B36:B37"/>
    <mergeCell ref="C36:P36"/>
    <mergeCell ref="Q36:AD36"/>
    <mergeCell ref="Q37:AD37"/>
    <mergeCell ref="A38:A39"/>
    <mergeCell ref="B38:B39"/>
    <mergeCell ref="Q38:AD38"/>
    <mergeCell ref="W33:Z33"/>
    <mergeCell ref="AA33:AD33"/>
    <mergeCell ref="A34:A35"/>
    <mergeCell ref="B34:B35"/>
    <mergeCell ref="Q34:S35"/>
    <mergeCell ref="T34:V35"/>
    <mergeCell ref="W34:Z35"/>
    <mergeCell ref="AA34:AD35"/>
    <mergeCell ref="B30:C30"/>
    <mergeCell ref="Q30:AD30"/>
    <mergeCell ref="A31:AD31"/>
    <mergeCell ref="A32:A33"/>
    <mergeCell ref="B32:B33"/>
    <mergeCell ref="C32:C33"/>
    <mergeCell ref="D32:P32"/>
    <mergeCell ref="Q32:AD32"/>
    <mergeCell ref="Q33:S33"/>
    <mergeCell ref="T33:V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B3:AA4"/>
    <mergeCell ref="AB3:AD3"/>
    <mergeCell ref="O7:P7"/>
    <mergeCell ref="M8:N8"/>
    <mergeCell ref="O8:P8"/>
    <mergeCell ref="M9:N9"/>
    <mergeCell ref="O9:P9"/>
    <mergeCell ref="AB4:AD4"/>
    <mergeCell ref="Q39:AD39"/>
    <mergeCell ref="Q40:AD41"/>
    <mergeCell ref="I7:J9"/>
    <mergeCell ref="K7:L9"/>
    <mergeCell ref="M7:N7"/>
    <mergeCell ref="A1:A4"/>
    <mergeCell ref="B1:AA1"/>
    <mergeCell ref="AB1:AD1"/>
    <mergeCell ref="B2:AA2"/>
    <mergeCell ref="AB2:AD2"/>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8:Q40 Q42 Q34 W34 T34 AA34">
      <formula1>2000</formula1>
    </dataValidation>
  </dataValidations>
  <printOptions/>
  <pageMargins left="0.25" right="0.25" top="0.75" bottom="0.75" header="0.3" footer="0.3"/>
  <pageSetup fitToHeight="1" fitToWidth="1" horizontalDpi="600" verticalDpi="600" orientation="landscape" scale="2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Zareth Ivana Doncel Baracaldo</cp:lastModifiedBy>
  <cp:lastPrinted>2023-11-08T21:44:53Z</cp:lastPrinted>
  <dcterms:created xsi:type="dcterms:W3CDTF">2011-04-26T22:16:52Z</dcterms:created>
  <dcterms:modified xsi:type="dcterms:W3CDTF">2023-12-01T16:54:17Z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