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drawings/drawing12.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firstSheet="9" activeTab="13"/>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state="hidden" r:id="rId7"/>
    <sheet name="VIGENCIA" sheetId="8" state="hidden" r:id="rId8"/>
    <sheet name="Meta 1" sheetId="9" r:id="rId9"/>
    <sheet name="Metas 2" sheetId="10" r:id="rId10"/>
    <sheet name="Meta 3" sheetId="11" r:id="rId11"/>
    <sheet name="Meta 4" sheetId="12" r:id="rId12"/>
    <sheet name="META PDD" sheetId="13" state="hidden" r:id="rId13"/>
    <sheet name="1. Ind. PA - DE" sheetId="14" r:id="rId14"/>
    <sheet name="2. Ind PA - GT" sheetId="15" r:id="rId15"/>
    <sheet name="3. Ind PA - TH" sheetId="16" r:id="rId16"/>
    <sheet name="4. Ind PA - Planeación" sheetId="17" r:id="rId17"/>
    <sheet name="5. Ind PA - Seg Ev y C" sheetId="18" r:id="rId18"/>
    <sheet name="6. Ind PA - GD" sheetId="19" r:id="rId19"/>
    <sheet name="7. Ind PA - GF" sheetId="20" r:id="rId20"/>
    <sheet name="8. Ind PA - GA" sheetId="21" r:id="rId21"/>
    <sheet name="9. Ind PA - CDI" sheetId="22" r:id="rId22"/>
    <sheet name="10. Ind PA - Contratación" sheetId="23" r:id="rId23"/>
    <sheet name="11. Ind PA - AC" sheetId="24" r:id="rId24"/>
    <sheet name="12. Ind PA - OAJ" sheetId="25" r:id="rId25"/>
    <sheet name="Hoja13" sheetId="26" state="hidden" r:id="rId26"/>
    <sheet name="Hoja1" sheetId="27" state="hidden" r:id="rId27"/>
  </sheets>
  <externalReferences>
    <externalReference r:id="rId30"/>
    <externalReference r:id="rId31"/>
  </externalReferences>
  <definedNames>
    <definedName name="_xlfn.IFERROR" hidden="1">#NAME?</definedName>
    <definedName name="_xlnm.Print_Area" localSheetId="13">'1. Ind. PA - DE'!$A$1:$AY$20</definedName>
    <definedName name="_xlnm.Print_Area" localSheetId="22">'10. Ind PA - Contratación'!$A$3:$AY$23</definedName>
    <definedName name="_xlnm.Print_Area" localSheetId="23">'11. Ind PA - AC'!$A$1:$AY$25</definedName>
    <definedName name="_xlnm.Print_Area" localSheetId="24">'12. Ind PA - OAJ'!$A$1:$AY$22</definedName>
    <definedName name="_xlnm.Print_Area" localSheetId="14">'2. Ind PA - GT'!$A$1:$AY$23</definedName>
    <definedName name="_xlnm.Print_Area" localSheetId="15">'3. Ind PA - TH'!$A$1:$AY$21</definedName>
    <definedName name="_xlnm.Print_Area" localSheetId="16">'4. Ind PA - Planeación'!$A$1:$AY$22</definedName>
    <definedName name="_xlnm.Print_Area" localSheetId="17">'5. Ind PA - Seg Ev y C'!$A$1:$AY$19</definedName>
    <definedName name="_xlnm.Print_Area" localSheetId="18">'6. Ind PA - GD'!$A$1:$AY$20</definedName>
    <definedName name="_xlnm.Print_Area" localSheetId="19">'7. Ind PA - GF'!$A$1:$AY$19</definedName>
    <definedName name="_xlnm.Print_Area" localSheetId="20">'8. Ind PA - GA'!$A$1:$AY$20</definedName>
    <definedName name="_xlnm.Print_Area" localSheetId="21">'9.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4.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nayla isaza</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5" authorId="1">
      <text>
        <r>
          <rPr>
            <b/>
            <sz val="14"/>
            <rFont val="Tahoma"/>
            <family val="2"/>
          </rPr>
          <t>nayla isaza:</t>
        </r>
        <r>
          <rPr>
            <sz val="14"/>
            <rFont val="Tahoma"/>
            <family val="2"/>
          </rPr>
          <t xml:space="preserve">
CORTE A 31 DE AGOSTO</t>
        </r>
      </text>
    </comment>
  </commentList>
</comments>
</file>

<file path=xl/comments21.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<sst xmlns="http://schemas.openxmlformats.org/spreadsheetml/2006/main" count="3685" uniqueCount="1032">
  <si>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</si>
  <si>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</si>
  <si>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</si>
  <si>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</si>
  <si>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</si>
  <si>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</si>
  <si>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</si>
  <si>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</si>
  <si>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</si>
  <si>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</si>
  <si>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</si>
  <si>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</si>
  <si>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</si>
  <si>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</si>
  <si>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</si>
  <si>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</si>
  <si>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</si>
  <si>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</si>
  <si>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</si>
  <si>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</si>
  <si>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</si>
  <si>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</si>
  <si>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</si>
  <si>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</si>
  <si>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</si>
  <si>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</si>
  <si>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</si>
  <si>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</si>
  <si>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</si>
  <si>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</si>
  <si>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</si>
  <si>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</si>
  <si>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</si>
  <si>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</si>
  <si>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</si>
  <si>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</si>
  <si>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</si>
  <si>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</si>
  <si>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</si>
  <si>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</si>
  <si>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</si>
  <si>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</si>
  <si>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</si>
  <si>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</si>
  <si>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</si>
  <si>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</si>
  <si>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</si>
  <si>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</si>
  <si>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</si>
  <si>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</si>
  <si>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</si>
  <si>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</si>
  <si>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</si>
  <si>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</si>
  <si>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</si>
  <si>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</si>
  <si>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</si>
  <si>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</si>
  <si>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</si>
  <si>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</si>
  <si>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</si>
  <si>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</si>
  <si>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</si>
  <si>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</si>
  <si>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</si>
  <si>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</si>
  <si>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</si>
  <si>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</si>
  <si>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</si>
  <si>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</si>
  <si>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</si>
  <si>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</si>
  <si>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</si>
  <si>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</si>
  <si>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</si>
  <si>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</si>
  <si>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</si>
  <si>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</si>
  <si>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</si>
  <si>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</si>
  <si>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</si>
  <si>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</si>
  <si>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</si>
  <si>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</si>
  <si>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</si>
  <si>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</si>
  <si>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</si>
  <si>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</si>
  <si>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</si>
  <si>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</si>
  <si>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</si>
  <si>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</si>
  <si>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</si>
  <si>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</si>
  <si>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</si>
  <si>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</si>
  <si>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</si>
  <si>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</si>
  <si>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</si>
  <si>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</si>
  <si>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</si>
  <si>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</si>
  <si>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</si>
  <si>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</si>
  <si>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</si>
  <si>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</si>
  <si>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</si>
  <si>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</si>
  <si>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</si>
  <si>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</si>
  <si>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</si>
  <si>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</si>
  <si>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</si>
  <si>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</si>
  <si>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</si>
  <si>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</si>
  <si>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</si>
  <si>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</si>
  <si>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</si>
  <si>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</si>
  <si>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</si>
  <si>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</si>
  <si>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</si>
  <si>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</si>
  <si>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</si>
  <si>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</si>
  <si>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</si>
  <si>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</si>
  <si>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</si>
  <si>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</si>
  <si>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</si>
  <si>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</si>
  <si>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</si>
  <si>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</si>
  <si>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</si>
  <si>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</si>
  <si>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</si>
  <si>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</si>
  <si>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</si>
  <si>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</si>
  <si>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</si>
  <si>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</si>
  <si>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</si>
  <si>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</si>
  <si>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</si>
  <si>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</si>
  <si>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</si>
  <si>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</si>
  <si>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</si>
  <si>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</si>
  <si>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</si>
  <si>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</si>
  <si>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</si>
  <si>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</si>
  <si>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</si>
  <si>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</si>
  <si>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</si>
  <si>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</si>
  <si>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</si>
  <si>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</si>
  <si>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</si>
  <si>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</si>
  <si>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</si>
  <si>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</si>
  <si>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</si>
  <si>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</si>
  <si>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</si>
  <si>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</si>
  <si>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</si>
  <si>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</si>
  <si>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</si>
  <si>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</si>
  <si>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</si>
  <si>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</si>
  <si>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</si>
  <si>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</si>
  <si>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</si>
  <si>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</si>
  <si>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</si>
  <si>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</si>
  <si>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</si>
  <si>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</si>
  <si>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</si>
  <si>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</si>
  <si>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</si>
  <si>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</si>
  <si>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</si>
  <si>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</si>
  <si>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</si>
  <si>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</si>
  <si>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</si>
  <si>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</si>
  <si>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</si>
  <si>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</si>
  <si>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</si>
  <si>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</si>
  <si>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</si>
  <si>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</si>
  <si>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</si>
  <si>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</si>
  <si>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</si>
  <si>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</si>
  <si>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</si>
  <si>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</si>
  <si>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</si>
  <si>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</si>
  <si>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</si>
  <si>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</si>
  <si>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</si>
  <si>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</si>
  <si>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</si>
  <si>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</si>
  <si>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</si>
  <si>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</si>
  <si>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</si>
  <si>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</si>
  <si>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</si>
  <si>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</si>
  <si>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</si>
  <si>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</si>
  <si>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</si>
  <si>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</si>
  <si>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</si>
  <si>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</si>
  <si>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</si>
  <si>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</si>
  <si>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</si>
  <si>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</si>
  <si>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</si>
  <si>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</si>
  <si>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</si>
  <si>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</si>
  <si>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</si>
  <si>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</si>
  <si>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</si>
  <si>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</si>
  <si>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</si>
  <si>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</si>
  <si>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</si>
  <si>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</si>
  <si>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</si>
  <si>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</si>
  <si>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</si>
  <si>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</si>
  <si>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</si>
  <si>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</si>
  <si>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</si>
  <si>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</si>
  <si>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</si>
  <si>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</si>
  <si>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</si>
  <si>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</si>
  <si>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</si>
  <si>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</si>
  <si>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</si>
  <si>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</si>
  <si>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</si>
  <si>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</si>
  <si>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</si>
  <si>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</si>
  <si>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</si>
  <si>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</si>
  <si>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</si>
  <si>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</si>
  <si>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</si>
  <si>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</si>
  <si>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</si>
  <si>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</si>
  <si>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</si>
  <si>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</si>
  <si>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</si>
  <si>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</si>
  <si>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</si>
  <si>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</si>
  <si>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</si>
  <si>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</si>
  <si>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</si>
  <si>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</si>
  <si>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</si>
  <si>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</si>
  <si>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</si>
  <si>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</si>
  <si>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</si>
  <si>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</si>
  <si>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</si>
  <si>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</si>
  <si>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</si>
  <si>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</si>
  <si>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</si>
  <si>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</si>
  <si>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</si>
  <si>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</si>
  <si>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</si>
  <si>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</si>
  <si>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</si>
  <si>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</si>
  <si>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</si>
  <si>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</si>
  <si>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</si>
  <si>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</si>
  <si>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</si>
  <si>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</si>
  <si>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</si>
  <si>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</si>
  <si>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</si>
  <si>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</si>
  <si>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</si>
  <si>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</si>
  <si>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</si>
  <si>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</si>
  <si>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</si>
  <si>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</si>
  <si>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</si>
  <si>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</si>
  <si>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</si>
  <si>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</si>
  <si>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</si>
  <si>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</si>
  <si>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</si>
  <si>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</si>
  <si>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</si>
  <si>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</si>
  <si>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</si>
  <si>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</si>
  <si>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</si>
  <si>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</si>
  <si>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</si>
  <si>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</si>
  <si>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</si>
  <si>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</si>
  <si>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</si>
  <si>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</si>
  <si>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</si>
  <si>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</si>
  <si>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</si>
  <si>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</si>
  <si>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</si>
  <si>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</si>
  <si>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</si>
  <si>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</si>
  <si>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</si>
  <si>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</si>
  <si>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</si>
  <si>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</si>
  <si>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</si>
  <si>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</si>
  <si>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</si>
  <si>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</si>
  <si>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</si>
  <si>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</si>
  <si>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</si>
  <si>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</si>
  <si>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</si>
  <si>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</si>
  <si>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</si>
  <si>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</si>
  <si>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</si>
  <si>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</si>
  <si>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</si>
  <si>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</si>
  <si>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</si>
  <si>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</si>
  <si>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</si>
  <si>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</si>
  <si>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</si>
  <si>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</si>
  <si>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</si>
  <si>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</si>
  <si>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</si>
  <si>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</si>
  <si>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</si>
  <si>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</si>
  <si>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</si>
  <si>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</si>
  <si>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</si>
  <si>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</si>
  <si>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</si>
  <si>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</si>
  <si>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</si>
  <si>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</si>
  <si>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</si>
  <si>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</si>
  <si>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</si>
  <si>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</si>
  <si>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</si>
  <si>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</si>
  <si>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</si>
  <si>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</si>
  <si>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</si>
  <si>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</si>
  <si>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</si>
  <si>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</si>
  <si>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</si>
  <si>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</si>
  <si>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</si>
  <si>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</si>
  <si>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</si>
  <si>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</si>
  <si>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</si>
  <si>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</si>
  <si>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</si>
  <si>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</si>
  <si>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</si>
  <si>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</si>
  <si>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</si>
  <si>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</si>
  <si>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</si>
  <si>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</si>
  <si>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</si>
  <si>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</si>
  <si>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</si>
  <si>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</si>
  <si>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</si>
  <si>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</si>
  <si>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</si>
  <si>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</si>
  <si>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</si>
  <si>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</si>
  <si>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</si>
  <si>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</si>
  <si>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</si>
  <si>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</si>
  <si>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</si>
  <si>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</si>
  <si>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</si>
  <si>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</si>
  <si>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</si>
  <si>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</si>
  <si>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</si>
  <si>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</si>
  <si>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</si>
  <si>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</si>
  <si>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</si>
  <si>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</si>
  <si>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</si>
  <si>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</si>
  <si>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</si>
  <si>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</si>
  <si>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</si>
  <si>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</si>
  <si>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</si>
  <si>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</si>
  <si>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</si>
  <si>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</si>
  <si>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</si>
  <si>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</si>
  <si>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</si>
  <si>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</si>
  <si>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</si>
  <si>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</si>
  <si>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</si>
  <si>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</si>
  <si>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</si>
  <si>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</si>
  <si>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</si>
  <si>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</si>
  <si>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</si>
  <si>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</si>
  <si>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</si>
  <si>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</si>
  <si>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</si>
  <si>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</si>
  <si>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</si>
  <si>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</si>
  <si>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</si>
  <si>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</si>
  <si>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</si>
  <si>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</si>
  <si>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</si>
  <si>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</si>
  <si>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</si>
  <si>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</si>
  <si>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</si>
  <si>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</si>
  <si>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</si>
  <si>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</si>
  <si>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</si>
  <si>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</si>
  <si>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</si>
  <si>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</si>
  <si>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</si>
  <si>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</si>
  <si>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</si>
  <si>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</si>
  <si>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</si>
  <si>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</si>
  <si>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</si>
  <si>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</si>
  <si>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</si>
  <si>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</si>
  <si>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</si>
  <si>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</si>
  <si>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</si>
  <si>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</si>
  <si>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</si>
  <si>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</si>
  <si>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</si>
  <si>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</si>
  <si>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</si>
  <si>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</si>
  <si>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</si>
  <si>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</si>
  <si>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</si>
  <si>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</si>
  <si>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</si>
  <si>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</si>
  <si>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</si>
  <si>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</si>
  <si>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</si>
  <si>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</si>
  <si>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</si>
  <si>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</si>
  <si>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</si>
  <si>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</si>
  <si>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</si>
  <si>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</si>
  <si>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</si>
  <si>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</si>
  <si>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</si>
  <si>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</si>
  <si>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</si>
  <si>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</si>
  <si>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</si>
  <si>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</si>
  <si>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</si>
  <si>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</si>
  <si>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</si>
  <si>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</si>
  <si>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</si>
  <si>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</si>
  <si>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</si>
  <si>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</si>
  <si>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</si>
  <si>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</si>
  <si>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</si>
  <si>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</si>
  <si>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</si>
  <si>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</si>
  <si>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</si>
  <si>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</si>
  <si>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</si>
  <si>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</si>
  <si>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</si>
  <si>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</si>
  <si>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</si>
  <si>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</si>
  <si>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</si>
  <si>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</si>
  <si>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</si>
  <si>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</si>
  <si>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</si>
  <si>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</si>
  <si>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</si>
  <si>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</si>
  <si>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</si>
  <si>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</si>
  <si>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</si>
  <si>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</si>
  <si>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</si>
  <si>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</si>
  <si>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</si>
  <si>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</si>
  <si>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</si>
  <si>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</si>
  <si>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</si>
  <si>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</si>
  <si>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</si>
  <si>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</si>
  <si>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</si>
  <si>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</si>
  <si>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</si>
  <si>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</si>
  <si>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</si>
  <si>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</si>
  <si>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</si>
  <si>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</si>
  <si>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</si>
  <si>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</si>
  <si>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</si>
  <si>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</si>
  <si>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</si>
  <si>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</si>
  <si>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</si>
  <si>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</si>
  <si>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</si>
  <si>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</si>
  <si>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</si>
  <si>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</si>
  <si>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</si>
  <si>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</si>
  <si>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</si>
  <si>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</si>
  <si>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</si>
  <si>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</si>
  <si>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</si>
  <si>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</si>
  <si>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</si>
  <si>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</si>
  <si>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</si>
  <si>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</si>
  <si>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</si>
  <si>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</si>
  <si>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</si>
  <si>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</si>
  <si>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</si>
  <si>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</si>
  <si>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</si>
  <si>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</si>
  <si>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</si>
  <si>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</si>
  <si>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</si>
  <si>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</si>
  <si>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</si>
  <si>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</si>
  <si>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</si>
  <si>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</si>
  <si>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</si>
  <si>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</si>
  <si>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</si>
  <si>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</si>
  <si>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</si>
  <si>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</si>
  <si>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</si>
  <si>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</si>
  <si>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</si>
  <si>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</si>
  <si>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</si>
  <si>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</si>
  <si>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</si>
  <si>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</si>
  <si>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</si>
  <si>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</si>
  <si>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</si>
  <si>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</si>
  <si>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</si>
  <si>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</si>
  <si>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</si>
  <si>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</si>
  <si>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</si>
  <si>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</si>
  <si>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</si>
  <si>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</si>
  <si>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</si>
  <si>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</si>
  <si>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</si>
  <si>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</si>
  <si>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</si>
  <si>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</si>
  <si>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</si>
  <si>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</si>
  <si>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</si>
  <si>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</si>
  <si>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</si>
  <si>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</si>
  <si>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</si>
  <si>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</si>
  <si>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</si>
  <si>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</si>
  <si>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</si>
  <si>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</si>
  <si>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</si>
  <si>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</si>
  <si>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</si>
  <si>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</si>
  <si>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</si>
  <si>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</si>
  <si>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</si>
  <si>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</si>
  <si>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</si>
  <si>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</si>
  <si>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</si>
  <si>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</si>
  <si>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</si>
  <si>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</si>
  <si>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</si>
  <si>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</si>
  <si>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</si>
  <si>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</si>
  <si>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</si>
  <si>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</si>
  <si>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</si>
  <si>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</si>
  <si>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</si>
  <si>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</si>
  <si>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</si>
  <si>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</si>
  <si>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</si>
  <si>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</si>
  <si>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</si>
  <si>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</si>
  <si>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</si>
  <si>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</si>
  <si>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</si>
  <si>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</si>
  <si>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</si>
  <si>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</si>
  <si>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</si>
  <si>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</si>
  <si>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</si>
  <si>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</si>
  <si>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</si>
  <si>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</si>
  <si>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</si>
  <si>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</si>
  <si>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</si>
  <si>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</si>
  <si>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</si>
  <si>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</si>
  <si>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</si>
  <si>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</si>
  <si>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</si>
  <si>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</si>
  <si>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</si>
  <si>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</si>
  <si>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</si>
  <si>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</si>
  <si>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</si>
  <si>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</si>
  <si>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</si>
  <si>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</si>
  <si>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</si>
  <si>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</si>
  <si>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</si>
  <si>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</si>
  <si>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</si>
  <si>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</si>
  <si>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</si>
  <si>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</si>
  <si>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</si>
  <si>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</si>
  <si>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</si>
  <si>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</si>
  <si>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</si>
  <si>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</si>
  <si>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</si>
  <si>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</si>
  <si>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</si>
  <si>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</si>
  <si>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</si>
  <si>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</si>
  <si>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</si>
  <si>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</si>
  <si>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</si>
  <si>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</si>
  <si>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</si>
  <si>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</si>
  <si>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</si>
  <si>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</si>
  <si>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</si>
  <si>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</si>
  <si>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</si>
  <si>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</si>
  <si>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</si>
  <si>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</si>
  <si>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</si>
  <si>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</si>
  <si>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</si>
  <si>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</si>
  <si>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</si>
  <si>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</si>
  <si>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</si>
  <si>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</si>
  <si>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</si>
  <si>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</si>
  <si>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</si>
  <si>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</si>
  <si>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</si>
  <si>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</si>
  <si>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</si>
  <si>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</si>
  <si>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</si>
  <si>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</si>
  <si>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</si>
  <si>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</si>
  <si>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</si>
  <si>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</si>
  <si>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</si>
  <si>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</si>
  <si>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</si>
  <si>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</si>
  <si>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</si>
  <si>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</si>
  <si>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</si>
  <si>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</si>
  <si>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</si>
  <si>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</si>
  <si>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</si>
  <si>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</si>
  <si>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</si>
  <si>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</si>
  <si>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</si>
  <si>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</si>
  <si>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</si>
  <si>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</si>
  <si>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</si>
  <si>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</si>
  <si>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</si>
  <si>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</si>
  <si>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</si>
  <si>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</si>
  <si>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</si>
  <si>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</si>
  <si>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</si>
  <si>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</si>
  <si>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</si>
  <si>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</si>
  <si>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</si>
  <si>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</si>
  <si>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</si>
  <si>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</si>
  <si>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</si>
  <si>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</si>
  <si>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</si>
  <si>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</si>
  <si>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</si>
  <si>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</si>
  <si>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</si>
  <si>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</si>
  <si>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</si>
  <si>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</si>
  <si>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</si>
  <si>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</si>
  <si>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</si>
  <si>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</si>
  <si>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</si>
  <si>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</si>
  <si>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</si>
  <si>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</si>
  <si>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</si>
  <si>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</si>
  <si>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</si>
  <si>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</si>
  <si>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</si>
  <si>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</si>
  <si>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</si>
  <si>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</si>
  <si>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</si>
  <si>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</si>
  <si>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</si>
  <si>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</si>
  <si>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</si>
  <si>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</si>
  <si>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</si>
  <si>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</si>
  <si>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</si>
  <si>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Andrea Milena Parada Ortiz</t>
  </si>
  <si>
    <t>Cargo: Profesional Universitaria Dirección de Talento Humano</t>
  </si>
  <si>
    <t>Nombre: Dayra Marcela Aldana Diaz</t>
  </si>
  <si>
    <t>Nombre: Lida Cubillos Hernandez</t>
  </si>
  <si>
    <t>Cargo: Contratista - Oficina Asesora de Planeación</t>
  </si>
  <si>
    <t>A corte 30 de septiembre se ha realizado el siguiente avance de la actividad:
Se cuenta con políticas de TI, un proceso y procedimientos documentados
Se cuenta con un catálogo actualizado de sistemas de información
Se tiene definido un proceso de mejora continua para el proceso de gestión tecnológica
Se cuenta con contratación para mantenimiento preventivo para algunos elementos de infraestructura de TI
Se cuenta con un diagnostico del MSPI actualizado para la Entidad
Se tiene una política de seguridad de la información formulada y aprobada
se tiene un inventario de activos de seguridad y privacidad de la información</t>
  </si>
  <si>
    <t>Se dio inicio al contrato de smartnet 1005 de 2023
Se dio inicio al contrato de UPS 1008 de 2023 
Se dio inicio al contrato de proyección de video 1007 de 2023
En el mes de septiembre se realiza seguimiento a la atención y  gestión de los requerimientos y/o incidentes solicitados por mesa de ayuda.</t>
  </si>
  <si>
    <t>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cuenta con políticas de TI, un proceso y procedimientos documentados
Se cuenta con un catálogo actualizado de sistemas de información
Se tiene definido un proceso de mejora continua para el proceso de gestión tecnológica
Se cuenta con contratación para mantenimiento preventivo para algunos elementos de infraestructura de TI
Se cuenta con un diagnostico del MSPI actualizado para la Entidad
Se tiene una política de seguridad de la información formulada y aprobada
se tiene un inventario de activos de seguridad y privacidad de la información
Se realiza seguimiento permanente a la gestión de requerimiento y/o incidentes con la finalidad de garantizar la correcta operación de los servicios.
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
 Se dio incio al contrato de adobe 995 de 2023
Se dio inicio al contrato de smartnet 1005 de 2023
Se dio inicio al contrato de UPS 1008 de 2023 
Se dio inicio al contrato de proyección de video 1007 de 2023</t>
  </si>
  <si>
    <t xml:space="preserve">Se viene trabajando en la implementación del MSPI y se tienen contratados a al profesional encargado de construir el PETI, a un oficial de seguridad de la información y a un arquitecto empresarial con el fin de avanzar en el cumplimiento las políticas de Gobierno Digital y Seguridad Digital </t>
  </si>
  <si>
    <t>Algunos de los principales  beneficios que se han logrado con corte a 30 de septiembre son: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t>
  </si>
  <si>
    <t>Con corte al mes de septiembre se cuenta con 5.331 suscripciones de productos con Microsoft, incluyendo las Powers BI, de las cuales se están utilizando 5.301 (99% de utilización).
Para el mes de septiembre se realizó avance de las siguientes actividades con el fin de garantizar el Funcionamiento, soporte y mantenimiento de los servicios que presta Infraestructura y telecomunicaciones en la Secretaría:
-Se entregaron 8 Mifi para cambio 
- Se realiza primer mantenimiento de UPS del contrato 1008 de 2023. 
Se monitorea herramienta para servidores de equipos de comunicaciones ZABBIX.
-De los procesos en curso: aire acondicionado (se dieron respuesta a observaciones se enviaron documentos finales a contratos), UPS (se suscribió contrato 1008 de 2023), proyección de video (se suscribió contrato 1007 de 2023), DLP (se dieron respuesta a observaciones de prepliegos y se enviaron documentos finales a contratación proceso SDMUJER-SASI-001-2023) VMware (se dieron respuesta a observaciones de contratos y corporativa).Smarnet (contrato 1005 de 2023)
-Se envió a Contratación anexo técnico ajustado de herramienta de desarrollo (se encuentra publicado MC-016-2023 ) licencias Adobe (se realizó pago) SSL( se realizó pago) Firmas electrónicas (solicitud información a proveedores). 
Con corte a 30 de septiembre se han recibido 5825 requerimientos por mesa de ayuda, de los cuales se atendieron 5574, quedando 251 para ser atendidos en el mes de octubre, debido a su complejidad, a la fecha se han atendido los requerimientos a satisfacción con el fin de garantizar que los funcionarios puedan trabajar de manera mas eficiente.
En el mes de septiembre se recibieron 692 requerimientos de los cuales se atendieron 570 quedando pendientes para el mes de octubre 122 en su mayoría del SIMISIONAL (59 casos abiertas)</t>
  </si>
  <si>
    <t>Con corte a 30 de septiembre se han atendido 1081 requerimientos de soporte a la fecha, en el mes de septiembre se atendieron 124 ,se realizó 3 actualización del aplicativo en el mes de septiembre, consolidado a corte 24 actualizaciones al aplicativo, se solicitaron 1 requerimientos adicionales que se encuentran en validación para un total a corte de 32 de septiembre para mejoras en sistema del aplicativo Icops.
Se realizo una validación de preaprobación financiera para No permitir la aprobación si no coinciden las apropiaciones con el valor a pagar del informe en el aplicativo ICOPS para uno o varios elementos PEP.
Se genero notificación de radicado en el informe en el momento de radicar por parte del contratista.
Con corte a 30 de septiembre se han atendido 2525 requerimientos, en el mes de septiembre se recibieron 275 requerimientos relacionados con soporte a la página Web, los cuales corresponden a actualización de contenido y de funcionalidades.
Con corte a 30 de septiembre se ha realizado el alistamiento, configuración y actualización de los servidores que soportan los aplicativos de la entidad y portales institucionales con el fin de garantizar que los aplicativos estén disponibles y asegurados para los servicios de la entidad.
En el mes de septiembre se realizaron las siguientes actividades con el fin de garantizar la correcta operación de los servicios, sistemas de información de la entidad:
 Se realizaron 58  publicaciones en Intranet total 97
Se realizaron actualizaciones del chat bot para whatsapp de manzanas de cuidado de acuerdo a los cambios solicitados.
Se realiza seguimiento de capacitación de indicadores para Orfeo Simisional Icops y mesa de ayuda
Se realizo alistamiento y parametrización de base de datos en producción para el Simisional 2
Se realizo la migración a un gestor de contenido WordPress de manzanas de cuidado.
Se realizo Creación de formularios y publicación para votaciones de la comisión de empleados</t>
  </si>
  <si>
    <t>Avance en la implementación de la Política de Seguridad Digital
En el mes de septiembre se realizaron las siguientes actividades:
-Se inicio cargue en el aplicativo Lucha de amenazas y vulnerabilidades
-Análisis de vulnerabilidades de Simisional I, II, Orfeo y se presento procedimiento de vulnerabilidades técnicas.
-Actualización de activos de información de la oficina de control disciplinario, dirección de diseño de políticas, sub. Gestión Corporativa.
Se envió primera versión actualizada de la política de tratamientos personales.
Se realizo capacitación de tratamiento de datos personales y seguridad de la información.
Se realizo bloqueo de puertos USB para PC de la OAP.
Avance en la implementación de la Politica de Gobierno Digital 
Se realizo socialización y capacitación con los procesos para la recolección de entregables de acuerdo con los lineamientos de las fases metodológicas.
Se realizo reunión con GC avances de furag de Gobierno Digital, vistas de información arquitectura de información y utilizar tecnologías emergentes de cuarta revolución.
Se han adelantado documentos del ciclo de vida de la adquisición y software de sistemas de información.
Se avanza en el lineamiento del uso y apropiación, interoperabilidad 
Se realizo reunión para elaboración  y proyección de Capex y Opex con gestión tecnológica, GC, DAF, enfoque diferencial y el proceso de prevención y atención integral a mujeres victimas de violencia.
Se esta formulando y actualizando el PETI para la vigencia 2024-2028
Se esta documentando el proceso de arquitectura empresarial y estructura organizacional
Se están documentando los catálogos de TI.</t>
  </si>
  <si>
    <t xml:space="preserve">Con corte al mes de septiembre de 2023, se realizó seguimiento planes FURAG de acuerdo con cronograma, se continua con la actualización de la documentación de los procesos, realización de acompañamientos en planes de mejora, seguimiento y monitoreo a riesgos, ejecución de las actividades de PIGA, y actualización al botón de transparencia. </t>
  </si>
  <si>
    <t>No hubo retrasos</t>
  </si>
  <si>
    <t xml:space="preserve">Mejora continua en el modelo integrado de planeación y Gestión de la entidad - MIPG
Puesta en marcha de las buenas practicas en la entidad para la implementacion de las politicas del MIPG enmarcadas en los planes de mejora FURAG    
   </t>
  </si>
  <si>
    <t xml:space="preserve">En lo transcurrido a septiembre 30 de 2023, se han realizado las sesiones del CIGD de acuerdo con lo programado, se han atendido todas las solicitudes de actualización de documentos, se realiza el acompañamiento permanente en planes mejora, se realiza monitoreo y acompañamiento en riesgos, se da cumplimiento a las actividades del PIGA y se realizan las actualizaciones de información en el link de transparencia </t>
  </si>
  <si>
    <r>
      <t xml:space="preserve">En el mes de septiembre:
</t>
    </r>
    <r>
      <rPr>
        <sz val="11"/>
        <rFont val="Times New Roman"/>
        <family val="1"/>
      </rPr>
      <t>Se preparo el comité MIPG No 10. Se diligenciaron 8 autodiagnosticos para elaborar planes de mejora FURAG 2024, se dio respuesta a requerimientos y se identifican las lineas de defensa proceso sistema de cuidado.</t>
    </r>
    <r>
      <rPr>
        <b/>
        <sz val="11"/>
        <rFont val="Times New Roman"/>
        <family val="1"/>
      </rPr>
      <t xml:space="preserve">
</t>
    </r>
    <r>
      <rPr>
        <sz val="11"/>
        <rFont val="Times New Roman"/>
        <family val="1"/>
      </rPr>
      <t xml:space="preserve">Se actualizaron 26 documentos de diferentes procesos de la entidad y se atendieron 36 solicitudes en mesa de ayuda y correo sobre LUCHA. 
Se atiendieron 11 solicitudes sobre planes de mejoramiento de las 11  recibidas, teniendo un avance del 100%. 
Se realizó el acompañamiento a 5 procesos en la gestion del riesgos  
Se realizarón 7 actividades del PIGA y se atendieron requerimientos relacionados con temas ambientales 
Se realizó la actualización de 60 documentos en 13 numerales del link de transparencia 
</t>
    </r>
    <r>
      <rPr>
        <b/>
        <sz val="11"/>
        <rFont val="Times New Roman"/>
        <family val="1"/>
      </rPr>
      <t xml:space="preserve">Con corte al 30 de septiembre: 
</t>
    </r>
    <r>
      <rPr>
        <sz val="11"/>
        <rFont val="Times New Roman"/>
        <family val="1"/>
      </rPr>
      <t>Durante lo transcurrido de esta vigencia se han realizado 9 Comité Institucional de gestión y desempeño, se realizo la identificación de las lineas de defensa a los 22 procesos de la entidad 
Durante lo transcurrido de esta vigencia se han atendido 191 solicitudes de documentos, gestión de usuarios LUCHA y capacitaciones del SIG.
Durante lo transcurrido de esta vigencia se han atendido 80 solicitudes de planes de mejora y se cuenta con 428 acciones abiertas de las cuales el 57% se encuentran con un 100% de ejecución 
Durante lo transcurrido de esta vigencia se han realizado 73 acompañamientos a los procesos para revisión de riesgos, ejecución de controles  y  seguimiento de acuerdo al acta estandar;  el avance general es 66% de lo progamado para el 2023
Se realizarón 60 actividades del PIGA 
Durante lo transcurrido de esta vigencia se han realizado 253 publicaciones de docuemtnos en el botón de transparencia</t>
    </r>
  </si>
  <si>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SEPTIEMBRE se tramitaron 71 respuestas a requerimientos asignados a la OAJ en los términos legales establecidos y de acuerdo con el marco normativo vigente, para un TOTAL con CORTE A 30 de SEPTEIMBRE de 526 respuestas emitidas.</t>
  </si>
  <si>
    <r>
      <t xml:space="preserve">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con corte al mes de septiembre: 
</t>
    </r>
    <r>
      <rPr>
        <b/>
        <sz val="11"/>
        <color indexed="8"/>
        <rFont val="Times New Roman"/>
        <family val="1"/>
      </rPr>
      <t>Fortalecimiento tecnológico:</t>
    </r>
    <r>
      <rPr>
        <sz val="11"/>
        <color indexed="8"/>
        <rFont val="Times New Roman"/>
        <family val="1"/>
      </rPr>
      <t xml:space="preserve">
Se suscribieron los procesos proyectados a contratar durante los meses de enero a septiembre y se continúan adelantando los támites precontractuales de los procesos proyectados a contratar en el ultimo trimestre de acuerdo a la programación del plan anual de adquisiciones. Se realizan reuniones de validación y compromisos de todos los procesos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r>
      <rPr>
        <b/>
        <sz val="11"/>
        <color indexed="8"/>
        <rFont val="Times New Roman"/>
        <family val="1"/>
      </rPr>
      <t xml:space="preserve">Fortalecimiento MIPG:
</t>
    </r>
    <r>
      <rPr>
        <sz val="11"/>
        <color indexed="8"/>
        <rFont val="Times New Roman"/>
        <family val="1"/>
      </rPr>
      <t xml:space="preserve">Se han realizado actividades para avanzar en la implementación de las políticas de gestión y desempeño, que han permitido a la Entidad la mejora continua, pasando del 75.5 al 98.1 en los resultados del Índice de Desempeño Institución -IDI.
</t>
    </r>
    <r>
      <rPr>
        <b/>
        <sz val="11"/>
        <color indexed="8"/>
        <rFont val="Times New Roman"/>
        <family val="1"/>
      </rPr>
      <t xml:space="preserve">Fortalecimiento Institucional:
</t>
    </r>
    <r>
      <rPr>
        <sz val="11"/>
        <color indexed="8"/>
        <rFont val="Times New Roman"/>
        <family val="1"/>
      </rPr>
      <t>Avance del 96 % de cumplimiento en la contratación de Prestación de Servicios Profesionales y de Apoyo a la gestión. La atención a los diferentes requerimientos y rendiciones de cuentas por parte de la Entidad tanto a los órganos de control y al Concejo de Bogotá,  evidencian no solo el acatamiento de los mismo por la Entidad sino la transparencia en sus actuaciones. Avance en la ejecución presupuestal del 88,74% y de giros de 52,95% con corte al mes de septiembre.</t>
    </r>
  </si>
  <si>
    <r>
      <t xml:space="preserve">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con corte al mes de septiembre: 
</t>
    </r>
    <r>
      <rPr>
        <b/>
        <sz val="11"/>
        <color indexed="8"/>
        <rFont val="Times New Roman"/>
        <family val="1"/>
      </rPr>
      <t>Fortalecimiento tecnológico:</t>
    </r>
    <r>
      <rPr>
        <sz val="11"/>
        <color indexed="8"/>
        <rFont val="Times New Roman"/>
        <family val="1"/>
      </rPr>
      <t xml:space="preserve">
Se suscribieron los procesos proyectados a contratar durante el trimestre y se continúan adelantando los támites precontractuales de los procesos proyectados a contratar en el ultimo trimestre de acuerdo a la programación del plan anual de adquisiciones. Se realizan reuniones de validación y compromisos de todos los procesos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r>
      <rPr>
        <b/>
        <sz val="11"/>
        <color indexed="8"/>
        <rFont val="Times New Roman"/>
        <family val="1"/>
      </rPr>
      <t xml:space="preserve">Fortalecimiento MIPG:
</t>
    </r>
    <r>
      <rPr>
        <sz val="11"/>
        <color indexed="8"/>
        <rFont val="Times New Roman"/>
        <family val="1"/>
      </rPr>
      <t xml:space="preserve">Se han realizado actividades para avanzar en la implementación de las políticas de gestión y desempeño, que han permitido a la Entidad la mejora continua, pasando del 75.5 al 98.1 en los resultados del Índice de Desempeño Institución -IDI.
</t>
    </r>
    <r>
      <rPr>
        <b/>
        <sz val="11"/>
        <color indexed="8"/>
        <rFont val="Times New Roman"/>
        <family val="1"/>
      </rPr>
      <t xml:space="preserve">Fortalecimiento Institucional:
</t>
    </r>
    <r>
      <rPr>
        <sz val="11"/>
        <color indexed="8"/>
        <rFont val="Times New Roman"/>
        <family val="1"/>
      </rPr>
      <t>Se adelantó el  4%  del avance presupuestado para este mes para la suscripción de  contratos y modificaciones contractuales. Por otra parte,  suscribieron un total de cinco (5) contratos por modalidad de contratación directa, seis (6) contratos por madalidad de selección  de Minima cuantía y uno (1) por Acuerdo Marco de Precios. Se ha dado respuesta a requerimientos de la Contraloría de Bogotá, Contraloría Gneral de la República y a la Personería de Bogotá. Durante el mes de septiembre, se atendieron todas las solicitudes de certificados presupuestales recibidas.</t>
    </r>
  </si>
  <si>
    <t>1. Durante el mes de septiembre se adelantó el  4%  del avance presupuestado para este mes para la suscripción de  contratos y modificaciones contractuales. 
Para este mes se suscribieron un total de cinco (5) contratos por modalidad de contratación directa, seis (6) contratos por madalidad de selección  de Minima cuantía y uno (1) por Acuerdo Marco de Precios
Por lo que se evanzo en un 4% en la contratación y un 100% en modificaciones.</t>
  </si>
  <si>
    <t>1. Con corte al mes de septiembre,  se   ha suscrito 926 contratos por prestación de Servicios Profesionales y de Apoyo a la gestión de los 965 programados,  haciendo falta un aproximado de 39 solicitudes de contratación por radicar las áreas en la Dirección de Contratación, logrando así que la entidad en general cuente con los profesionales requeridos para coayudar al cumplimiento de las metas planes y proyectos institucionaless
2.  Por otro lado, durante el mes de enero a septiembre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96 % de cumplimiento en la contratación de Prestación de Servicios Profesionales y de Apoyo a la gestión y un 100% en otros trámites.</t>
  </si>
  <si>
    <t>1.  A la fecha los retrazos presentados por devoluciones de documentos contractuales han sido solucionado en la mayoria de los casos inmediatamente</t>
  </si>
  <si>
    <t xml:space="preserve"> Con la suscripcion de   926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23 contratos nuevos  de arrendamiento y la adición prorroga de uno,   las casas de igualdad y oportunidades, la entidad y la casa de todas, siguen pretando los servicios ofertados  a todas la mujeres que hacen uso de estos.                                                                                                                                                                                        Por otro lado, a corte 30  de septiembre, la entidad ha suscrito 33 contratos por otras modalidades de selección los cuales son importantes para garantizar el adecuado funcionamiento y la prestacion del  servico  de oferta institucional                                                                                                                                                                                                                                                                                                                       </t>
  </si>
  <si>
    <t>1. En el mes de septiembre  se realizó apoyo en el análisis y revisión jurídica de la contratación de la entidad con la suscripción de 5 contratos por modalidad de contratación directa, 6 contratos por madalidad de selección  de Minima cuantía y 1 por Acuerdo Marco de Precios, se realizó apoyo en el análisis y revisión jurídica de 926 contratos suscritos de prestación de servicios profesionales y apoyo a la gestión
2. En el mes de septiembre se realizó la elaboración y publicación de los informes de seguimiento a la gestión de PQRS y atención a la ciudadanía, correspondientes al mes de julio ,y con corte al mes de agosto los informes del mes de diciembre, trimestral (cuarto trimestre del año 2022) y, enero, febrero, marzo, abril, mayo, junio, julio  y trimestral (primer y segundo trimestre 2023).  
3. En el mes de septiembre y en lo recorrido del año 2023, se ha realizado el seguimiento semanal a las dependencias de la entidad de la gestión de peticiones ciudadanas, dentro de los términos estipulados por la ley en el Sistema Distrital para la Gestión de Peticiones Ciudadanas – Bogotá te escucha. . 
4. En el mes de septiembre   y en lo recorrido del año 2023 se ha realizado seguimiento a los planes de mejoramiento internos y externos en el Sistema Integrado de Gestión- aplicativo Lucha, de las direcciones y/o equipos que hacen parte de la Corporativa  Así mismo, se realizó el seguimiento al PAAC 1 ro y 2do cuatrimestre 2023. 
5. En el mes de septiembre  y en lo recorrido del año se ha dado respuesta a requerimientos de la Contraloría de Bogotá, Contraloría Gneral de la República y a la Personería de Bogotá. 
6. En septiembre  y en lo recorrido del año se realizó seguimiento a la ejecución presupuestal de 11 proyectos de inversión, evidenciando una ejecución total de inversión del  94.40% y  giros del 49.69%. y funcionamiento 69.28% y giros de 64.18%.</t>
  </si>
  <si>
    <t xml:space="preserve">La Dirección de Contratación, en el mes de septiembre en el marco del proyecto de inversión 7662 recibió  8 solicitudes de contratación, para un total  a corte  del mes de septiembre de  152 solicitudes de contracción.
Por otro lado, recibió un total de 4 solicitudes  de contratación por  otros proyectos de invesión , para un total  a corte  del mes de septiembre de  830 solicitudes de contracción.
De acuerdo a lo anterior,  entre el mes de enero a septiembre la Dirección de Contratación  recibió un total de 982 solicitudes, las cuales fueron tramitadas y a su vez se suscribieron los respectivos contratos. 
Así mismo, en el mes de septiembre  se realizó 92  modificaciones entre las cuales se encuentran, Adiciones, Adiciones y Prórroga, Prórroga, Terminaciones Anticipadas, Otro Sí Modificatorios, Cesiones,  liquidaciones, Aclaratorios entre otros, para un total de 427 modificaciones aproximadamente. </t>
  </si>
  <si>
    <t>Septiembre: Se realizó caminata, pausa mental, minitejo y prepensionados. Capacitación en SIDICU, inicio de los cursos de PAP y violencias y feminicidios, PPMYEG y charla sobre seguridad de la información y protección de datos. Afiliaciones a ARL, COPASST, inspecciones, EMO, investigaciones AT, EPP, actividades de riesgo psicosocial y riesgo público, seguimiento condiciones de salud, fortalecimiento brigada e indicadores. Se realizaron los trámites correspondientes al seguimiento relacionado con EDL y AG y se gestionaron situaciones administrativas de licencias, incapacidades, autorización horario flexible, nombramiento provisional, vacaciones, renuncia, liquidaciones, compensatorios y horas extra.
Ene. – Sept. de 2023: Formuló el PETH y 5 planes anexos aprobados por MIPG. Autocuidado, profesiones, día de la auxiliar y del conductor, caminatas, pausas mentales, jornada animales de compañía, día salud de las mujeres, ferias de servicios, PAP, 8M, boletas para cine y teatro, torneo bolos y minitejo y mindfulness; curso gobernanza, atención mujeres en sus diferencias y diversidades, inducción, Big Data, SQL, Power BI, políticas públicas, nuevos IP, liquidación e incumplimiento contractual, PPMYEG, LUCHA, SIMISIONAL, Mesa de Ayuda, regulación contable, lenguaje incluyente, prevención violencias contra las mujeres, SIDICU, Circular 012 de 2023, decreto 332, violencias y feminicidio; seguimiento condiciones de salud, afiliaciones ARL, autoevaluación SG-SST, EMO, elección y sesiones del COPASST y CCL, prevención riesgo psicosocial y riesgo biológico, inspecciones, investigación AT, entrega EPP, botiquines, semana de la salud y capacitación brigada. Por otra parte, provisión de empleos, teletrabajo, horario flexible, primas técnicas, vinculaciones pasantes, pago ARL, licencias, vacaciones, horas extra, compensatorios, liquidaciones, renuncias, permisos de estudio y encargos. Por último, acciones de EDL, seguimiento provisionales, AG, concertaciones y gestión solicitudes.</t>
  </si>
  <si>
    <t>Solicitudes de CDP y CRP: 
Durante el mes de septiembre, se atendieron todas las solicitudes de certificados presupuestales recibidas expidiendo lo que se relaciona a continuación:
- 8 Certificados de Disponibilidad Presupuestal -CDP
- 96 Certificados de Registro Presupuestal - CRP
Entre el período comprendido entre los meses de enero a 30 de septiembre de 2023, las expediciones acumuladas, son las siguientes: 
- 1.445  Certificados  de Disponibilidad Presupuestal . CDP
- 1.492  Certificados de Registro Presupuestal - CRP
Lo anterior refleja un avance en la ejecución presupuestal del 88,74% y de giros de 52,95% con corte al mes de septiembre.
Estados Financieros: El 19 de septiembre del 2023 se publicó en la página Web de la entidad los siguientes estados financieros:   Estado de situación financiera comparativo Agosto - Junio 2023, Estado de Resultado Comparativo Agosto 2023-2022 y Certificación de los estados financieros Agosto 2023</t>
  </si>
  <si>
    <t>Mesas de ayuda Administrativa: Para el mes de septiembre de 2023, se recibieron por mesa de ayuda 122 solicitudes, de las cuales 53 de ellas corresponden  a requerimientos de mantenimiento locativo, equivale al 43% , para el área de almacen se registraton 69 solicitudes equivalentes al 57%. 
Del total de los requerimientos se gestionaron el 100% dando una primera respuesta y seguimiento de los casos. Dentro del mes se cerraron 68 mesas de ayudas equivalentes a un 56% teniendo en cuenta las diferentes variables que se presentan para dar pronta solucion a los requerimientos.
Esquema de Publicación : Se tramitó y actualizó la Resolución No. 0357 del 31 agosto 2023 “Por medio de la cual se actualiza el Esquema de Publicación de la Información de la Secretaría Distrital de la Mujer, y se dictan otras disposiciones.” ; la cual deroga la Resolución No. 306 del 31 de agosto del 2022.
Se actualiza el presente formato y se publica en página WEB de la Entidad, BOTON DE TRANSPARENCIA Y ACCESO A LA INFORMACIÓN, numeral 7: el "Esquema de Publicación del Información" y la Resolución No. 357 de agosto 31 de 2023. Posteriormente se solicitó la publicación del "esquema de Publicación de la información en la Página WEB de la Entidad y en Datos Abiertos.</t>
  </si>
  <si>
    <t>El siguiente es el avance del PAA 2023 en su versión 2 a 30 de septiembre del año en curso: AUDITORÍAS: Finalizó la ejecución de la auditoría al proceso de Gestión Tecnológica, así como, se finalizó la etapa de planeación e inicio de la ejecución de la auditoría al proceso de Gestión Contractual. INF. REGLAMENTARIOS: Se emitió y publicó en página web el informe de Seguimiento del PAAC 2º Cuatrimestre 2023 y se encuentra en ejecución el de Normas de Carrera Administrativa y del Comité de Sostenibilidad y de Cartera. SEGUIMIENTO: Se emitió y publicó en página web el Seguimiento a Planes de Mejoramiento Internos, se encuentra en ejecución el seguimiento a metas PDD priorizadas y Política de Integridad, así como, se realizó la solicitud de información para los informes de Seguimiento a la ejecución presupuestal y de pagos y de los Acuerdos de Gestión y presentación de actas de informe de gestión. ASESORIAS y ACOMPAÑAMIENTOS: Se llevaron a cabo la participación enlaces MIPG, comités y mesas técnicas institucionales. 
En cuanto a la ejecución acumulada de la presente meta, con corte a 30 de septiembre de 2023 se han emitido y publicado un total de cinco (5) informes de auditoría, cinco (5) informes de seguimiento y veinticuatro (24) informes reglamentarios para un total de treinta y cuatro (34) informes del total de cuarenta y nueve (49) informes programados en el PAA 2023 versión 2, lo que corresponde a un 69% de ejecución.</t>
  </si>
  <si>
    <t>PONDERACIÓN</t>
  </si>
  <si>
    <t>Porque faltó un informe del furag, función pública aperturo el aplicativo en fecha posterior.</t>
  </si>
  <si>
    <t>Porque adelantamos informes (compensar el porcentaje)</t>
  </si>
  <si>
    <t>Con corte al 30 de septiembre de la vigencia 2023, se realizó transferencia primaria de la Dirección de Territorialización de las 20 CIOM para un total de 14 metros lineales de los 55 metros proyectados.     
Del mes de enero al mes de septiembre, se tienen un total de 42,75 metros lineales, cumpliendo con la meta propuesta para el reporte al mes.</t>
  </si>
  <si>
    <t>Con corte a 30 de septiembre de la vigencia 2023, se realizó organización documental (clasificación, ordenación, foliación y rótulación) de 30 cajas equivalentes a 7,5  metros lineales de la Dirección de Contratación, Vigencia 2016 - Archivo Central y  6 cajas de la Dirección de Contratación, Vigencia 2020 y 2023 Edificio Elemento,  para un total de 36 cajas equivalentes a 9 metros lineales; para un acumulado de 116,25 metros lineales, de los 150 proyectados.</t>
  </si>
  <si>
    <t xml:space="preserve">Con corte al  30 de septiembre de la vigencia 2023, se socializó del instructivo de eliminación documental con sus respectivas actas,  formato ficha de valoración documental, formato cuadro de clasificación documental y formato cuadro de caracterización documental. Se actualizó el reglamento interno de de Gestión Documental, se realizaron 3 sensibilizaciones a las dependencias a nivel central de acuerdo al plan de sensibilizaciones vigencia 2023 con la temática  Organización Documental y Sistema Funcional ORFEO. Asimismo, se realizó 1 visita de seguimiento a nivel central con la finalidad de hacer seguimiento a la organización documental, de acuerdo al cronograma 2023. Por otro lado, se realizaron acompañamientos frente a mesa de trabajo para mejoras del aplicativo FUID en línea y clasificación y descripción de material bibliografico. </t>
  </si>
  <si>
    <t xml:space="preserve">Con corte a 30 de septiembre  de la vigencia 2023 y como parte de la implementación del Sistema Integrado de Conservación- SIC, se realizó informe general sobre las visitas de seguimiento realizadas a las 20 CIOM. Por otro lado,  se realizó seguimiento al proceso de contratación frente al saneamiento ambiental y así mismo, se realizó concepto técnico a la revisión de las unidades de conservación (carpetas cuatro aletas) para la Casa Refugio Rosa Elvira Cely. </t>
  </si>
  <si>
    <t>Con corte a 30 de septiembre de la vigencia 2023 , se realizó mesa de trabajo para seguimiento a la implementacion de la firma autografa en el Sistema de Gestión Documental Orfeo. Así mismo, se realizó documento preliminar sobre el Modelo de Requisitos para la Gestión de documentos Electrónicos, se realizó Informe de Diagnóstico del Sistema de Gestión Documental Orfeo.  Por otro lado, se atendieron 83 mesas de ayuda, dando cumplimiento a las actividades contempladas en el Plan de Preservación Digital a Largo Plazo.</t>
  </si>
  <si>
    <t>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14  metros lineales, Subsecretaria de Fortalecimiento de Capacidades y Oportunidaddes con 1,25 metros lineales, para un total de  42,75 metros lineales de los 55 metros proyectados.</t>
  </si>
  <si>
    <t>No aplica</t>
  </si>
  <si>
    <t>El avance en las actividades hasta la fecha ha fortalecido la gestión  y seguimiento a la implementación de la Gestión Documental. La integración e identificación física y electrónica de todos los documentos ha permitido evitar la pérdida de la documentación y reducir el tiempo de respuesta .
De igual manera, se ha dado cumplimiento a la normatividad vigente en la implementación de los Instrumentos Archivísticos. Estos instrumentos ayudan a estandarizar y estructurar los procesos de Gestión Documental, dando un  valor correspondiente a la documentación,permitiendo realizar controles y seguimiento a la información producida, lo que facilita la toma de decisiones en el marco de la misionalidad de la entidad.</t>
  </si>
  <si>
    <t>Con corte al 30 de septiembre de la vigencia 2023, se realizó transferencia primaria de la Dirección de Territorialización  de las 20 CIOM, equivalentes a 14 metros lineales de los 55 metros proyectados.
Adicionalmente se realizó organización documental (clasificación, ordenación, foliación y rótulación) de un total de 36 cajas equivalentes a 9 metros lineales, para un acumulado de 116,25 metros lineales, de los 150 proyectados.
Como parte de la implementación del Sistema Integrado de Conservación- SIC, se realizó informe general sobre las visitas de seguimiento realizadas a las 20 CIOM. Por otro lado,  se realizó seguimiento al proceso de contratación frente al saneamiento ambiental y así mismo, se realizó concepto técnico a la revisión de las unidades de conservación (carpetas cuatro aletas) para la Casa Refugio Rosa Elvira Cely. 
Se realizaron 3 sensibilizaciones de acuerdo a la programación, se realizó mesa de trabajo para seguimiento a la implementacion de la firma autografa en el Sistema de Gestión Documental Orfeo. Así mismo, se realizó documento preliminar sobre el Modelo de Requisitos para la Gestión de documentos Electrónicos, se realizó Informe de Diagnóstico del Sistema de Gestión Documental Orfeo y por otro lado, se atendieron 83 mesas de ayuda, dando cumplimiento a las actividades contempladas en el Plan de Preservación Digital a Largo Plazo.</t>
  </si>
  <si>
    <t>Gestión contractual y precontractual de los procesos, validación de todos los procesos y monitoreo permanente a la infraestructura tecnológica para garantizar el correcto funcionamiento de los servicios de la entidad, mantenimiento y actualización  de los componentes de los sistemas de información.</t>
  </si>
  <si>
    <t>meta 1</t>
  </si>
  <si>
    <t>96% de cumplimiento en la contratación de Prestación de Servicios Profesionales y de Apoyo a la gestión. Atención a los requerimientos y rendiciones de cuentas a órganos de control y al Concejo de Bogotá. Se logra una ejecución presupuestal del 88,74% y de giros de 52,95% al corte de este reporte</t>
  </si>
  <si>
    <t>meta 2</t>
  </si>
  <si>
    <t>Se da cumplimiento al cronograma de trabajo establecido para la vigencia frente a la gestión de transferencia documental, según cronograma aprobado en sesión No.1 del Comité Institucional de Gestión y Desempeño.Se gestionó un total de  42,75 metros lineales de los 55 metros proyectados.</t>
  </si>
  <si>
    <t>meta 4</t>
  </si>
  <si>
    <t>meta 3</t>
  </si>
  <si>
    <t>Se han realizado actividades para avanzar en la implementación de las políticas de gestión y desempeño, que han permitido a la Entidad la mejora continua, pasando del 75.5 al 98.1 en los resultados del Índice de Desempeño Institución -IDI.</t>
  </si>
  <si>
    <t>No se presentaron retrasos</t>
  </si>
  <si>
    <t>Este mes no se reporta avance de este indicador, debido a la periodicidad de su programación.</t>
  </si>
  <si>
    <t>Se realizó revisión y aprobación de la documentación de Planes de Acción de los 11 proyectos de inversión para la vigencia 2023 en el Comité Institucional de Gestión y Desempeño mediante acta número 002 del 30 de enero de 2022.</t>
  </si>
  <si>
    <t>En el mes de septiembre se realizó la revisión de los reportes de seguimiento del plan de acción con corte a 31 de agosto de 2023 de los 11 proyectos de inversión.</t>
  </si>
  <si>
    <t>Con corte al mes de septiembre se ha realizado la revisión del seguimiento del plan de acción de los 11 proyectos de inversión con corte al mes de diciembre de 2022, enero, febrero, marzo, abril, mayo, junio, julio y agosto de 2023.</t>
  </si>
  <si>
    <t>Se realizó presentación de seguimiento al Plan Estratégico Institucional con corte al 31 de diciembre de 2022 y con corte al 30 de junio de 2023 en el Comité MIPG No.08.</t>
  </si>
  <si>
    <t>Avanzar en el 80% en la Implementación de las políticas de Gobierno Digital y Seguridad Digital contenidas en la Dimensión Gestión con valores para Resultados</t>
  </si>
  <si>
    <t xml:space="preserve">Se realizo socialización y capacitación con los procesos para la recolección de entregables de acuerdo con los lineamientos de las fases metodológicas.
Se realizo reunión con GC avances de furag de Gobierno Digital, vistas de información arquitectura de información y utilizar tecnologías emergentes de cuarta revolución.
Se han adelantado documentos del ciclo de vida de la adquisición y software de sistemas de información.
Se avanza en el lineamiento del uso y apropiación, interoperabilidad 
Se realizo reunión para elaboración  y proyección de Capex y Opex con gestión tecnológica, GC, DAF, enfoque diferencial y el proceso de prevención y atención integral a mujeres victimas de violencia.
Se esta formulando y actualizando el PETI para la vigencia 2024-2028
Se esta documentando el proceso de arquitectura empresarial y estructura organizacional
Se están documentando los catálogos de TI </t>
  </si>
  <si>
    <t>Se realiza presentación de actividades macro ante el comité de gestión institucional para los avances a realizar en la vigencia 2023 del plan de seguridad de información y plan de gestión de riesgos de seguridad y los proyectos del PETI.
Para el mes de febrero no se realizaron avances teniendo en cuenta que no esta contratado el profesional de seguridad
Para el mes de marzo no se realizaron avances teniendo en cuenta que no esta contratado el profesional de seguridad
Para el mes de abril no se realizaron avances teniendo en cuenta que no esta contratado el profesional de seguridad
Para el mes de mayo no se realizaron avances teniendo en cuenta que no esta contratado el profesional de seguridad
Para el mes de junio no se realizaron avances teniendo en cuenta que no esta contratado el profesional de seguridad
Para elmes de julio no se realizaron avances teniendo en cuenta que el profesional se encuentra realizando levantamiento de información para desarrollar el cierre de las principales brechas del semestre.
Para el mes de agosto se consolido avance en la implementación de la Politica de Gobierno Digital donde se resaltan los siguientes avances
-se  finalizo el primer ejercicio de arquitectura empresarial, se viene trabajando en la implementación del MSPI y se tienen contratados a una persona encargada de construir el PETI, a un oficial de seguridad de la información y a un arquitecto empresarial.
- Se cumple con los criterios de accesibilidad web
-Se cuenta con matriz de seguimiento de proyectos 80% avance
-Cronograma de arquitectura 
-Se está realizando la actualización y formulación del nuevo PETI 
Se cuenta con políticas de TI, un proceso y procedimientos documentados
Se cuenta con un catálogo actualizado de sistemas de información
Se tiene definido un proceso de mejora continua para el proceso de gestión tecnológica
Se cuenta con contratación para mantenimiento preventivo para algunos elementos de infraestructura de TI
Se tiene implementado IPv6
Se cuenta con un diagnostico del MSPI actualizado para la Entidad
Se tiene una política de seguridad de la información formulada y aprobada
se tiene un inventario de activos de seguridad y privacidad de la información
Se cuenta con una construcción del CVDS</t>
  </si>
  <si>
    <t>"Con corte al mes de septiembre se cuenta con 5.331 suscripciones de productos con Microsoft, incluyendo las Powers BI, de las cuales se están utilizando 5.301 (99% de utilización).</t>
  </si>
  <si>
    <t>se cuenta con 5.331 suscripciones de productos con Microsoft, incluyendo las Powers BI, de las cuales se están utilizando 5.301 (99% de utilización).</t>
  </si>
  <si>
    <t xml:space="preserve">
Se dio inicio al contrato de smartnet 1005 de 2023
Se dio inicio al contrato de UPS 1008 de 2023 
Se dio inicio al contrato de proyección de video 1007 de 2023</t>
  </si>
  <si>
    <t>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
Se dio inicio al contrato de Oracle orden de compra 113288 cto 987 de 2023
Se dio inicio al contrato licencias Adobe cto 995 de 2023 
Se dio inicio al contrato de smartnet 1005 de 2023
Se dio inicio al contrato de UPS 1008 de 2023 
Se dio inicio al contrato de proyección de video 1007 de 2023</t>
  </si>
  <si>
    <t>En el mes de septiembre se recibieron 692 requerimientos de los cuales se atendieron 570 quedando pendientes para el mes de octubre 122 en su mayoría del SIMISIONAL (59 casos abiertas)"</t>
  </si>
  <si>
    <t>Con corte a 30 de septiembre se han recibido 5825 requerimientos por mesa de ayuda, de los cuales se atendieron 5574, quedando 251 para ser atendidos en el mes de octubre, debido a su complejidad, a la fecha se han atendido los requerimientos a satisfacción con el fin de garantizar que los funcionarios puedan trabajar de manera mas eficiente.</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</si>
  <si>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</si>
  <si>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</si>
  <si>
    <t xml:space="preserve">Se dio inicio al contrato de UPS 1008 de 2023 Se realiza primer mantenimiento de UPS del contrato 1008 de 2023. </t>
  </si>
  <si>
    <t xml:space="preserve">Con corte a 30 de septiembre se realizaron los mantenimientos a los sistemas de información de acuerdo al cronograma </t>
  </si>
  <si>
    <t>"Con corte a 30 de septiembre se han atendido 1081 requerimientos de soporte ICOPS
Con corte a 30 de septiembre se han atendido 2525 requerimientos requerimientos relacionados con soporte a la página Web, los cuales corresponden a actualización de contenido y de funcionalidades.
Con corte a 30 de septiembre se ha realizado el alistamiento, configuración y actualización de los servidores que soportan los aplicativos de la entidad y portales institucionales con el fin de garantizar que los aplicativos estén disponibles y asegurados para los servicios de la entidad.</t>
  </si>
  <si>
    <t>Este mes no se reporta avance de este indicador, debidoa que no se encuentra contratado el profesional de seguridad. El proceso de contratación del profesional de seguridad se suscribio el 30 de Junio por ende se inicia proceso de empalme para poner al día los temas referentes a Gobierno Digital y Seguridad Digital.</t>
  </si>
  <si>
    <t>El profesional se encuentra desarrollando plan para poner aldía los temas referentes a Gobierno Digital y Seguridad Digital.</t>
  </si>
  <si>
    <t>El profesional fue contratado en el mes de julio y se han adelantado las siguientes actividades:
Se realizo entrega de instrumento de medición del MSPI con corte a 30 de junio avance del 56% 
Se hizo entrega del instrumento de medición de GAP de datos personales % de avance del 40%
Se envio plan a la jefa de OAP con corte a 31 de julio para desarrollar el cierre de las principales brechas del semestre.
-Actualización de los riesgos de la oficina asesora de planeación 
-Analisis de vulnerabilidades de Icops, Mesa de ayuda y portales de Oracle Cloud (capacitaciones, intranet, inventarios, manzanas de cuidado, portal SDMujer.
-Actualización  de activos de información de la oficina asesora de planeación.</t>
  </si>
  <si>
    <t>Durante el tercer trimestre de 2023, se adelantaron las siguientes acciones, de acuerdo con el Plan de Bienestar Social e Incentivos aprobado para la vigencia 2023:
1. Se realizó la conmemoración de los días emblemáticos de mujeres jóvenes y mujeres indígenas. 
2. Se hizo el reconocimiento del día de las y los profesionales (ingenieras, antropólogas y nutricionistas).
3. Se desarrollo la conmemoración del día del conductor con el DASCD, donde participaron los 4 conductores de la Entidad.
4. Se ejecutó la actividad para prepensionadas con la asistencia de 11 personas.
5. Se llevó a cabo el torneo de bolo americano, donde se contó con la participación de 60 funcionarias y funcionarios y el torneo de minitejo con la participación de 50 funcionarias y funcionarios. 
6. Se realizó la actividad con animales de compañía (con perros fue presnecial y asistieron 17 funcionarias y funcionarios, con gatos fue de manera virtual donde participaron 18 funcionarias y funcionarios). 
7. Se desarrollo una caminata ecológica en el mes de julio con la asistencia de 102 personas y otra en el mes de septiembre con la asistencia de 107 personas.
8. Para el Tercer Trimetestre se realizaron 3 atenciones de apoyo emocional. 
9. Se ejecutaron 3 pausas mentales así: Manejo eficaz del tiempo con 54 personas, Tácticas para desenredar la mente con 32 asistentes y Axitoxinate con asistencia de 56 personas.
10. Se hizo la entrega de las boletas de teatro para 171 servidoras y servidores de la entidad.
11. Se hizo la entrega de bono de reconocimeitno a 104 cuidadoras y cuidadores de la entidad.
12. Se realizó el reconociemitno por el día de autocuidado a 41 servidoras y servidores de la entidad.</t>
  </si>
  <si>
    <t>Durante lo corrido de la vigencia 2023, se adelantaron las siguientes acciones, de acuerdo con el Plan de Bienestar Social e Incentivos aprobado para la vigencia 2023:
1. Elaboración y aprobación del plan de Bienestar Social e Incentivos para la vigencia 2023.
2. Conmemoración del día de autocuidado. 
3. Conmemoración del día de las y los auxiliares administrativos.
4. Se realizaron jornadas de mindfulness con las diferentes dependencias de la Entidad.
5. Participación en la actividad cultural de la película ALI.
6. Se enviaron mensajes de condolencias. 
7. Se realizaron ferias de servicios de la caja de compensación, escolar, salud, financiera, entre otros. 
8. Conmemoración del día por los derechos de las mujeres - 8M
9. Conmemoración de profesiones.
10. Se realizó socialización de las alianzas del DASCD.
11. Se han desarrollado 3 caminatas ecológicas, con asistencia de 80 personas, 102 personas y 107 personas respectivamente.
12. Se realizó la conmemoración del día internacional por la salud de las mujeres con la asistencia de 102 personas.
13. Se realizaron pausas mentales.
14. Se brindó apoyo emocional de primeros auxilios psicológicos a las servidoras que lo solicitaron.
15. Se realizó el torneo de bolos 2023, con la participación de 65 servidoras y servidores.
16. Se llevó a cabo la conmemoración del día nacional del servidor público y el 10° aniversario de la entidad. 
17. Se ejecutó el taller de manualidades con asistencia de 43 personas.
18. Se realizó la conmemoración de los días emblemáticos de mujeres jóvenes y mujeres indígenas. 
19. Se hizo el reconocimiento del día de las y los profesionales (ingenieras, antropólogas y nutricionistas).
20. Se desarrollo la conmemoración del día del conductor con el DASCD, donde participaron los 4 conductores de la Entidad.
21. Se ejecutó la actividad para prepensionadas con la asistencia de 11 personas.
22. Se llevó a cabo el torneo de minitejo con la participación de 50 funcionarias y funcionarios. 
23. Se realizó la actividad con animales de compañía (con perros fue presencial y asistieron 17 funcionarias y funcionarios, con gatos fue de manera virtual donde participaron 18 funcionarias y funcionarios). 
24. Se hizo la entrega de las boletas de teatro para 171 servidoras y servidores de la entidad.
25. Se hizo la entrega de bono de reconocimiento a 104 cuidadoras y cuidadores de la entidad.</t>
  </si>
  <si>
    <t>Está pendiente ejecutar la actividad de liderazgo para directivas, por temas de logística y empalme.</t>
  </si>
  <si>
    <t>Dicha actividad se realizará en el último trimestre del año, en el marco del cierre y empalme de la nueva administración.</t>
  </si>
  <si>
    <t>Durante el tercer trimestre de 2023, se adelantaron las siguientes acciones de acuerdo con el Plan Institucional de Capacitación aprobado para la vigencia 2023:
1. Curso de actualización jurídica en derecho de familia y derecho penal, con asistencia de 24 servidoras y servidores públicos. 
2. Curso de resolución de conflictos con asistencia de 22 servidoras y servidores públicos. 
3. Curso de primeros auxilios psicológicos con enfoque de género, con asistencia de 25 servidoras y servidores públicos. 
4. Curso de actualización normativa en violencias de género - feminicidios. 
5. Capacitación sobre situaciones administrativas con la asistencia de 30 personas. 
6. Capacitación en regulación contable con asistencia de 1 servidora pública.
7. Capacitación en actualización tributaria con asistencia de 1 servidora pública. 
8. Capacitación en política de seguridad y protección de datos personales, con asistencia de 207 personas. 
9. Capacitación sobre los derechos de la PPMYEG, con la asistencia de 235 personas. 
10. Capacitación sobre atención y servicio a la ciudadanía con la participación de 22 personas. 
11. Capacitación en temas contractuales con la asistencia de 96 personas.</t>
  </si>
  <si>
    <t>Durante lo corrido de la vigencia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13. Capacitación sobre bases conceptuales y funcionamiento del SIDICU, con la asistencia de 122 personas.
14. Charla sobre lenguaje incluyente con la participación de 93 personas.
15. Capacitación sobre servicio a la ciudadanía con la asistencia de 76 personas.
16. Charla sobre prevención en acoso laboral con la participación de 76 personas.
17. Socialización del derecho a la paz con la asistencia de 73 personas.
18. Capacitación sobre el aplicativo KAWAK con la asistencia de 90 personas. 
19. Capacitación sobre el aplicativo SIMISIONAL 2.0 con la participación de 277 personas. 
20. Capacitación sobre ORFEO con la asistencia de 34 personas. 
21. Capacitación en competencias blandas con la participación de 310 personas.
22. Capacitación en lengua de señas con la asistencia de 16 personas.  
23. Capacitación sobre atención a mujeres en busca de personas desaparecidas con asistencia de 42 personas.
24. Capacitación sobre atención incluyente a la ciudadanía, con la participación de 31 personas.
25. Socialización del derecho a la cultura con la asistencia de 52 personas.
26. Capacitación sobre rutas de atención para las violencias contrala mujer con la participación de 82 personas.
27. Capacitación sobre contratación estatal con asistencia de 35 personas.
28.  Curso de actualización jurídica en derecho de familia y derecho penal, con asistencia de 24 servidoras y servidores públicos. 
29. Curso de resolución de conflictos con asistencia de 22 servidoras y servidores públicos. 
30.  Curso de primeros auxilios psicológicos con enfoque de género, con asistencia de 25 servidoras y servidores públicos. 
31.  Curso de actualización normativa en violencias de género - feminicidios. 
32.  Capacitación sobre situaciones administrativas con la asistencia de 30 personas. 
33. Capacitación en regulación contable con asistencia de 1 servidora pública.
34. Capacitación en actualización tributaria con asistencia de 1 servidora pública. 
35. Capacitación en política de seguridad y protección de datos personales, con asistencia de 207 personas. 
36. Capacitación sobre los derechos de la PPMYEG, con la asistencia de 235 personas. 
37. Capacitación sobre atención y servicio a la ciudadanía con la participación de 22 personas. 
38. Capacitación en temas contractuales con la asistencia de 96 personas.</t>
  </si>
  <si>
    <t>Pendientes por ejecutar dos temáticas del PIC: Valores Institucionales y Herramientas Ofimáticas, las cuales se realizarán en el último trimestre del año.</t>
  </si>
  <si>
    <t>Estas capacitaciones se realizarán en el último trimestre del año.</t>
  </si>
  <si>
    <t>Durante el tercer trimestre de 2023, se adelantaron las siguientes acciones de acuerdo con el Plan Anual de Seguridad y Salud en el Trabajo aprobado para la vigencia 2023:
• Afiliaciones a ARL de las personas que se vinculan a la entidad.
• Se realizaron las sesiones del COPASST programadas.
• Se realizaron los reportes e investigación de los accidentes de trabajo presentados.
• Se realizaron inspecciones a los puestos de trabajo que fueron requeridos.
• Se hizo entrega de suministros para la prevención de riesgo biológico, capacitación, seguimiento a casos Covid-19 y otras acciones.
• Se desarrollaron actividades de prevención de riesgo psicosocial.
• Se ejecutaron acompañamientos grupales para promover estilos de vida saludable.
• Se socializó el programa de prevención de riesgo público.
• Se realizaron las evaluaciones médicas ocupacionales de ingreso, periódicas, egreso y post incapacidad requeridas.
• Se realizó seguimiento a las recomendaciones y condiciones de salud de las servidoras y servidores de la entidad, de acuerdo con los conceptos de los exámenes médicos ocupacionales.
• Se registró el resultado de los indicadores del SG-SST, teniendo en cuenta la periodicidad de estos.
• Se realizó convocatoria para conformar la brigada de emergencias.
• Se hizo el seguimiento a la implementación de controles de las matrices de peligros.
• Se actualizó el Plan Estratégico de Seguridad Vial.
• Se hizo seguimiento a las sesiones del CCL.
• Se socializó la información de las matrices de peligros y planes de emergencia.
• Se realizó seguimiento a las medidas de intervención de los AT.
• Se desarrollo capacitación de brigada con énfasis en participación en simulacros.
• Se ejecutaron inspecciones de puestos de trabajo en el marco del programa de desórdenes musculoesqueléticos.
• Se realizó convocatoria para ampliar la conformación de la brigada de emergencias.</t>
  </si>
  <si>
    <t>En lo corrido de la vigencia 2023, se adelantaron las siguientes gestiones enmarcadas en el Plan Anual de Seguridad y Salud en el Trabajo aprobado para la vigencia 2023:
1. Se realizó la autoevaluación al SG-SST.
2. Se formuló y aprobó el Plan Anual de Seguridad y Salud en el trabajo para la vigencia.
3. Se ejecutaron las afiliaciones ARL de las personas que se vinculan a la entidad.
4. Se adelantaron las sesiones del COPASST con periodicidad mensual.
5. Se realizaron las elecciones del COPASST y Comité de Convivencia Laboral.
6. Se ejecutó la capacitación funciones y generalidades dirigida a representantes COPASST.
7. Se llevó a cabo la socialización de peligros en centros de trabajo.
8. Se realizaron los reportes e investigaciones de accidentes de trabajo. 
9. Se hizo el seguimiento al cumplimiento de medidas de intervención de los accidentes de trabajo.
10. Se adelantaron las inspecciones de puesto de trabajo requeridas.
11. Se programó la medición de ruido e iluminación en la CIOM Usme.
12. Se desarrollaron actividades de prevención de riesgo psicosocial. 
13. Se socializaron y se hizo seguimiento a las recomendaciones de los EMO en el marco del programa de estilos de vida saludable.
14. Se llevaron a cabo las evaluaciones médicas ocupacionales de ingreso, periódicas, egreso y post incapacidad.
15. Se registraron los resultados de los indicadores del SG-SST, teniendo en cuenta la periodicidad de estos.
16. Se actualizaron los documentos del SG-SST.
17. Se realizó seguimiento a la implementación de controles de las matrices de peligros.
18. Se realizó la entrega de suministros para prevención de riesgo biológico, capacitación y seguimiento a casos Covid-19.
19. Se realizaron acompañamientos grupales para promover estilos de vida saludable.
20. Se socializó el programa de prevención de riesgo público y se realizó capacitación de prevención.
21. Se realizó convocatoria para conformar la brigada de emergencias.
22. Se actualizó el Plan Estratégico de Seguridad Vial.
23. Se realizó seguimiento a las sesiones del CCL.
24. Se socializó la información de las matrices de peligros y planes de emergencia.
25. Se realizó seguimiento a las medidas de intervención de los AT.
26. Se realizó capacitación de brigada con énfasis en participación en simulacros.
27.         Se actualizó el Plan Estratégico de Seguridad Vial.
28. Se realizó convocatoria para conformar la brigada de emergencias.
29. Se socializó la información de las matrices de peligros y planes de emergencia.
30. Se desarrollo capacitación de brigada con énfasis en participación en simulacros.</t>
  </si>
  <si>
    <t>No se realizó la capacitación de prevención y atención de emergencias debido a que el asesor de la ARL tuvo inconvenientes.</t>
  </si>
  <si>
    <t>La actividad pendiente quedó reprogramada para el mes de octubre.</t>
  </si>
  <si>
    <t>Este mes no se reporta avance de este indicador, debido a la periodicidad de su programación de ejecución.</t>
  </si>
  <si>
    <t>En lo corrido de la vigencia 2023, se adelantaron las siguientes gestiones enmarcadas en el Plan de Gestión de Integridad establecido en el Componente de Iniciativas Adicionales del Plan de Anticorrupción y Atención a la Ciudadanía - PAAC aprobado para la vigencia 2023: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en el mes de abril se remitió el correo "¡Te invitamos a hacer el Curso de Integridad!" a todas las servidoras, servidores y contratistas de la Entidad.
6. Se desarrollaron reuniones con el equipo de gestoras y gestores de integridad de la Entidad el viernes 28 de abril de 2023 y el 31 de agosto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
8. Se conformó el nuevo grupo de gestoras y gestores de integridad de la Entidad para el período 2023-2025.</t>
  </si>
  <si>
    <t>Durante el tercer  trimestre se da cumplimiento a las actividades propuestas en este plan teniendo en cuenta los planes que se desarrollan .</t>
  </si>
  <si>
    <t>Durante lo transcurrido de esta vigencia  se da cumplimiento a las actividades propuestas en este plan teniendo en cuenta los planes y seguimientos realizados .</t>
  </si>
  <si>
    <t>Retrasos en la definición de la estrategia de Rendición de Cuentas</t>
  </si>
  <si>
    <t>Se replantearan las actividades y fechas</t>
  </si>
  <si>
    <t>Se atienden 36 solicitudes de LUCHA de las 36 recibidas, teniendo un avance del 100%. Ente las solicitudes reicibidas se encuentran gestión de usuarios, actualizaciones, eliminación, copias, revisión y publicación de documentos.</t>
  </si>
  <si>
    <t>Durante lo transcurrido de esta vigencia se han atendido 191 solicitudes relacionadas con usuarios y documentos de LUCHA, teniendo un avance del 100%</t>
  </si>
  <si>
    <t>Se atienden 11 solicitudes de las 11 recibidas, teniendo un avance del 100%. Entre las solicitudes recibidas se encuentran asesorías, ajustes, apoyo en la formulación, ejecución y reporte en el modulo de mejora continua de LUCHA, entre otros.</t>
  </si>
  <si>
    <t>Durante lo ranscurrido de esta vigencia se han atendido 80 solicitudes relacionadas con planes de mejoramiento, teniendo un avance del 100%</t>
  </si>
  <si>
    <t xml:space="preserve">
Reporte de viajes en bici a Secretaría de Movilidad
Atención de solicitud de información de otras áreas
Atención de requerimiento de SDA
Gestión de residuos con potencial aprovechable generados en sedes
Registro de comunicaciones ambientales socializadas
Seguimiento historico a consumo de energía para ajuste meta auteridad
Remisión de informes de visitas realizadas a sedes de junio
Acompañamiento de actividades de mejora en Bodega 
Gestión para Prorroga de Acuerdo de Corresponsabilidad</t>
  </si>
  <si>
    <t>Informe de gestión residuos con potencial aprovechable ultimo trimestre 2022, Informe de actividades ultimo semestre 2022  plan de acción interno para la UAESP
Informe ultimo trimestre 2022, ultimo semestre y vigencia 2022 de austeridad de servicios agua, energía, telefonia fija y celular
Reporte de viajes en bici a Secretaría de Movilidad
Registro de comunicaciones ambientales socializadas
Atención de solicitudes interinstitucionales
Remisión de informe de reencauche de llantas a SDA
Atención solicitudes información internas
Remisión de informes  a SDA
Remisión informe cantidad residuos aprovechables a UAESP
Suministro información Austeridad
Recorrido revisión y correción PEV
Desarrollo Semana Ambiental
Gestión de RAEE y RESPEL
Revisión inclusión de criterios sostenibles en estudios previos</t>
  </si>
  <si>
    <t>Reiterar solicitudes de información para reportes
Dar claridad de responsabilidades de áreas
Comunicaciones no atiende las solicitudes</t>
  </si>
  <si>
    <t>Reiterar solicitudes de información para reportes
Dar claridad de responsabilidades de áreas
Reiterar a Comunicaciones importancia de piezas para cumplimiento de Plan de acción PIGA 2023</t>
  </si>
  <si>
    <t xml:space="preserve">Durante el mes de septiembre no se reporta avances de la actividad de acuerdo a la meta programada </t>
  </si>
  <si>
    <t>Marzo:15 numerales actualizados en botón de transparencia
Abril :21 actualizaciones en los diferentes numerales del botón de transparencia. 
Mayo: En el mes de mayo se realizaron 32 publicaciones en los diferentes numerales
El acumulado de los meses enero a mayo 2023, relacionado con las actualizaciones de informaciòn en los diferentes numerales del botón de transparencia es de  77 documentos.
Junio: En el mes de junio se actualizaron 49 documentos en los diferentes nuerales del botón de transparencia.
Julio: En el mes de julio se realizaron 19 actualizaciones de publicaciòn en los diferentes numerales del botón de transparencia.
El acumulado con corte a 31 de julio de 2023 es de 145 documentos publicados een el botón de transparencia.
el acumulado con corte a 31 de agosto de 2023 es de 193 documentos publicados en el botón de transparencia
El acumulado con corte al 30 de septiembre de 2023 es de 253 documentos publicados en el botón de transparencia"</t>
  </si>
  <si>
    <t>En el mes de septiembre 2023 se realizan las publicaciones descritas a continuación:
Numeral 2.1.3: Proyecto acto administrativo Por medio del cual se reglamenta el Acuerdo Distrital 893 de 2023 “Por el cual se institucionaliza el Sistema Distrital de Cuidado de Bogotá D.C. y se dictan otras disposiciones” y se dictan otras regulaciones; Resolución 0357: Por medio de la cual se actualiza el Esquema de Publicación de la Información de la Secretaría Distrital de la Mujer, y se dictan otras disposiciones; Resolución 0354: Por la cual se adopta la Política Antisoborno al interior de la Secretaría Distrital de la Mujer; Resolución 0344: Por la cual se conforma y reglamenta el Comité de Contratación de la Secretaría Distrital de la Mujer; resolución 0391: Por medio de la cual se decreta el desistimiento tácito y el archivo de la petición Bogotá Te Escucha SDQS No. 3431772023 y radicado Orfeo No. 2-2023-015332; Normograma Tercer trimestre 2023. 
Numeral 3.1.1: Convocatorias. SDMUJER-SAMC-003-2023; SDMUJER-MC-012:2023; SDMUJER-013-2023; SDMUJER-MC-014-2023; SDMUJER SASI-001-2023 Y SDMUJER.MC-013-2023.
Numeral 3.2: Directorio de contratistas agosto 2023
Numeral 3.3: Información ejecución de los contratos agosto 2023
Numeral 3.4.1 Resolución 0344 del 23 de agosto de 2023: Por la cual se conforma y reglamenta el Comité de Contratación de la Secretaría Distrital de la Mujer.
Numeral 4.1.1: Estado de situación financiera comparativo Agosto - Junio 2023; Estado de Resultado Comparativo Agosto 2023-2022;  Certificación de los estados financieros Agosto 2023
Numeral 4.2: Ejecución presupuestal reservas a 31 de agosto 2023 y Ejecución presupuestal vigencia 31 de agosto 2023.
Numeral 4.3 Ítem Plan de acción: Seguimiento plan de acción julio de 2023, proyectos: 7662; 7739; 7671; 7672; 7673; 7675; 7676; 7718; 7734; 7738; 7668; Seguimiento agosto 2023: 7739; 7738; 7734; 7718; 7676; 765; 7673; 7672; 7671; 7668 y 7662
Numeral 4.7.1 Informe de rendición de cuenta fiscal a la Contraloria Agosto 2023
Numeral 4.7.2 Planes de mejoramiento Internos Segundo Cuatrimestre 2023
Numeral 4.8 Seguimiento a planes de mejoramiento interno - corte 15 de agosto 2023; Informe de seguimiento al PAAC - Segundo Cuatrimestre 2023 y el Informe de auditoria proceso gestión tecnológica
Numeral 4.10: Informe mensual de seguimiento PQRS y de Atención a la Ciudadanía agosto 2023; Ítem Notificaciones por aviso: Citación audiencia artículos 17 Ley 1150 de 2007 y artículos 86 ley 1474 de 2011 contrato 924 de 2022; Citación audiencia artículos 17 Ley 1150 de 2007 y artículo 86 Ley 1474 de 2011 – Contrato No. 924 de 2022 Aviso 2; Publicación Estado 006 de 2022; Respuesta radicado SDMujer 2-2023-016282 SDQS 3690052023; Aviso de Reanudación de la Audiencia artículos 17 Ley 1150 de 2007 y artículo 86 Ley 1474 de 2011 – Contrato No. 924 de 2022; Respuesta Radicado SDMujer 2-2023-015795, SDQS 3539752023; Respuesta SDQS 3877792023- Radicado SDMujer No. 2-2023-017965; Respuesta radicado No. 2-2023-018128, SDQS 3881562023; viso de Reanudación de la Audiencia artículos 17 Ley 1150 de 2007 y artículo 86 Ley 1474 de 2011 – Contrato No. 924 de 2022 y Resolución 0391 del 26 de septiembre Por medio de la cual se decreta el desistimiento tácito y el archivo de la petición Bogotá Te Escucha SDQS No. 3431772023 y radicado Orfeo No. 2-2023-015332.
 Numeral 7.1.3 Esquema de publicación de información de la SDMujer actualizado 31 de agosto 2023 y resolución 0357 Por medio de la cual se actualiza el Esquema de Publicación de la Información de la Secretaría Distrital de la Mujer, y se dictan otras disposiciones.</t>
  </si>
  <si>
    <t xml:space="preserve">Para el trimestre comprendido entre julio a septiembre de 2023:  Se llevó a cabo el cierre de tres (3) auditorias internas realizadas a los Procesos de Gestión de Políticas Públicas, Planeación y Gestión y GestiónTecnológica, mediante la publicación de sus correspondientes informes finales en pág web institucional. Por otro lado, se encuentran en etapa de ejecución la auditoría al proceso de Gestión Contractual.  </t>
  </si>
  <si>
    <r>
      <t xml:space="preserve">El avance acumulado de 01 de enero a 30 de septiembre 2023 es: Se han emitido y publicado los informes finales de cinco (5) auditorias internas a los proceso de </t>
    </r>
    <r>
      <rPr>
        <i/>
        <sz val="11"/>
        <color indexed="8"/>
        <rFont val="Times New Roman"/>
        <family val="1"/>
      </rPr>
      <t xml:space="preserve">Desarrollo de Capacidades para la Vida de las Mujeres,  Promoción de la Participación y Representación de las Mujeres, Gestión de Políticas Públicas,  Planeación y Gestión y  Gestión Tecnológica </t>
    </r>
    <r>
      <rPr>
        <sz val="11"/>
        <color indexed="8"/>
        <rFont val="Times New Roman"/>
        <family val="1"/>
      </rPr>
      <t xml:space="preserve"> de las seis (6) programadas en el Plan Anual de Auditoría 2023 versión 2 (Aprobada CICCI 20.06.23), para un avance en la presente meta del  83%.  </t>
    </r>
  </si>
  <si>
    <t>En el periodo de julio a septiembre de 2023: Se emitieron dos (2) informes de Seguimiento a planes de mejoramiento internos corte a 15.08.23 y a planes de mejoramiento externos con corte a 31.07.23, los cuales estan publicados en la página web institucional.</t>
  </si>
  <si>
    <t>El avance acumulado del periodo entre enero a septiembre de 2023 es: Se emitieron y publlicaron los informes finales de cinco (5) informes de seguimiento de los quince (15) programados en el Plan Anual de Auditoría 2023 versión 2 (Aprobada CICCI 20.06.23), para un avance del 33%.</t>
  </si>
  <si>
    <t>En lo corrido del 3er trimestre de julio a septiembre de 2023: Se  llevó a cabo la emisión y publicación en página web institucional de siete (7) informes reglamentarios en cuanto a Seguimiento PAAC 2o cuatrim 2023, Informe PQRS 2oSem2023, , Seguimiento a medidas de Austeridad del Gasto corte 31.07.23, Seguimiento al cumplimiento de la función disciplinaria, Evaluación Independiente del Sistema de Control Interno 1erSem,  Informe de la actividad de auditoría interna 1erSem  y Seguimiento Política de Archivos y Gestión Documental.</t>
  </si>
  <si>
    <t>El avance acumulado del periodo comprendido entre enero a septiembre de 2023 es: Se emitieron y publicaron los informes finales de veinticuatro (24) reportes reglamentarios, de los veintiocho informes (28) programados en el Plan Anual de Auditoría 2023 versión 2 (Aprobada CICCI 20.06.23), para un avance del 86%.</t>
  </si>
  <si>
    <t>Se llevaron a cabo las actividades concernientes a trimestre de julio a septiembre 2023 para las asesorías en temas varios PMI, acompañamientos (enlaces MIPG, participación comités CIGD, sostenibilidad, conciliación,gestión de inventarios y Mesas Técnicas varias), participación Comité Distrital de Auditoría Sept 2023 y atención a entes de control (Réplica Prelim Inf Cumplimiento de Contraloría Cód 30 PAD 2023), Lineas de Defensa SIDICU y Secretaría Técnica CICCI.</t>
  </si>
  <si>
    <t>Durante el perido comprendido entre enero a septiembre de 2023, se han ejecutado actividades de asesoria y acompañamiento requeridas por los procesos/áreas para un total de avance de 72% del total que se ha programado para lo corrido de la vigencia.</t>
  </si>
  <si>
    <t xml:space="preserve">Con corte al 30 de septiembre de la vigencia 2023, se realizó transferencia primaria de la Dirección de Territorialización de las 20 CIOM para un total de  14 metros lineales de los 55 metros proyectados.
</t>
  </si>
  <si>
    <t>Como avance acumulado para el primer semestre del año (enero a septiembre de 2023,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14  metros lineales, Subsecretaria de Fortalecimiento de Capacidades y Oportunidaddes con 1,25 metros lineales, para un total de 42,75 metros lineales de los 55 metros proyectados.</t>
  </si>
  <si>
    <t>Con corte a 30 de septiembre de la vigencia 2023, se realizó organización documental (clasificación, ordenación, foliación y rótulación) de 30 cajas equivalentes a 7,5  metros lineales de la Dirección de Contratación, Vigencia 2016 - Archivo Central y  6 cajas de la Dirección de Contratación, Vigencia 2020 y 2023 Edificio Elemento,  para un total de 36 cajas equivalentes a 9 metros lineales, para un acumulado de 116,25 metros lineales de los 150 proyectados.</t>
  </si>
  <si>
    <t>Como avance acumulado para el primer semestre del año (enero-septiembre) de 2023, se consolidó la contratación del recurso necesario profesionales, técnicos y auxiliares para ejecutar las actividades programadas para la vigencia, se realizó (clasificación, ordenación, foliación y descripción) de los documentos de gestión de las dependencias: Dirección de Talento Humano, Dirección de Contratación, Dirección Administrativa y Financiera, Dirección de Derechos y Diseño y Políticas y Subsecretaria del Cuidado y Políticas
de Igualdad. El total de archivos intervenidos acumulados es de 15 metros lineales en febrero, 8,25 mts lineales
en marzo, 16,25mts lineales en abril, 15 metros lineales en mayo, 24,5 mts lineales en junio, 14,5 metros lineales en julio, 13,75metros lineales en agosto y 9 metros lineales en septiembre, para un acumulado de 116,25 metros  lineales de los 150 proyectados.</t>
  </si>
  <si>
    <t xml:space="preserve">Con corte al  30 de septiembre de la vigencia 2023, se socializó el instructivo de eliminación documental con sus respectivas actas,  las fichas de valoración documental, el cuadro de clasificación documental y el cuadro de caracterización documental y se actualizó el reglamento interno de de Gestión Documental, se realizaron 3 sensibilizaciones a las dependencias a nivel central de acuerdo al plan de sensibilizaciones vigencia 2023 con la temática  Organización Documental y Sistema Funcional ORFEO. Asimismo, se realizó 1 visita de seguimiento a nivel central con la finalidad de hacer seguimiento a la organización documental, de acuerdo al cronograma 2023. Por otro lado, se realizaron acompañamientos frente a mesa de trabajo para mejoras del aplicativo FUID en línea y clasificación y descripción de material bibliografico. </t>
  </si>
  <si>
    <t xml:space="preserve">El avance acumulado entre los meses de enero a junio de 2023, en cuanto a los instrumentos actualizados y publicados son:
- En enero / PINAR
- En marzo / Caracterizacion del proceso.
- En mayo / Manual de Gestion Documental
- En junio / Instructivo Organizar y Administrar el Archivo.
- En septiembre / Cauadro de clasificación documental /  Cuadro de Caracterización Documental / Fichas de Valoración Documental / Instructivo de Eliminación Documental con sus respectuvas actas.
En cuanto a las sensibilizaciones el avance acumulado entre los meses de enero a septiembre de 2023, es de 23  sensibilizaciones realizadas a Servidoras (es) de las dependencias de acuerdo al plan de sensibilizaciones vigencia 2023 con temática Aplicación de Tabla de Retención Documental, Sistema Orfeo; se efectúa implementación de instrumentos archivísticos Fuid en Línea Ciom Barrios Unidos, se realiza actualización y publicación de la caracterización del proceso de Gestión Documental;  se realiza actualización y publicación del Manual de Gestión Documental, Instructivo Organizar y Administrar el Archivo y cinco formatos asociados al proceso, se estructura, socializa y publica instructivo de eliminación de documentos con sus respectivas actas, se socializa y publican los cuadros de caracterización, fichas de valoración doucumental y cuadro de clasificación documental  los cuales se encuentran disponibles para uso y consulta y se han realizado mesas de trabajo para realizar la actualización a las TRD de la SDMujer.
Asimismo, se realizaron 19 visitas de seguimiento a nivel central de acuerdo al cronograma 2023.
 </t>
  </si>
  <si>
    <t xml:space="preserve">Con corte a 30 de septiembre  de la vigencia 2023 y como parte de la implementación del Sistema Integrado de Conservación- SIC, se realizó 1 sensibilización sobre aspectos básicos de conservación como inducción a colaboradores de la Dirección de Territorialización. Además, se realizó informe general sobre las visitas de seguimiento realizadas a las 20 CIOM. Por otro lado,  se realizó seguimiento al proceso de contratación frente al saneamiento ambiental y así mismo, se realizó concepto técnico a la revisión de las unidades de conservación (carpetas cuatro aletas) para la Casa Refugio Rosa Elvira Cely. </t>
  </si>
  <si>
    <t>Como avance acumulado del primer semestre 2023,  se realizaron y consolidaron diecisiete (17) visitas a CIOM Tunjuelito, Candelaria,  Santa Fe, Antonio Nariño, San Cristobal, Rafael Uribe Uribe, Bosa,  Engativá, Fontibón,  Suba, Usaquén, Usme, Sumapaz, Mártires, Puente Aranda, Kennedy, Ciudad Bolivar, con el objetivo de realizar la inspección de infraestructura, almacenamiento y revisión del estado general de la documentación y se realizó informe general sobre las visitas de seguimiento realizadas a las 20 CIOM.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De igual manera, se obtuvo aprobación de concepto técnico para traslado de bodega por parte del Archivo de Bogotá y se formalizó el contrato No. 944 de 2023, por otro lado,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Así mismo, se realizaron 4 sensibilizaciones sobre aspectos básicos de conservación y se realizaron 2 conceptos técnicos frente a las unidades de conservación (carpetas cuatro aletas) para las Casa Refugio.</t>
  </si>
  <si>
    <t xml:space="preserve">Como avance acumulado del primer semestre 2023,  se realizaron las actividades de desarrollo para la gestión de interoperabilidad entre Orfeo y Icops y la elaboracion  del  instructivo para socializar el proceso de interoperabilidad realizado entre los sistemas ICOPS y ORFEO en  implementación de las estrategias identificadas en el Plan de Preservación Digital a Largo Plazo, del Sistema Integrado de Gestión -SIC.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Por tro lado, se realizan mesas de trabajo frente a temas de firma autográfa, firmas electrónicas certificadas y comunicaciones masivas en el Sistema de Gestión Documental Orfeo.  Por otra parte, se realizó documento preliminar del instrumento  ArchivÍstico Modelo de Requisitos del Sistema de Documentos  Electrónicos de Archivo con base en lo establecido en el Decreto 1080 de 2015 y se dio atención a 83 mesas de ayuda,  dando cumplimiento a las actividades contempladas en el Plan de Preservación Digital a Largo Plazo, con respecto a las características de los archivos y sus metadatos asociados. </t>
  </si>
  <si>
    <t xml:space="preserve">N/A </t>
  </si>
  <si>
    <r>
      <rPr>
        <sz val="10"/>
        <color indexed="8"/>
        <rFont val="Calibri"/>
        <family val="2"/>
      </rPr>
      <t xml:space="preserve">En cumplimiento con lo establecido en la Carta Circular 121 de 2023 "Publicación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b/>
        <sz val="10"/>
        <color indexed="8"/>
        <rFont val="Calibri"/>
        <family val="2"/>
      </rPr>
      <t xml:space="preserve">El 19 de septiembre del 2023 se publicó en la página Web de la entidad los siguientes estados financieros: </t>
    </r>
    <r>
      <rPr>
        <sz val="10"/>
        <color indexed="8"/>
        <rFont val="Calibri"/>
        <family val="2"/>
      </rPr>
      <t xml:space="preserve">  Estado de situación financiera comparativo Agosto - Junio 2023, Estado de Resultado Comparativo Agosto 2023-2022 y Certificación de los estados financieros Agosto 2023</t>
    </r>
  </si>
  <si>
    <r>
      <rPr>
        <b/>
        <sz val="9"/>
        <rFont val="Calibri"/>
        <family val="2"/>
      </rPr>
      <t xml:space="preserve"> El avance acumulado entre enero y agosto, se relaciona a continuación: 
AGOSTO 2023: </t>
    </r>
    <r>
      <rPr>
        <sz val="9"/>
        <rFont val="Calibri"/>
        <family val="2"/>
      </rPr>
      <t xml:space="preserve">El 18 de agosto del 2023 se publicó en la página Web de la entidad los siguientes estados financieros:   Estado de situación financiera comparativo Julio - Junio 2023, Estado de Resultado Comparativo Julio 2023-2022 y Certificación de los estados financieros Julio 2023
• </t>
    </r>
    <r>
      <rPr>
        <b/>
        <sz val="9"/>
        <rFont val="Calibri"/>
        <family val="2"/>
      </rPr>
      <t>JULIO 2023:</t>
    </r>
    <r>
      <rPr>
        <sz val="9"/>
        <rFont val="Calibri"/>
        <family val="2"/>
      </rPr>
      <t xml:space="preserve"> El 19 de julio del 2023 se publicó en la página Web de la entidad los siguientes estados financieros: CGN2005 001 SALDOS Y MOVIMIENTOS 2DO TRIMESTRE JUNIO 2023 / CGN2015 002 OPERACIONES RECIPROCAS CONVERGENCIA 2T JUNIO 2023 / ESTADO SITUACIÓN FINANCIERA (Comparativo) JUN - MAR 23 / ESTADO DE RESULTADOS (Comparativo) JUN 23 - 22 / NOTAS A LOS ESTADOS FINANCIEROS A 30 DE JUNIO 2023 / CGN 2016 01 VARIACIONES FINAL 30062023-2022 / CERTIFICACIÓN JUN 23.
Los días 12 y 19 de julio del 2023 se publicó en la página de Bogotá Consolida la siguiente información: CGN2005 001 SALDOS Y MOVIMIENTOS 2ER TRIMESTRE JUNIO 2023 / CGN2015 002 OPERACIONES RECIPROCAS CONVERGENCIA 2T JUNIO 2023 / ESTADO SITUACIÓN FINANCIERA (Comparativo) JUN - MAR 23 / ESTADO DE RESULTADOS (Comparativo) JUN 23 - 22 / CGN 2016 01 VARIACIONES FINAL 30062023-2022.
• </t>
    </r>
    <r>
      <rPr>
        <b/>
        <sz val="9"/>
        <rFont val="Calibri"/>
        <family val="2"/>
      </rPr>
      <t>JUNIO 2023</t>
    </r>
    <r>
      <rPr>
        <sz val="9"/>
        <rFont val="Calibri"/>
        <family val="2"/>
      </rPr>
      <t xml:space="preserve">: El 14 de junio del 2023 se publicó en la página Web de la entidad los siguientes estados financieros:   Estado de Situación Financiera Mayo 2023 - Marzo 2023, Estado de Resultado mayo 2023 y Certificación de los estados financieros.
• </t>
    </r>
    <r>
      <rPr>
        <b/>
        <sz val="9"/>
        <rFont val="Calibri"/>
        <family val="2"/>
      </rPr>
      <t>MAYO 2023:</t>
    </r>
    <r>
      <rPr>
        <sz val="9"/>
        <rFont val="Calibri"/>
        <family val="2"/>
      </rPr>
      <t xml:space="preserve"> El 19 de mayo del 2023 se publicó en la página Web de la entidad los siguientes estados financieros:  
1. ESTADO DE SITUACION FINANCIERA ABRIL 2023 – MARZO 2023, 
2. ESTADO DE RESULTADO ABRIL 2023-2022 y 3. CERTIFICACIÓN EF ABRIL 2023. 
Adicionalmente se publicó:
1. ESTADO DE SITUACION FINANCIERA MARZO 2023 - DIC 2022 
2. NOTAS A LOS ESTADOS FINANCIEROS A 31 DE MARZO 2023. 
• </t>
    </r>
    <r>
      <rPr>
        <b/>
        <sz val="9"/>
        <rFont val="Calibri"/>
        <family val="2"/>
      </rPr>
      <t>ABRIL 2023</t>
    </r>
    <r>
      <rPr>
        <sz val="9"/>
        <rFont val="Calibri"/>
        <family val="2"/>
      </rPr>
      <t>:  El 20 de abril del 2023 se publicó en la página Web de la entidad los Estados Financieros comparativos periodo de marzo 2023-2022,  1 Estado de Situación Financiera Marzo 2023 – 2 Estado de Resultados Marzo 2023 - 3 Certificación Ef Marzo 2023 – 4 Notas A Los Estados Financieros A 31 De Marzo 2023 - 5 Cgn2015_001_Saldos_Y_Movimientos 1er Trimestre Marzo 2023 - 6 Cgn 2015 002 Reciprocas 1t Marzo 2023 - 7 Cgn 2016 01 Variaciones Final Marzo 2023. 
•</t>
    </r>
    <r>
      <rPr>
        <b/>
        <sz val="9"/>
        <rFont val="Calibri"/>
        <family val="2"/>
      </rPr>
      <t xml:space="preserve"> MARZO 2023:</t>
    </r>
    <r>
      <rPr>
        <sz val="9"/>
        <rFont val="Calibri"/>
        <family val="2"/>
      </rPr>
      <t xml:space="preserve">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28 DE FEBRERO 2023.
• </t>
    </r>
    <r>
      <rPr>
        <b/>
        <sz val="9"/>
        <rFont val="Calibri"/>
        <family val="2"/>
      </rPr>
      <t>FEBRERO 2023</t>
    </r>
    <r>
      <rPr>
        <sz val="9"/>
        <rFont val="Calibri"/>
        <family val="2"/>
      </rPr>
      <t xml:space="preserve">: El 20 de febrero del 2023 se publicó en la página Web de la entidad los Estados Financieros comparativos periodo de enero 2023-2022, los cuales se relacionan a continuación:   1. ESTADO DE SITUACION FINANCIERA ENERO 2023 – 2. ESTADO DE RESULTADO ENERO 2023 –– 4. CERTIFICACIÓN EF ENERO 2023 – NOTAS A LOS ESTADOS FINANCIEROS A 31 DE ENERO 2023.  y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31 DE FEBRERO 2023.
• </t>
    </r>
    <r>
      <rPr>
        <b/>
        <sz val="9"/>
        <rFont val="Calibri"/>
        <family val="2"/>
      </rPr>
      <t>ENERO 2023:</t>
    </r>
    <r>
      <rPr>
        <sz val="9"/>
        <rFont val="Calibri"/>
        <family val="2"/>
      </rPr>
      <t xml:space="preserve">  El 31 de Enero de 2023, se publicaron los Estados Financieros comparativos período de diciembre 2022-2021: SITUACION FINANCIERA DICIEMBRE 2022 – ESTADO DE ACTIVIDAD FINANCIERA ECONOMICA SOCIAL Y AMBIENTAL DICIEMBRE 2022 –– CERTIFICACION A LOS ESTADOS FINANCIEROS DICIEMBRE 2022 – CAMBIO EN EL PATRIMONIO - NOTAS A LOS ESTADOS FINANCIEROS A 31 DE DICIEMBRE 2022 – VARIACIONES TRIMESTRALES SIGNIFICATIVAS DICIEMBRE 2022  – CGN2005_001_SALDOS_Y_MOVIMIENTOS DIC 2022 –  CGN 2015 002 RECIPROCAS DIC 2022. 
Por otro lado, los formatos de COVID 19 se derogaron mediante resolución No. 225 del 24 de agosto de 2022 expedida por la Contaduría General de la Nación.</t>
    </r>
  </si>
  <si>
    <t xml:space="preserve">Este mes no se reporta avance de este indicador, debido a la periodicidad de su programación. </t>
  </si>
  <si>
    <r>
      <rPr>
        <b/>
        <sz val="11"/>
        <color indexed="8"/>
        <rFont val="Calibri"/>
        <family val="2"/>
      </rPr>
      <t>El 18 de enero de 2023,</t>
    </r>
    <r>
      <rPr>
        <sz val="11"/>
        <color indexed="8"/>
        <rFont val="Calibri"/>
        <family val="2"/>
      </rPr>
      <t xml:space="preserve"> se reportó en la plataforma de la Secretaría Distrital de Hacienda, la información de los artículos 1º y 2º de la Resolución SDH 415 de 2016, </t>
    </r>
    <r>
      <rPr>
        <b/>
        <sz val="11"/>
        <color indexed="8"/>
        <rFont val="Calibri"/>
        <family val="2"/>
      </rPr>
      <t xml:space="preserve">correspondiente al informe de estampillas distritales del período comprendido entre el 1 de julio al 31 de diciembre de 2022.
</t>
    </r>
    <r>
      <rPr>
        <sz val="11"/>
        <color indexed="8"/>
        <rFont val="Calibri"/>
        <family val="2"/>
      </rPr>
      <t xml:space="preserve">
</t>
    </r>
    <r>
      <rPr>
        <b/>
        <sz val="11"/>
        <color indexed="8"/>
        <rFont val="Calibri"/>
        <family val="2"/>
      </rPr>
      <t>El 20 de abril de 2023</t>
    </r>
    <r>
      <rPr>
        <sz val="11"/>
        <color indexed="8"/>
        <rFont val="Calibri"/>
        <family val="2"/>
      </rPr>
      <t xml:space="preserve">,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
</t>
    </r>
    <r>
      <rPr>
        <b/>
        <sz val="11"/>
        <color indexed="8"/>
        <rFont val="Calibri"/>
        <family val="2"/>
      </rPr>
      <t>El 17 de Julio de 2023</t>
    </r>
    <r>
      <rPr>
        <sz val="11"/>
        <color indexed="8"/>
        <rFont val="Calibri"/>
        <family val="2"/>
      </rPr>
      <t xml:space="preserve">, se reportó en la plataforma de la Secretaria Distrital de Hacienda, la información de  los artículos 1º y 2º de la Resolución SDH 415 de 2016, correspondiente al informe de estampillas distritales del período comprendido entre el 1 de enero al 30 de junio de 2023.
</t>
    </r>
    <r>
      <rPr>
        <b/>
        <sz val="11"/>
        <color indexed="8"/>
        <rFont val="Calibri"/>
        <family val="2"/>
      </rPr>
      <t>El 18 de Julio de 2023</t>
    </r>
    <r>
      <rPr>
        <sz val="11"/>
        <color indexed="8"/>
        <rFont val="Calibri"/>
        <family val="2"/>
      </rPr>
      <t xml:space="preserve"> se reporte en la plataforma de la Secrearia Distrital de Hacienda, la información de los articulo 2 y 4 de la exogena distrital vigencia 2022 RESOLUCIÓN DDI-015564 DE 2023</t>
    </r>
  </si>
  <si>
    <r>
      <rPr>
        <b/>
        <sz val="11"/>
        <color indexed="8"/>
        <rFont val="Calibri"/>
        <family val="2"/>
      </rPr>
      <t>Durante el mes de SEPTIEMBRE,</t>
    </r>
    <r>
      <rPr>
        <sz val="11"/>
        <color indexed="8"/>
        <rFont val="Calibri"/>
        <family val="2"/>
      </rPr>
      <t xml:space="preserve"> se atendieron todas las solicitudes de certificados presupuestales recibidas expidiendo lo que se relaciona a continuación:
-   8 Certificados de Disponibilidad Presupuestal -CDP
-  96 Certificados de Registro Presupuestal - CRP</t>
    </r>
  </si>
  <si>
    <r>
      <rPr>
        <sz val="11"/>
        <color indexed="8"/>
        <rFont val="Calibri"/>
        <family val="2"/>
      </rPr>
      <t xml:space="preserve">Entre el período comprendido entre los meses de </t>
    </r>
    <r>
      <rPr>
        <b/>
        <sz val="11"/>
        <color indexed="8"/>
        <rFont val="Calibri"/>
        <family val="2"/>
      </rPr>
      <t>enero a 30 de septiembre de 2023</t>
    </r>
    <r>
      <rPr>
        <sz val="11"/>
        <color indexed="8"/>
        <rFont val="Calibri"/>
        <family val="2"/>
      </rPr>
      <t>, las expediciones acumuladas, son las siguientes: 
- 1.445  Certificados  de Disponibilidad Presupuestal . CDP
- 1.492  Certificados de Registro Presupuestal - CRP</t>
    </r>
  </si>
  <si>
    <r>
      <rPr>
        <b/>
        <sz val="11"/>
        <color indexed="8"/>
        <rFont val="Calibri"/>
        <family val="2"/>
      </rPr>
      <t xml:space="preserve">Durante el mes de SEPTIMEBRE, </t>
    </r>
    <r>
      <rPr>
        <sz val="11"/>
        <color indexed="8"/>
        <rFont val="Calibri"/>
        <family val="2"/>
      </rPr>
      <t>se publica en la página web de la entidad (mes vencido) la ejecución presupuestal. En el mes de SEPTIEMBRE se publicó la información relativa al mes de AGOSTO 2023.</t>
    </r>
  </si>
  <si>
    <r>
      <rPr>
        <sz val="11"/>
        <color indexed="8"/>
        <rFont val="Calibri"/>
        <family val="2"/>
      </rPr>
      <t>Mensualmente se publica en la página web de la entidad la ejecución presupuestal del mes inmediatamente anterior.</t>
    </r>
    <r>
      <rPr>
        <b/>
        <sz val="11"/>
        <color indexed="8"/>
        <rFont val="Calibri"/>
        <family val="2"/>
      </rPr>
      <t xml:space="preserve"> Este año se han realizado las respectivas publicaciones  en los meses de enero, febrero, marzo, abril, mayo, junio, julio ,agosto y septiembre.</t>
    </r>
  </si>
  <si>
    <r>
      <t>El acumulado para el mes de agosto de 2023 es el siguiente:</t>
    </r>
    <r>
      <rPr>
        <sz val="11"/>
        <rFont val="Times New Roman"/>
        <family val="1"/>
      </rPr>
      <t xml:space="preserve">
- 1 Informe de seguimiento del IV trimestre de la vigencia 2022, presentado en el mes de enero a la OCI.
- 1 Informe consolidado Anual de Austeridad Presentado al Consejo de Bogotá en el mes de Febrero de 2023.
- 1 informe trimestral de seguimiento a las medidas de austeridad para el primer trimestre de la vigencia 2023.
- 1 Informe trimestral de seguimiento a las medidas de austeridad para el segundo trimestre de la vigencia 2023.
-1 Iforme Semestral denominado "Informe de Austeridad del Gasto de la vigencia 1 enero a 30 junio de 2023".
Para el mes de agosto de 2023, se elaboró, el Informe de Austeridad en el Gasto del I semestre 2023; El cual se envió al Concejo de Bogotá con RAD No. 1-2023-0013800 DEL 30-08-2023; en cumplimiento a lo establecido en el Articulo 30del Decreto 492 del 2019 de la Alcaldía de Bogotá. Así mismo se envió copia del informe a la Secretaría Distrital de Hacienda.</t>
    </r>
  </si>
  <si>
    <t xml:space="preserve">Se solicitó a todas las áreas que reportan información en el Botón de Transparencia, la revisión y actualización del documento denominado “Esquema de Publicación de la información”, en el formato EXCEL con el código CD-FO-43; se procedió a su actualización acorde con la retroalimentación de las áreas.
Se tramitó y actualizó la Resolución No. 0357 del 31 agosto 2023 “Por medio de la cual se actualiza el Esquema de Publicación de la Información de la Secretaría Distrital de la Mujer, y se dictan otras disposiciones.” ; la cual deroga la Resolución No. 306 del 31 de agosto del 2022.
Se actualiza el presente formato y se publica en página WEB de la Entidad, BOTON DE TRANSPARENCIA Y ACCESO A LA INFORMACIÓN, numeral 7: el "Esquema de Publicación del Información" y la Resolución No. 357 de agosto 31 de 2023. Posteriormente se solicitó la publicación del "esquema de Publicación de la información en la Página WEB de la Entidad y en Datos Abiertos.
</t>
  </si>
  <si>
    <t>Se elaboraron  y actualizaron los siguientes documentos: 
1. " Esquema de Publicación de la Información actualizado"
2. Resolución 0357 del 31 de agosto de 2023, “Por medio de la cual se actualiza el Esquema de Publicación de la Información de la Secretaría Distrital de la Mujer, y se dictan otras disposiciones.”
Así mismo se publicaron en pagina web , botón de transaparencia y acceso a la información; dichos documentos.</t>
  </si>
  <si>
    <t>Se gestionó (seguimiento, trazabilidad y asignaciòn) del 100% de las mesas de ayuda del mes de Septiembre, cuyo total fue de 122 requerimientos, distribuidos de la siguiente manera:
- Almacén recibió y gestionó 69 solicitudes.
- Mantenimiento recibió y gestionó 53 solicitudes."</t>
  </si>
  <si>
    <r>
      <rPr>
        <sz val="11"/>
        <color indexed="8"/>
        <rFont val="Times New Roman"/>
        <family val="1"/>
      </rPr>
      <t xml:space="preserve">El avance acumulado del  seguimiento, trazabilidad y asignación de las mesas de ayuda, en el aplicativo Mesa de Ayuda es el siguiente:
- Enero: 43 requerimientos recibidos
- Febrero: 157 requerimientos recibidos
- Marzo: 146 requerimientos recibidos
- Abril: 104 requerimientos recibidos 
- Mayo: 144 requierimientos recibidos
- Junio: 111 requerimientos recibidos 
- Julio: 126 requerimientos recibidos 
- Agosto: 125 requerimientos recibidos 
- Septiembre: 122 requerimientos recibidos 
El  total  acumulado es de 1.078 solicitudes recibidas y gestionadas al 100%, de las cuales  </t>
    </r>
    <r>
      <rPr>
        <b/>
        <sz val="11"/>
        <color indexed="8"/>
        <rFont val="Times New Roman"/>
        <family val="1"/>
      </rPr>
      <t>el  almacen recibio y gestionó 566 y Mantenimiento gestionó 512</t>
    </r>
    <r>
      <rPr>
        <sz val="11"/>
        <color indexed="8"/>
        <rFont val="Times New Roman"/>
        <family val="1"/>
      </rPr>
      <t>. Cumpliendo con lo propuesto y dando respuesta oportuna a los requerimientos.</t>
    </r>
  </si>
  <si>
    <t>Las mesas de ayuda cerradas, correspondientes al mes de agosto (mes vencido) fueron de 881 mesas de 956 solicitadas, lo cual representa un 92% de la meta propuesta mes vencido.</t>
  </si>
  <si>
    <t xml:space="preserve">El avance acumulado del  seguimiento, trazabilidad y asignación de las mesas de ayuda, en el aplicativo Mesa de Ayuda es el siguiente:
- Enero: 43 requerimientos recibidos - 47%
- Febrero: 157 requerimientos recibidos - 79%
- Marzo: 146 requerimientos recibidos - 92%
- Abril: 104 requerimientos recibidos - 91%
- Mayo: 144 requerimientos recibidos - 92%
- Junio: 111 requerimientos recibidos - 89%
- Julio: 126 requerimientos recibidos - 89%
- Agosto: 125 requerimientos recibidos - 93%
- Septiembre: 122 requerimientos recibidos - 92%
En total se cerraron un total acumulado de 881 mesas de ayuda al corte de mes de agosto. </t>
  </si>
  <si>
    <t>En el informe parcial de toma fisica del primer semestre del año 2023 se ha realizado inventario en 14 casas de igualdad, 14 centros de inclusión digital, 15 casas de justicia, 3 Uri, capiv, caivas, casa de todas, archivo central y 18 dependencias que se encuentran en nivel central. Cumpliendo con el 60% del cronograma aprobado en la seción No. 1 del Comite MIPG.  Actualizando 9.285 bienes verificados en la herramienta de inventarios que se lleva para su control. Realizando la presentación de este avance de información en la seción del mes de julio del Comité de MIPG.
El día 15 de mayo de 2023, en la sesión No. 1 de la Mesa Técnica de Gestión de Bienes, la Dirección Administrativa y Financiera, puso a consideración de la mesa continuar con el trámite de baja de los bienes inservibles y no utilizables por renovación tecnológica, para presentación ante el Comité de MIPG; Esta solicitud de baja se da como , resultado de la suscripción, en la vigencia 2022, de las órdenes de compra Nos. 101249 (contrato 1130 de 2022) y 101229 (contrato 1131 de 2022), y previo análisis de los conceptos técnicos.</t>
  </si>
  <si>
    <t xml:space="preserve">Para el mes de septiembre no se reporta avance de este indicador, debido a la periodicidad de su programación. </t>
  </si>
  <si>
    <t>La Oficina de Control Disciplinario Interno en relación con este indicador cuenta con un avance de ejecución del 88%, teniendo en cuenta que su programación es semestral.</t>
  </si>
  <si>
    <t>En el mes de  SEPTIEMBRE  la Oficina de Control Disciplinario Interno  cumplió con la meta formulada al realizar dos (2)  jornadas  de prevención a Servidoras, servidores y contratistas de la SDMujer, los días 14 Y 22 de septiembre, así:
Primera jornada: 14 de spetiembre de 2023 al Equipo de la Oficina Asesora Jurídica.
Segunda Jornada: 22 de septiembre de 2023 al rquipo de la Dirección de Derechos y Diseñor de Políticas,  tal como se verifica en la evidencia cargada en la carpeta One Drive.</t>
  </si>
  <si>
    <r>
      <t>La Oficina de Control Disciplinario Interno en cumplimiento del Plan de Acción 2023,  meta:</t>
    </r>
    <r>
      <rPr>
        <i/>
        <sz val="11"/>
        <color indexed="8"/>
        <rFont val="Times New Roman"/>
        <family val="1"/>
      </rPr>
      <t xml:space="preserve"> jornadas de prevención para Servidoras, Servidores y Contratistas de la SDMujer,</t>
    </r>
    <r>
      <rPr>
        <sz val="11"/>
        <color indexed="8"/>
        <rFont val="Times New Roman"/>
        <family val="1"/>
      </rPr>
      <t xml:space="preserve"> al mes de septiembre de 2023, ha logrado  un avance acumulado del 80% de las jornadas programadas mes a mes, así:
Febrero: Dos (2) Jornadas de Prevención.
Marzo: Dos (2) Jornadas de Prevención.
Abril: Dos (2) Jornadas de Prevención.
Mayo: Dos (2) Jornadas de Prevención.
Junio: Dos (2) Jornadas de Prevención.
Julio: Dos (2) Jornadas de Prevención.
Agosto: Dos (2) Jornadas de Prevención.</t>
    </r>
    <r>
      <rPr>
        <sz val="11"/>
        <color indexed="8"/>
        <rFont val="Times New Roman"/>
        <family val="1"/>
      </rPr>
      <t xml:space="preserve">
Septiembre:Dos (2) Jornadas de Prevención</t>
    </r>
  </si>
  <si>
    <t>La Oficina de Control Disciplinario Interno en relación con este indicador cuenta con un avance de ejecución del 50%, de acuerdo con la programación realizada</t>
  </si>
  <si>
    <t>En este periodo por parte de los profesionales de la  Dirección de Contratación se procedió con la revisión de los Estudios Previos de prestación de servicios y apoyo a la gestión de la contratación y procesos de bienes y 
servicios,</t>
  </si>
  <si>
    <t>Se materializó la acción mediante el cual se reportaron  los Estudios Previos revisados por el equipo de abogados  de las diferentes areas misionales de la Entidad</t>
  </si>
  <si>
    <t>En este periodo por parte de los profesionales de  la Dirección de Contratación se procedió con la 
elaboración de las Minutas de prestación de servicios y  apoyo a la gestión y procesos de bienes y servicio</t>
  </si>
  <si>
    <t>Se materializó la acción mediante el cual se reportaron  las minutas contractuales elaboradas por el equipo de abogados de las diferentes areas misionales de la 
Entidad.</t>
  </si>
  <si>
    <t>En el segundo trimestre por parte de los profesionales de la Dirección de Contratación se procedió con la 
elaboración de Pliegos de Condiciones de los procesos de bienes y servicios</t>
  </si>
  <si>
    <t>En el segundo trimestrel se reportaron  la elaboración de Pliegos de Condiciones elaboradas por  el equipo de abogados de las diferentes areas misionales De la Entidad</t>
  </si>
  <si>
    <t>En el segundo trimestre se reportó seguimiento PAABS</t>
  </si>
  <si>
    <t>En este periodo se expidieron comunicaciones oficiales,  respuesta a SDQS, Derechos de Petición a entes 
internos y externos.
Se emitieron certificaciones</t>
  </si>
  <si>
    <t>Se expidieron comunicaciones oficiales, respuesta a 
SDQS, Derechos de Petición a entes internos y 
externos. Asi mismo, se emitieron certificaciones</t>
  </si>
  <si>
    <t>Se realizo capacitación de Liquidaciones de contratos de prestación de  de servicios y apoyo a la gestión de la contratación y procesos de bienes y 
servicios,</t>
  </si>
  <si>
    <t>Se materializó la acción mediante el cual se realizó la solcialización</t>
  </si>
  <si>
    <t>En este periodo se realizaron liquidaciones de contratos  suscritos con personas naturales y juridicas bajo la  modalidad prestación de servicios profesionales y de 
bienes y servicio</t>
  </si>
  <si>
    <t>Se procedio con el tramite poscontractual de los  contratos radicados a la Direcciòn de Contrataciòn</t>
  </si>
  <si>
    <t>En este periodo se remitieron alertas a los supervisores de los contratos de prestación de servicios y apoyo a la 
gestión y de bienes y servicios para que realicen el tramite de liquidación</t>
  </si>
  <si>
    <t>Se realizo la remisiòn de memorandos a los supervisores 
de los contratos informando los plazos perentorios para 
realizar el tramite poscontractua</t>
  </si>
  <si>
    <t>Se realizó la actualización de los meses de julio, agosto y septiembre de los servicios de la SDMujer en la Guía de Trámites y Servicios, y se remitió el certificado de confiabilidad a la Secretaría General de la Alcaldía Mayor de Bogotá.</t>
  </si>
  <si>
    <t>Se ha realizado la actualización de los meses de enero a septiembre de los servicios de la SDMujer en la Guía de Trámites y Servicios, y se remitió el certificado de confiabilidad a la Secretaría General de la Alcaldía Mayor de Bogotá.</t>
  </si>
  <si>
    <t>No se han reportado avances de este indicador, debido a la periodicidad de su programación.</t>
  </si>
  <si>
    <t>Se ejecutaron entre los meses de enero a agosto, nueve (9) actividades de capacitación dirigidas a servidoras, servidores y contratistas de la Entidad, en los siguientes temas :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
- 23/05/2023: Segundo taller de gestión de PQRS en Bogotá te escucha. Dirigido a enlaces de las dependencias.
- 28/06/2023: Sensibilización sobre el cierre de PQRS en el sistema Bogotá te escucha. Dirigido a enlaces de las dependencias.
- 17/07/2023: Sensibilización sobre nueva versión del procedimiento AC-PR-2 Gestión de las PQRSD de la Ciudadanía - Versión 10. Dirigido a enlaces de las dependencias.
- 15/08/2023: Sensibilización en gestión de PQRS y manejo del sistema Bogotá te escucha. Dirigido a usuarios principales de la Dir. de Gestión del Conocimiento y Dir. de Talento Humano.
- 22/08/2023: Tercer taller de gestión de PQRS en Bogotá te escucha. Dirigido a enlaces de las dependencias.</t>
  </si>
  <si>
    <t>Se realizó entre los meses de enero a agosto, la divulgación de seis (6)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
- Boletina 22 de junio: Socialización de Procedimiento de Caracterización de Usuarias(os).
- Boletina 28 de junio: Socialización de nueva versión Procedimiento AC-PR-2 Gestión de Peticiones, Quejas, Reclamos, Sugerencias y Denuncias de la Ciudadanía (versión 10).</t>
  </si>
  <si>
    <t>Se realizó en el mes de mayo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</si>
  <si>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Teniendo en cuenta que la información estadística es remitida por la Secretaría General los primeros días del mes siguiente, durante el mes anterior (agosto) se registraron 262 peticiones y se realizó el cierre de 256 peticiones (176 del mismo mes y 80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</si>
  <si>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marzo, abril, mayo, junio, julio y agosto) se registraron 2.021 peticiones y se ha realizado el cierre de 2.254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</si>
  <si>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entre los meses de enero a agosto, en los siguientes espacios de articulación interinstitucional,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
- 19/05/2023: Nodos Sectoriales - Competencias sectores Planeación y Gestión Jurídica, dirigido por la Red Distrital de Quejas y Reclamos (Veeduría Distrital).
- 14/06/2023: Nodos Sectoriales - Competencias sector Educación, dirigido por la Red Distrital de Quejas y Reclamos (Veeduría Distrital).
- 27/06/2023: Nodos Sectoriales - Competencias sector Ambiente, dirigido por la Red Distrital de Quejas y Reclamos (Veeduría Distrital).
- 27/07/2023: Webinar Atención a las personas con discapacidad Psicosocial, dirigido por la Veeduría Distrital.</t>
  </si>
  <si>
    <t>Se ha elaborado el informe del primer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</si>
  <si>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En el mes de septiembre, se elaboró el informe mensual de seguimiento de PQRS y atención a la ciudadanía correspondiente al mes de agosto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</si>
  <si>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A la fecha se han elaborado los informes mensuales de seguimiento de PQRS y atención a la ciudadanía correspondiente a los meses de diciembre 2022, enero, febrero, marzo, abril, mayo, junio, julio y agosto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</si>
  <si>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Se ha realizado en el mes de julio el envío masivo de la encuesta de satisfacción de servicios y estrategias de la SDMujer, así como la respectiva medición e informe de resultados.
El informe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</si>
  <si>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 xml:space="preserve">En el tercer trimestre se recibieron y respondieron XXX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</si>
  <si>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Con corte a 30 DE SEPTIEMBRE se recibieron y respondieron un total de 234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</si>
  <si>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tercer trimestre se recibieron XXX solicitudes de pronunciamiento de Proyectos de Acuerdo y/o Ley y se emitieron 25 conceptos en respuesta a las solicitudes. </t>
  </si>
  <si>
    <t xml:space="preserve">Con corte a 30 DE SEPTIEMBRE se recibieron un total de 53 solicitudes de pronunciamiento de Proyectos de Acuerdo y/o Ley y se emitieron 53 conceptos en respuesta a las solicitudes. </t>
  </si>
  <si>
    <t>En el tercer trimestre se recibieron y tramitaron 18 acciones de tutela y se ha llevado a cabo 1 actuacion judicial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se ha constituido formalmente como víctima.</t>
  </si>
  <si>
    <t>Con corte a 30 DE SEPTIEMBRE se recibieron y tramitaron un total de 41 acciones de tutela y se han llevado a cabo 13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</si>
  <si>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En el tercer trimestre no se requirió proyectar decisiones de segunda instancia en los procesos disciplinarios de la entidad. </t>
  </si>
  <si>
    <t xml:space="preserve">Con corte a 30 DE SEPTIEMBRE no se requirió proyectar decisiones de segunda instancia en los procesos disciplinarios de la entidad. </t>
  </si>
  <si>
    <t xml:space="preserve">En el tercer trimestre se recibieron XXX solicitudes por control político referentes a proposiciones del Concejo de Bogotá y se dio respuesta a las 13 solicitudes. </t>
  </si>
  <si>
    <t xml:space="preserve">Con corte a 30 DE SEPTIEMBRE se recibieron un total de 38 solicitudes por control político referentes a proposiciones del Concejo de Bogotá y se dio respuesta a las 38 solicitudes. </t>
  </si>
  <si>
    <t xml:space="preserve">En el tercer trimestre se asistió a XXX Comités de enlaces ordinario virtual realizado por la plataforma teams, y se asiganarón por parte de  la secretaría técnica del comité 25 casos para estudio, los cuales fueron presentados ante el comité. </t>
  </si>
  <si>
    <t xml:space="preserve">Con corte a 30 DE SEPTIEMBRE se asistió a un total de 21 Comités de enlaces ordinario virtual realizado por la plataforma teams, y se asiganarón por parte de  la secretaría técnica del comité 48 casos para estudio, los cuales fueron presentados ante el comité. </t>
  </si>
  <si>
    <t xml:space="preserve">En el tercer trimestre se realizarón XXX sesiones ordinarias del Comité de Conciliación y 1 (una) sesion Extraordinaria, conforme a las 2 sesiones planeadas por mes. </t>
  </si>
  <si>
    <t xml:space="preserve">Con corte a 30 DE SEPTIEMBRE se realizarón un total de 12 sesiones ordinarias del Comité de Conciliación y 2 (dos) sesiones Extraordinaria, conforme a las 2 sesiones planeadas por mes. </t>
  </si>
  <si>
    <t>Con corte a 30 de septiembre: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1 y 2 trimestre del 2023 en la plataforma Segplan y la reformulación del 2023. 
- Se han elaborado respuestas y consolidado insumos para atender derechos de petición, proposiciones y requerimientos de información.
En el mes de septiembre:
- Se realizó la revisión del reporte de seguimiento del plan de acción con corte al 30 de agosto de 2023.
- Se realizó el correspondiente acompañamiento en el cargue del seguimiento con corte al 30 de agosto de 2023 en DNP-SPI y Segplan.
- Se dió respuesta a requerimientos de información: (i) Requerimiento de información hecho por la Personería sobre cumplimiento de metas trazadoras SDMujer con corte al 31 de agosto de 2023; (ii) Solicitud de información de la OCI sobre seguimiento a las metas del PDD; (iii) Derecho de petición No. 2-2023-017920; (iv) Solicitud Información-Contraloría de Bogotá Sub de Estadísticas y Análisis Presupuestal y Financiero; (v) Requerimiento de la Defensoría del Pueblo sobre la incorporación del enfoque de género en el Plan de Desarrollo Distrital 2020-2023; (vi) Respuesta al Derecho de petición 2-2023-018720 y (vii) Encuesta sobre patrimonio cultural enviada por la Secretaría Distrital de Cultura, Recreación y Deportes”.</t>
  </si>
  <si>
    <t>Nombre: Diana Carolina Hernández Sánchez</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</si>
  <si>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por el equipo de Direccionamiento Estratégico.
Entre el 11 y el 14 de julio se realizaron mesas de trabajo con las dependencias para revisar las necesidades de presupuesto. Posteriormente, el 24 de julio se presentaron las necesidades al Despacho y el 10 de agosto se adelantó la mesa técnica con la Secretaría Distrital de Hacienda-SDH y la Secretaría Distrital de Planeación-SDP, conforme con los lineamientos y el cronograma establecido por la SHD.
El 30 de septiembre se comunicaron las cuotas de inversión y funcionamiento y se solicitó a las dependencias ajustar la programación presupuestal, así como las justificaciones técnicas de los proyectos para 2024
Con base a la cuota informada mediante radicado 1-2023-017110 del 9 de octubre, la Oficina Asesora de Planeación envió a la SDH el documento correspondiente al Anteproyecto de Presupuesto de Gastos e Inversiones para la vigencia 2024 para la SDMujer.</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</si>
</sst>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 numFmtId="217" formatCode="_-* #,##0.000\ _€_-;\-* #,##0.000\ _€_-;_-* &quot;-&quot;??\ _€_-;_-@_-"/>
    <numFmt numFmtId="218" formatCode="_-* #,##0.0000\ _€_-;\-* #,##0.0000\ _€_-;_-* &quot;-&quot;??\ _€_-;_-@_-"/>
    <numFmt numFmtId="219" formatCode="_-* #,##0.00000\ _€_-;\-* #,##0.00000\ _€_-;_-* &quot;-&quot;??\ _€_-;_-@_-"/>
    <numFmt numFmtId="220" formatCode="0.000000%"/>
    <numFmt numFmtId="221" formatCode="0.0000000%"/>
  </numFmts>
  <fonts count="10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b/>
      <sz val="9"/>
      <name val="Tahoma"/>
      <family val="2"/>
    </font>
    <font>
      <sz val="9"/>
      <name val="Tahoma"/>
      <family val="2"/>
    </font>
    <font>
      <b/>
      <sz val="14"/>
      <name val="Tahoma"/>
      <family val="2"/>
    </font>
    <font>
      <sz val="14"/>
      <name val="Tahoma"/>
      <family val="2"/>
    </font>
    <font>
      <sz val="9"/>
      <name val="Calibri"/>
      <family val="2"/>
    </font>
    <font>
      <i/>
      <sz val="11"/>
      <color indexed="8"/>
      <name val="Times New Roman"/>
      <family val="1"/>
    </font>
    <font>
      <sz val="10"/>
      <color indexed="8"/>
      <name val="Calibri"/>
      <family val="2"/>
    </font>
    <font>
      <b/>
      <sz val="10"/>
      <color indexed="8"/>
      <name val="Calibri"/>
      <family val="2"/>
    </font>
    <font>
      <b/>
      <sz val="9"/>
      <name val="Calibri"/>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0"/>
      <color rgb="FF000000"/>
      <name val="Calibri"/>
      <family val="2"/>
    </font>
    <font>
      <sz val="11"/>
      <color rgb="FF000000"/>
      <name val="Calibri"/>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s>
  <borders count="9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thin"/>
      <right>
        <color indexed="63"/>
      </right>
      <top>
        <color indexed="63"/>
      </top>
      <bottom>
        <color indexed="63"/>
      </bottom>
    </border>
    <border>
      <left>
        <color indexed="63"/>
      </left>
      <right>
        <color indexed="63"/>
      </right>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9" fontId="6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7" fillId="21" borderId="0" applyNumberFormat="0" applyBorder="0" applyAlignment="0" applyProtection="0"/>
    <xf numFmtId="0" fontId="68" fillId="22" borderId="4" applyNumberFormat="0" applyAlignment="0" applyProtection="0"/>
    <xf numFmtId="0" fontId="69" fillId="23" borderId="5" applyNumberFormat="0" applyAlignment="0" applyProtection="0"/>
    <xf numFmtId="0" fontId="70" fillId="0" borderId="6" applyNumberFormat="0" applyFill="0" applyAlignment="0" applyProtection="0"/>
    <xf numFmtId="0" fontId="71" fillId="0" borderId="7" applyNumberFormat="0" applyFill="0" applyAlignment="0" applyProtection="0"/>
    <xf numFmtId="0" fontId="72" fillId="24" borderId="0" applyNumberFormat="0" applyProtection="0">
      <alignment horizontal="left" wrapText="1" indent="4"/>
    </xf>
    <xf numFmtId="0" fontId="73" fillId="24" borderId="0" applyNumberFormat="0" applyProtection="0">
      <alignment horizontal="left" wrapText="1" indent="4"/>
    </xf>
    <xf numFmtId="0" fontId="74" fillId="0" borderId="0" applyNumberFormat="0" applyFill="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9" fillId="30" borderId="0" applyNumberFormat="0" applyBorder="0" applyAlignment="0" applyProtection="0"/>
    <xf numFmtId="0" fontId="75" fillId="31" borderId="4" applyNumberFormat="0" applyAlignment="0" applyProtection="0"/>
    <xf numFmtId="16" fontId="44" fillId="0" borderId="0" applyFont="0" applyFill="0" applyBorder="0" applyAlignment="0">
      <protection/>
    </xf>
    <xf numFmtId="0" fontId="76" fillId="32" borderId="0" applyNumberFormat="0" applyBorder="0" applyProtection="0">
      <alignment horizontal="center" vertical="center"/>
    </xf>
    <xf numFmtId="0" fontId="77" fillId="0" borderId="0" applyNumberFormat="0" applyFill="0" applyBorder="0" applyAlignment="0" applyProtection="0"/>
    <xf numFmtId="0" fontId="78" fillId="0" borderId="0" applyNumberFormat="0" applyFill="0" applyBorder="0" applyAlignment="0" applyProtection="0"/>
    <xf numFmtId="0" fontId="79"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2" fillId="22" borderId="9" applyNumberFormat="0" applyAlignment="0" applyProtection="0"/>
    <xf numFmtId="0" fontId="83" fillId="0" borderId="0" applyNumberFormat="0" applyFill="0" applyBorder="0" applyAlignment="0" applyProtection="0"/>
    <xf numFmtId="0" fontId="73" fillId="0" borderId="0" applyFill="0" applyBorder="0">
      <alignment wrapText="1"/>
      <protection/>
    </xf>
    <xf numFmtId="0" fontId="65"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74" fillId="0" borderId="11" applyNumberFormat="0" applyFill="0" applyAlignment="0" applyProtection="0"/>
    <xf numFmtId="0" fontId="87" fillId="24" borderId="0" applyNumberFormat="0" applyBorder="0" applyProtection="0">
      <alignment horizontal="left" indent="1"/>
    </xf>
    <xf numFmtId="0" fontId="88" fillId="0" borderId="12" applyNumberFormat="0" applyFill="0" applyAlignment="0" applyProtection="0"/>
  </cellStyleXfs>
  <cellXfs count="1210">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8"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9" fillId="38" borderId="28" xfId="0" applyFont="1" applyFill="1" applyBorder="1" applyAlignment="1">
      <alignment vertical="center"/>
    </xf>
    <xf numFmtId="0" fontId="89" fillId="38" borderId="0" xfId="0" applyFont="1" applyFill="1" applyBorder="1" applyAlignment="1">
      <alignment vertical="center"/>
    </xf>
    <xf numFmtId="0" fontId="89"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90"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8"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8"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9" fillId="0" borderId="0" xfId="0" applyFont="1" applyAlignment="1">
      <alignment vertical="center"/>
    </xf>
    <xf numFmtId="0" fontId="91" fillId="11" borderId="41" xfId="0" applyFont="1" applyFill="1" applyBorder="1" applyAlignment="1">
      <alignment vertical="center"/>
    </xf>
    <xf numFmtId="0" fontId="91" fillId="11" borderId="42" xfId="0" applyFont="1" applyFill="1" applyBorder="1" applyAlignment="1">
      <alignment vertical="center"/>
    </xf>
    <xf numFmtId="0" fontId="91" fillId="11" borderId="0" xfId="0" applyFont="1" applyFill="1" applyBorder="1" applyAlignment="1">
      <alignment vertical="center"/>
    </xf>
    <xf numFmtId="0" fontId="91" fillId="11" borderId="43" xfId="0" applyFont="1" applyFill="1" applyBorder="1" applyAlignment="1">
      <alignment vertical="center"/>
    </xf>
    <xf numFmtId="0" fontId="91" fillId="11" borderId="15" xfId="0" applyFont="1" applyFill="1" applyBorder="1" applyAlignment="1">
      <alignment vertical="center"/>
    </xf>
    <xf numFmtId="0" fontId="91" fillId="11" borderId="44" xfId="0" applyFont="1" applyFill="1" applyBorder="1" applyAlignment="1">
      <alignment vertical="center"/>
    </xf>
    <xf numFmtId="0" fontId="91" fillId="11" borderId="13" xfId="0" applyFont="1" applyFill="1" applyBorder="1" applyAlignment="1">
      <alignment horizontal="center" vertical="center" wrapText="1"/>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175" fontId="89" fillId="0" borderId="13" xfId="59" applyFont="1" applyBorder="1" applyAlignment="1">
      <alignment horizontal="center" vertical="center" wrapText="1"/>
    </xf>
    <xf numFmtId="0" fontId="89" fillId="0" borderId="13" xfId="0" applyFont="1" applyBorder="1" applyAlignment="1">
      <alignment vertical="center"/>
    </xf>
    <xf numFmtId="0" fontId="89" fillId="0" borderId="13" xfId="79" applyNumberFormat="1" applyFont="1" applyBorder="1" applyAlignment="1">
      <alignment vertical="center"/>
    </xf>
    <xf numFmtId="0" fontId="90" fillId="0" borderId="13" xfId="0" applyFont="1" applyBorder="1" applyAlignment="1">
      <alignment vertical="center" wrapText="1"/>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2" fillId="11" borderId="13" xfId="0" applyFont="1" applyFill="1" applyBorder="1" applyAlignment="1">
      <alignment horizontal="center" vertical="center"/>
    </xf>
    <xf numFmtId="0" fontId="89" fillId="0" borderId="0" xfId="0" applyFont="1" applyAlignment="1">
      <alignment horizontal="center" vertical="center"/>
    </xf>
    <xf numFmtId="0" fontId="93" fillId="0" borderId="13" xfId="0" applyFont="1" applyBorder="1" applyAlignment="1">
      <alignment vertical="center"/>
    </xf>
    <xf numFmtId="0" fontId="92" fillId="11" borderId="13" xfId="0" applyFont="1" applyFill="1" applyBorder="1" applyAlignment="1">
      <alignment horizontal="left" vertical="center"/>
    </xf>
    <xf numFmtId="0" fontId="89" fillId="0" borderId="13" xfId="0" applyFont="1" applyBorder="1" applyAlignment="1">
      <alignment horizontal="left" vertical="center"/>
    </xf>
    <xf numFmtId="0" fontId="89" fillId="0" borderId="14" xfId="0" applyFont="1" applyFill="1" applyBorder="1" applyAlignment="1">
      <alignment horizontal="left" vertical="center"/>
    </xf>
    <xf numFmtId="0" fontId="89" fillId="0" borderId="13" xfId="0" applyFont="1" applyFill="1" applyBorder="1" applyAlignment="1">
      <alignment horizontal="left" vertical="center"/>
    </xf>
    <xf numFmtId="41" fontId="89" fillId="0" borderId="13" xfId="60" applyFont="1" applyFill="1" applyBorder="1" applyAlignment="1">
      <alignment vertical="center"/>
    </xf>
    <xf numFmtId="0" fontId="93" fillId="0" borderId="0" xfId="0" applyFont="1" applyAlignment="1">
      <alignment vertical="center"/>
    </xf>
    <xf numFmtId="0" fontId="16" fillId="0" borderId="13" xfId="0" applyFont="1" applyBorder="1" applyAlignment="1">
      <alignment horizontal="center" vertical="center" wrapText="1"/>
    </xf>
    <xf numFmtId="0" fontId="91" fillId="0" borderId="0" xfId="0" applyFont="1" applyAlignment="1">
      <alignment horizontal="left" vertical="center"/>
    </xf>
    <xf numFmtId="0" fontId="91" fillId="11" borderId="13" xfId="0" applyFont="1" applyFill="1" applyBorder="1" applyAlignment="1">
      <alignment vertical="center"/>
    </xf>
    <xf numFmtId="41" fontId="89" fillId="0" borderId="14" xfId="60" applyFont="1" applyFill="1" applyBorder="1" applyAlignment="1">
      <alignment vertical="center"/>
    </xf>
    <xf numFmtId="49" fontId="89" fillId="0" borderId="14" xfId="60" applyNumberFormat="1" applyFont="1" applyFill="1" applyBorder="1" applyAlignment="1">
      <alignment vertical="center"/>
    </xf>
    <xf numFmtId="49" fontId="89" fillId="0" borderId="13" xfId="60" applyNumberFormat="1" applyFont="1" applyFill="1" applyBorder="1" applyAlignment="1">
      <alignment vertical="center"/>
    </xf>
    <xf numFmtId="0" fontId="89" fillId="0" borderId="0" xfId="0" applyFont="1" applyAlignment="1">
      <alignment horizontal="left" vertical="center"/>
    </xf>
    <xf numFmtId="0" fontId="89" fillId="0" borderId="0" xfId="0" applyFont="1" applyFill="1" applyAlignment="1">
      <alignment horizontal="left" vertical="center"/>
    </xf>
    <xf numFmtId="0" fontId="91" fillId="17" borderId="13" xfId="0" applyFont="1" applyFill="1" applyBorder="1" applyAlignment="1">
      <alignment horizontal="center" vertical="center"/>
    </xf>
    <xf numFmtId="0" fontId="89" fillId="0" borderId="16"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3" xfId="0" applyFont="1" applyFill="1" applyBorder="1" applyAlignment="1">
      <alignment vertical="center" wrapText="1"/>
    </xf>
    <xf numFmtId="0" fontId="91" fillId="0" borderId="13" xfId="0" applyFont="1" applyFill="1" applyBorder="1" applyAlignment="1">
      <alignment vertical="center" wrapText="1"/>
    </xf>
    <xf numFmtId="0" fontId="8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89"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5" fillId="0" borderId="13" xfId="79" applyNumberFormat="1" applyFont="1" applyBorder="1" applyAlignment="1">
      <alignment vertical="center"/>
    </xf>
    <xf numFmtId="9" fontId="91" fillId="11" borderId="13" xfId="79" applyFont="1" applyFill="1" applyBorder="1" applyAlignment="1">
      <alignment horizontal="center" vertical="center" wrapText="1"/>
    </xf>
    <xf numFmtId="9" fontId="89" fillId="0" borderId="0" xfId="79" applyFont="1" applyAlignment="1">
      <alignment vertical="center"/>
    </xf>
    <xf numFmtId="0" fontId="91" fillId="17" borderId="13" xfId="0" applyFont="1" applyFill="1" applyBorder="1" applyAlignment="1">
      <alignment horizontal="left" vertical="center"/>
    </xf>
    <xf numFmtId="0" fontId="91" fillId="0" borderId="13" xfId="0" applyFont="1" applyFill="1" applyBorder="1" applyAlignment="1">
      <alignment horizontal="left" vertical="center"/>
    </xf>
    <xf numFmtId="0" fontId="91"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91" fillId="11" borderId="41" xfId="0" applyFont="1" applyFill="1" applyBorder="1" applyAlignment="1">
      <alignment horizontal="center" vertical="center"/>
    </xf>
    <xf numFmtId="0" fontId="91" fillId="11" borderId="15" xfId="0" applyFont="1" applyFill="1" applyBorder="1" applyAlignment="1">
      <alignment horizontal="center" vertical="center"/>
    </xf>
    <xf numFmtId="0" fontId="91"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1"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9" fillId="0" borderId="13" xfId="79" applyFont="1" applyFill="1" applyBorder="1" applyAlignment="1">
      <alignment horizontal="center" vertical="center" wrapText="1"/>
    </xf>
    <xf numFmtId="175" fontId="89" fillId="0" borderId="13" xfId="59" applyFont="1" applyFill="1" applyBorder="1" applyAlignment="1">
      <alignment horizontal="center" vertical="center" wrapText="1"/>
    </xf>
    <xf numFmtId="9" fontId="89"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9" fillId="0" borderId="13" xfId="59" applyFont="1" applyFill="1" applyBorder="1" applyAlignment="1">
      <alignment horizontal="center" vertical="center"/>
    </xf>
    <xf numFmtId="1" fontId="89" fillId="0" borderId="13" xfId="0" applyNumberFormat="1" applyFont="1" applyBorder="1" applyAlignment="1">
      <alignment horizontal="center" vertical="center"/>
    </xf>
    <xf numFmtId="1" fontId="89" fillId="0" borderId="13" xfId="59" applyNumberFormat="1" applyFont="1" applyFill="1" applyBorder="1" applyAlignment="1">
      <alignment horizontal="center" vertical="center"/>
    </xf>
    <xf numFmtId="0" fontId="89" fillId="0" borderId="13" xfId="79" applyNumberFormat="1" applyFont="1" applyFill="1" applyBorder="1" applyAlignment="1">
      <alignment horizontal="center" vertical="center" wrapText="1"/>
    </xf>
    <xf numFmtId="0" fontId="89" fillId="38" borderId="22" xfId="0" applyFont="1" applyFill="1" applyBorder="1" applyAlignment="1">
      <alignment horizontal="center" vertical="center" wrapText="1"/>
    </xf>
    <xf numFmtId="9" fontId="89" fillId="0" borderId="13" xfId="0" applyNumberFormat="1" applyFont="1" applyBorder="1" applyAlignment="1">
      <alignment horizontal="center" vertical="center" wrapText="1"/>
    </xf>
    <xf numFmtId="9" fontId="89" fillId="0" borderId="13" xfId="79" applyFont="1" applyFill="1" applyBorder="1" applyAlignment="1">
      <alignment horizontal="center" vertical="center"/>
    </xf>
    <xf numFmtId="0" fontId="89"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4" fillId="0" borderId="0" xfId="0" applyFont="1" applyAlignment="1">
      <alignment horizontal="center" vertical="center"/>
    </xf>
    <xf numFmtId="0" fontId="88"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9"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91" fillId="11" borderId="13" xfId="0" applyFont="1" applyFill="1" applyBorder="1" applyAlignment="1">
      <alignment horizontal="center" vertical="center" wrapText="1"/>
    </xf>
    <xf numFmtId="9" fontId="89" fillId="0" borderId="13" xfId="79" applyFont="1" applyBorder="1" applyAlignment="1">
      <alignment horizontal="center" vertical="center" wrapText="1"/>
    </xf>
    <xf numFmtId="0" fontId="96" fillId="0" borderId="13" xfId="0" applyFont="1" applyBorder="1" applyAlignment="1">
      <alignment horizontal="center" vertical="center" wrapText="1"/>
    </xf>
    <xf numFmtId="9" fontId="91" fillId="11" borderId="41" xfId="79" applyFont="1" applyFill="1" applyBorder="1" applyAlignment="1">
      <alignment horizontal="center" vertical="center"/>
    </xf>
    <xf numFmtId="9" fontId="91" fillId="11" borderId="42" xfId="79" applyFont="1" applyFill="1" applyBorder="1" applyAlignment="1">
      <alignment horizontal="center" vertical="center"/>
    </xf>
    <xf numFmtId="9" fontId="91" fillId="11" borderId="0" xfId="79" applyFont="1" applyFill="1" applyBorder="1" applyAlignment="1">
      <alignment horizontal="center" vertical="center"/>
    </xf>
    <xf numFmtId="0" fontId="91" fillId="11" borderId="0" xfId="0" applyFont="1" applyFill="1" applyAlignment="1">
      <alignment horizontal="center" vertical="center"/>
    </xf>
    <xf numFmtId="9" fontId="91" fillId="11" borderId="43" xfId="79" applyFont="1" applyFill="1" applyBorder="1" applyAlignment="1">
      <alignment horizontal="center" vertical="center"/>
    </xf>
    <xf numFmtId="9" fontId="91" fillId="11" borderId="15" xfId="79" applyFont="1" applyFill="1" applyBorder="1" applyAlignment="1">
      <alignment horizontal="center" vertical="center"/>
    </xf>
    <xf numFmtId="9" fontId="91"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9" fillId="0" borderId="13" xfId="59" applyNumberFormat="1" applyFont="1" applyBorder="1" applyAlignment="1">
      <alignment horizontal="center" vertical="center" wrapText="1"/>
    </xf>
    <xf numFmtId="9" fontId="89" fillId="0" borderId="13" xfId="79" applyFont="1" applyBorder="1" applyAlignment="1">
      <alignment horizontal="center" vertical="center"/>
    </xf>
    <xf numFmtId="9" fontId="89" fillId="0" borderId="0" xfId="79" applyFont="1" applyAlignment="1">
      <alignment horizontal="center" vertical="center"/>
    </xf>
    <xf numFmtId="175" fontId="89" fillId="0" borderId="13" xfId="59" applyFont="1" applyBorder="1" applyAlignment="1">
      <alignment horizontal="left" vertical="center" wrapText="1"/>
    </xf>
    <xf numFmtId="9" fontId="89" fillId="0" borderId="13" xfId="0" applyNumberFormat="1" applyFont="1" applyBorder="1" applyAlignment="1">
      <alignment vertical="center"/>
    </xf>
    <xf numFmtId="0" fontId="89" fillId="0" borderId="13" xfId="0" applyFont="1" applyBorder="1" applyAlignment="1">
      <alignment vertical="center" wrapText="1"/>
    </xf>
    <xf numFmtId="0" fontId="89" fillId="0" borderId="13" xfId="0" applyFont="1" applyBorder="1" applyAlignment="1">
      <alignment vertical="top" wrapText="1"/>
    </xf>
    <xf numFmtId="0" fontId="89"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9" fillId="0" borderId="13" xfId="0" applyFont="1" applyBorder="1" applyAlignment="1">
      <alignment horizontal="justify" vertical="center" wrapText="1"/>
    </xf>
    <xf numFmtId="41" fontId="89"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90"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90" fillId="0" borderId="13" xfId="0" applyFont="1" applyBorder="1" applyAlignment="1">
      <alignment vertical="center"/>
    </xf>
    <xf numFmtId="0" fontId="90"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9" fillId="38" borderId="13" xfId="0" applyNumberFormat="1" applyFont="1" applyFill="1" applyBorder="1" applyAlignment="1">
      <alignment vertical="center"/>
    </xf>
    <xf numFmtId="0" fontId="89"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3"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9" fillId="11" borderId="38" xfId="81" applyFont="1" applyFill="1" applyBorder="1" applyAlignment="1" applyProtection="1">
      <alignment horizontal="center" vertical="center" wrapText="1"/>
      <protection/>
    </xf>
    <xf numFmtId="9" fontId="88" fillId="0" borderId="28" xfId="79" applyFont="1" applyBorder="1" applyAlignment="1">
      <alignment horizontal="center" vertical="center"/>
    </xf>
    <xf numFmtId="189" fontId="88"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44" fillId="0" borderId="0" xfId="0" applyFont="1" applyAlignment="1">
      <alignment/>
    </xf>
    <xf numFmtId="189" fontId="44"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3" fillId="0" borderId="13" xfId="0" applyFont="1" applyBorder="1" applyAlignment="1">
      <alignment horizontal="left" vertical="center" wrapText="1"/>
    </xf>
    <xf numFmtId="0" fontId="93"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9"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9" fillId="0" borderId="0" xfId="0" applyFont="1" applyAlignment="1">
      <alignment horizontal="justify" vertical="center" wrapText="1"/>
    </xf>
    <xf numFmtId="41" fontId="89" fillId="0" borderId="13" xfId="60" applyFont="1" applyFill="1" applyBorder="1" applyAlignment="1">
      <alignment horizontal="center" vertical="center"/>
    </xf>
    <xf numFmtId="41" fontId="89" fillId="38" borderId="13" xfId="60" applyFont="1" applyFill="1" applyBorder="1" applyAlignment="1">
      <alignment horizontal="center" vertical="center"/>
    </xf>
    <xf numFmtId="41" fontId="89" fillId="38" borderId="13" xfId="60" applyFont="1" applyFill="1" applyBorder="1" applyAlignment="1">
      <alignment horizontal="center" vertical="center" wrapText="1"/>
    </xf>
    <xf numFmtId="41" fontId="89" fillId="38" borderId="16" xfId="60" applyFont="1" applyFill="1" applyBorder="1" applyAlignment="1">
      <alignment horizontal="center" vertical="center" wrapText="1"/>
    </xf>
    <xf numFmtId="0" fontId="89" fillId="38" borderId="13" xfId="0" applyFont="1" applyFill="1" applyBorder="1" applyAlignment="1">
      <alignment horizontal="center" vertical="center"/>
    </xf>
    <xf numFmtId="198" fontId="89" fillId="38" borderId="13" xfId="59" applyNumberFormat="1" applyFont="1" applyFill="1" applyBorder="1" applyAlignment="1">
      <alignment vertical="center"/>
    </xf>
    <xf numFmtId="175" fontId="89" fillId="38" borderId="13" xfId="59" applyFont="1" applyFill="1" applyBorder="1" applyAlignment="1">
      <alignment vertical="center"/>
    </xf>
    <xf numFmtId="9" fontId="89"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9" fillId="0" borderId="13" xfId="0" applyNumberFormat="1" applyFont="1" applyFill="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9" fontId="10" fillId="0" borderId="13" xfId="79" applyFont="1" applyFill="1" applyBorder="1" applyAlignment="1">
      <alignment vertical="center"/>
    </xf>
    <xf numFmtId="0" fontId="89" fillId="0" borderId="22" xfId="0" applyFont="1" applyBorder="1" applyAlignment="1">
      <alignment vertical="center"/>
    </xf>
    <xf numFmtId="0" fontId="97" fillId="0" borderId="13" xfId="0" applyFont="1" applyBorder="1" applyAlignment="1">
      <alignment horizontal="center" vertical="center" wrapText="1"/>
    </xf>
    <xf numFmtId="9" fontId="97" fillId="0" borderId="13" xfId="79" applyFont="1" applyFill="1" applyBorder="1" applyAlignment="1">
      <alignment horizontal="center" vertical="center" wrapText="1"/>
    </xf>
    <xf numFmtId="175" fontId="97"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91"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9" fillId="0" borderId="13" xfId="0" applyFont="1" applyFill="1" applyBorder="1" applyAlignment="1">
      <alignment horizontal="center" vertical="center" wrapText="1"/>
    </xf>
    <xf numFmtId="0" fontId="90"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7" fillId="0" borderId="13" xfId="0" applyFont="1" applyBorder="1" applyAlignment="1">
      <alignment horizontal="justify" vertical="center" wrapText="1"/>
    </xf>
    <xf numFmtId="175" fontId="97"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9" fillId="0" borderId="13" xfId="79" applyNumberFormat="1" applyFont="1" applyBorder="1" applyAlignment="1">
      <alignment vertical="center"/>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0" fontId="90"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8" fillId="0" borderId="13" xfId="58" applyNumberFormat="1" applyFont="1" applyBorder="1" applyAlignment="1">
      <alignment/>
    </xf>
    <xf numFmtId="189" fontId="88"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8" fillId="0" borderId="0" xfId="0" applyFont="1" applyAlignment="1">
      <alignment/>
    </xf>
    <xf numFmtId="9" fontId="88" fillId="0" borderId="0" xfId="79" applyFont="1" applyAlignment="1">
      <alignment/>
    </xf>
    <xf numFmtId="199" fontId="88" fillId="0" borderId="0" xfId="59" applyNumberFormat="1" applyFont="1" applyAlignment="1">
      <alignment/>
    </xf>
    <xf numFmtId="0" fontId="88"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8" fillId="29" borderId="0" xfId="79" applyFont="1" applyFill="1" applyAlignment="1">
      <alignment/>
    </xf>
    <xf numFmtId="199" fontId="88" fillId="43" borderId="0" xfId="59" applyNumberFormat="1" applyFont="1" applyFill="1" applyAlignment="1">
      <alignment/>
    </xf>
    <xf numFmtId="10" fontId="0" fillId="0" borderId="0" xfId="79" applyNumberFormat="1" applyFont="1" applyAlignment="1">
      <alignment/>
    </xf>
    <xf numFmtId="0" fontId="98" fillId="0" borderId="0" xfId="0" applyFont="1" applyAlignment="1">
      <alignment/>
    </xf>
    <xf numFmtId="2" fontId="89" fillId="0" borderId="13" xfId="0" applyNumberFormat="1" applyFont="1" applyBorder="1" applyAlignment="1">
      <alignment vertical="center"/>
    </xf>
    <xf numFmtId="10" fontId="0" fillId="0" borderId="0" xfId="79" applyNumberFormat="1" applyFont="1" applyAlignment="1">
      <alignment/>
    </xf>
    <xf numFmtId="189" fontId="0" fillId="0" borderId="0" xfId="58" applyNumberFormat="1" applyFont="1" applyAlignment="1">
      <alignment/>
    </xf>
    <xf numFmtId="0" fontId="93"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xf>
    <xf numFmtId="9" fontId="89" fillId="0" borderId="13" xfId="79" applyFont="1" applyBorder="1" applyAlignment="1">
      <alignment horizontal="center" vertical="center"/>
    </xf>
    <xf numFmtId="10" fontId="89" fillId="0" borderId="13" xfId="0" applyNumberFormat="1" applyFont="1" applyBorder="1" applyAlignment="1">
      <alignment vertical="center"/>
    </xf>
    <xf numFmtId="9" fontId="89"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9" fillId="0" borderId="13" xfId="0" applyFont="1" applyBorder="1" applyAlignment="1">
      <alignment horizontal="center" vertical="center" wrapText="1"/>
    </xf>
    <xf numFmtId="9" fontId="89" fillId="0" borderId="13" xfId="0" applyNumberFormat="1"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9" fontId="89" fillId="0" borderId="13" xfId="79" applyFont="1" applyBorder="1" applyAlignment="1">
      <alignment horizontal="center" vertical="center" wrapText="1"/>
    </xf>
    <xf numFmtId="0" fontId="11" fillId="11" borderId="22" xfId="0" applyFont="1" applyFill="1" applyBorder="1" applyAlignment="1">
      <alignment horizontal="center" vertical="center" wrapText="1"/>
    </xf>
    <xf numFmtId="9" fontId="90" fillId="0" borderId="13" xfId="0" applyNumberFormat="1" applyFont="1" applyFill="1" applyBorder="1" applyAlignment="1">
      <alignment vertical="center"/>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89" fillId="0" borderId="13" xfId="0" applyFont="1" applyBorder="1" applyAlignment="1">
      <alignment horizontal="left" vertical="center" wrapText="1"/>
    </xf>
    <xf numFmtId="9" fontId="89" fillId="0" borderId="13" xfId="79" applyFont="1" applyFill="1" applyBorder="1" applyAlignment="1">
      <alignment horizontal="center" vertical="center" wrapText="1"/>
    </xf>
    <xf numFmtId="9" fontId="89" fillId="0" borderId="13" xfId="0" applyNumberFormat="1" applyFont="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9" fillId="0" borderId="13" xfId="79" applyNumberFormat="1" applyFont="1" applyBorder="1" applyAlignment="1">
      <alignment vertical="center" wrapText="1"/>
    </xf>
    <xf numFmtId="9" fontId="89"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3" fillId="38" borderId="13" xfId="79" applyNumberFormat="1" applyFont="1" applyFill="1" applyBorder="1" applyAlignment="1">
      <alignment horizontal="center" vertical="center"/>
    </xf>
    <xf numFmtId="0" fontId="93" fillId="0" borderId="13" xfId="79" applyNumberFormat="1" applyFont="1" applyBorder="1" applyAlignment="1">
      <alignment horizontal="center" vertical="center"/>
    </xf>
    <xf numFmtId="0" fontId="44" fillId="0" borderId="13" xfId="0" applyFont="1" applyBorder="1" applyAlignment="1">
      <alignment vertical="center" wrapText="1"/>
    </xf>
    <xf numFmtId="0" fontId="44" fillId="0" borderId="13" xfId="0" applyFont="1" applyBorder="1" applyAlignment="1">
      <alignment vertical="top" wrapText="1"/>
    </xf>
    <xf numFmtId="0" fontId="44" fillId="38" borderId="13" xfId="0" applyFont="1" applyFill="1" applyBorder="1" applyAlignment="1">
      <alignment vertical="center" wrapText="1"/>
    </xf>
    <xf numFmtId="1" fontId="89"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189" fontId="89" fillId="0" borderId="13" xfId="58" applyNumberFormat="1" applyFont="1" applyBorder="1" applyAlignment="1">
      <alignment horizontal="center" vertical="center"/>
    </xf>
    <xf numFmtId="9" fontId="10" fillId="0" borderId="13" xfId="79" applyFont="1" applyFill="1" applyBorder="1" applyAlignment="1">
      <alignment vertical="center" wrapText="1"/>
    </xf>
    <xf numFmtId="0" fontId="11" fillId="5" borderId="13" xfId="72" applyFont="1" applyFill="1" applyBorder="1" applyAlignment="1">
      <alignment horizontal="center" vertical="center" wrapText="1"/>
      <protection/>
    </xf>
    <xf numFmtId="0" fontId="91" fillId="11" borderId="13" xfId="0" applyFont="1" applyFill="1" applyBorder="1" applyAlignment="1">
      <alignment horizontal="center" vertical="center" wrapText="1"/>
    </xf>
    <xf numFmtId="9" fontId="10" fillId="0" borderId="13" xfId="76" applyNumberFormat="1" applyFont="1" applyBorder="1" applyAlignment="1">
      <alignment horizontal="center" vertical="center"/>
      <protection/>
    </xf>
    <xf numFmtId="0" fontId="10" fillId="0" borderId="13" xfId="79" applyNumberFormat="1" applyFont="1" applyBorder="1" applyAlignment="1">
      <alignment vertical="center" wrapText="1"/>
    </xf>
    <xf numFmtId="0" fontId="89" fillId="0" borderId="13" xfId="79" applyNumberFormat="1" applyFont="1" applyFill="1" applyBorder="1" applyAlignment="1">
      <alignment vertical="center" wrapText="1"/>
    </xf>
    <xf numFmtId="9" fontId="4" fillId="0" borderId="13" xfId="0" applyNumberFormat="1" applyFont="1" applyFill="1" applyBorder="1" applyAlignment="1">
      <alignment vertical="center" wrapText="1"/>
    </xf>
    <xf numFmtId="0" fontId="10" fillId="0" borderId="13" xfId="79" applyNumberFormat="1" applyFont="1" applyFill="1" applyBorder="1" applyAlignment="1">
      <alignment horizontal="center" vertical="center" wrapText="1"/>
    </xf>
    <xf numFmtId="0" fontId="10" fillId="0" borderId="13" xfId="79" applyNumberFormat="1" applyFont="1" applyFill="1" applyBorder="1" applyAlignment="1">
      <alignment horizontal="center" vertical="center"/>
    </xf>
    <xf numFmtId="9" fontId="10" fillId="0" borderId="22" xfId="72" applyNumberFormat="1" applyFont="1" applyFill="1" applyBorder="1" applyAlignment="1">
      <alignment horizontal="center" vertical="center" wrapText="1"/>
      <protection/>
    </xf>
    <xf numFmtId="0" fontId="10" fillId="0" borderId="13" xfId="79" applyNumberFormat="1" applyFont="1" applyFill="1" applyBorder="1" applyAlignment="1">
      <alignment vertical="center" wrapText="1"/>
    </xf>
    <xf numFmtId="0" fontId="10" fillId="0" borderId="13" xfId="0" applyFont="1" applyFill="1" applyBorder="1" applyAlignment="1">
      <alignment vertical="center" wrapText="1"/>
    </xf>
    <xf numFmtId="9" fontId="10" fillId="0" borderId="13" xfId="0" applyNumberFormat="1" applyFont="1" applyBorder="1" applyAlignment="1">
      <alignment vertical="center"/>
    </xf>
    <xf numFmtId="9" fontId="10" fillId="0" borderId="13" xfId="0" applyNumberFormat="1" applyFont="1" applyBorder="1" applyAlignment="1">
      <alignment horizontal="center" vertical="center"/>
    </xf>
    <xf numFmtId="9" fontId="10" fillId="0" borderId="13" xfId="79" applyFont="1" applyBorder="1" applyAlignment="1">
      <alignment horizontal="center" vertical="center"/>
    </xf>
    <xf numFmtId="10" fontId="89" fillId="38" borderId="13" xfId="0" applyNumberFormat="1" applyFont="1" applyFill="1" applyBorder="1" applyAlignment="1">
      <alignment vertical="center"/>
    </xf>
    <xf numFmtId="0" fontId="90" fillId="38" borderId="13" xfId="0" applyFont="1" applyFill="1" applyBorder="1" applyAlignment="1">
      <alignment vertical="center"/>
    </xf>
    <xf numFmtId="9" fontId="10" fillId="38" borderId="13" xfId="79" applyFont="1" applyFill="1" applyBorder="1" applyAlignment="1">
      <alignment vertical="center"/>
    </xf>
    <xf numFmtId="9" fontId="10" fillId="38" borderId="13" xfId="0" applyNumberFormat="1" applyFont="1" applyFill="1" applyBorder="1" applyAlignment="1">
      <alignment vertical="center"/>
    </xf>
    <xf numFmtId="2" fontId="89" fillId="0" borderId="13" xfId="0" applyNumberFormat="1" applyFont="1" applyFill="1" applyBorder="1" applyAlignment="1">
      <alignment vertical="center"/>
    </xf>
    <xf numFmtId="9" fontId="4" fillId="0" borderId="13" xfId="0" applyNumberFormat="1" applyFont="1" applyFill="1" applyBorder="1" applyAlignment="1">
      <alignment horizontal="center" vertical="center" wrapText="1"/>
    </xf>
    <xf numFmtId="0" fontId="0" fillId="0" borderId="0" xfId="0" applyAlignment="1">
      <alignment vertical="center" wrapText="1"/>
    </xf>
    <xf numFmtId="9" fontId="89" fillId="38" borderId="13" xfId="79" applyFont="1" applyFill="1" applyBorder="1" applyAlignment="1">
      <alignment horizontal="left" vertical="center" wrapText="1"/>
    </xf>
    <xf numFmtId="0" fontId="89" fillId="38" borderId="13" xfId="0" applyFont="1" applyFill="1" applyBorder="1" applyAlignment="1">
      <alignment horizontal="left" vertical="center" wrapText="1"/>
    </xf>
    <xf numFmtId="9" fontId="10" fillId="38" borderId="13" xfId="79" applyFont="1" applyFill="1" applyBorder="1" applyAlignment="1">
      <alignment vertical="center" wrapText="1"/>
    </xf>
    <xf numFmtId="0" fontId="27" fillId="0" borderId="13" xfId="79" applyNumberFormat="1" applyFont="1" applyFill="1" applyBorder="1" applyAlignment="1">
      <alignment horizontal="left" vertical="top" wrapText="1"/>
    </xf>
    <xf numFmtId="9" fontId="19" fillId="0" borderId="13" xfId="79" applyFont="1" applyFill="1" applyBorder="1" applyAlignment="1">
      <alignment vertical="center" wrapText="1"/>
    </xf>
    <xf numFmtId="189" fontId="0" fillId="0" borderId="0" xfId="58" applyNumberFormat="1" applyFont="1" applyBorder="1" applyAlignment="1">
      <alignment/>
    </xf>
    <xf numFmtId="189" fontId="88" fillId="2" borderId="13" xfId="58" applyNumberFormat="1" applyFont="1" applyFill="1" applyBorder="1" applyAlignment="1">
      <alignment horizontal="center"/>
    </xf>
    <xf numFmtId="189" fontId="0" fillId="2" borderId="13" xfId="58" applyNumberFormat="1" applyFont="1" applyFill="1" applyBorder="1" applyAlignment="1">
      <alignment/>
    </xf>
    <xf numFmtId="189" fontId="0" fillId="44" borderId="0" xfId="58" applyNumberFormat="1" applyFont="1" applyFill="1" applyBorder="1" applyAlignment="1">
      <alignment/>
    </xf>
    <xf numFmtId="9" fontId="0" fillId="44" borderId="22" xfId="79" applyFont="1" applyFill="1" applyBorder="1" applyAlignment="1">
      <alignment horizontal="center" vertical="center" wrapText="1"/>
    </xf>
    <xf numFmtId="189" fontId="88" fillId="44" borderId="13" xfId="58" applyNumberFormat="1" applyFont="1" applyFill="1" applyBorder="1" applyAlignment="1">
      <alignment horizontal="center"/>
    </xf>
    <xf numFmtId="177" fontId="88" fillId="44" borderId="13" xfId="58" applyFont="1" applyFill="1" applyBorder="1" applyAlignment="1">
      <alignment horizontal="center"/>
    </xf>
    <xf numFmtId="189" fontId="88" fillId="0" borderId="0" xfId="58" applyNumberFormat="1" applyFont="1" applyBorder="1" applyAlignment="1">
      <alignment horizontal="center" vertical="center" wrapText="1"/>
    </xf>
    <xf numFmtId="9" fontId="0" fillId="2" borderId="13" xfId="79" applyFont="1" applyFill="1" applyBorder="1" applyAlignment="1">
      <alignment/>
    </xf>
    <xf numFmtId="9" fontId="0" fillId="0" borderId="13" xfId="79" applyFont="1" applyBorder="1" applyAlignment="1">
      <alignment/>
    </xf>
    <xf numFmtId="9" fontId="0" fillId="0" borderId="0" xfId="0" applyNumberFormat="1" applyAlignment="1">
      <alignment/>
    </xf>
    <xf numFmtId="189" fontId="0" fillId="0" borderId="0" xfId="58" applyNumberFormat="1" applyFont="1" applyAlignment="1">
      <alignment/>
    </xf>
    <xf numFmtId="221" fontId="0" fillId="0" borderId="0" xfId="79" applyNumberFormat="1" applyFont="1" applyAlignment="1">
      <alignment/>
    </xf>
    <xf numFmtId="177" fontId="0" fillId="2" borderId="13" xfId="58" applyNumberFormat="1" applyFont="1" applyFill="1" applyBorder="1" applyAlignment="1">
      <alignment/>
    </xf>
    <xf numFmtId="177" fontId="0" fillId="0" borderId="13" xfId="58" applyNumberFormat="1" applyFont="1" applyBorder="1" applyAlignment="1">
      <alignment horizontal="center"/>
    </xf>
    <xf numFmtId="177" fontId="88" fillId="0" borderId="13" xfId="58" applyNumberFormat="1" applyFont="1" applyBorder="1" applyAlignment="1">
      <alignment horizontal="center"/>
    </xf>
    <xf numFmtId="0" fontId="89" fillId="0" borderId="13" xfId="79" applyNumberFormat="1" applyFont="1" applyBorder="1" applyAlignment="1">
      <alignment vertical="top" wrapText="1"/>
    </xf>
    <xf numFmtId="0" fontId="0" fillId="0" borderId="13" xfId="0" applyBorder="1" applyAlignment="1">
      <alignment vertical="center" wrapText="1"/>
    </xf>
    <xf numFmtId="0" fontId="97" fillId="0" borderId="13" xfId="79" applyNumberFormat="1" applyFont="1" applyFill="1" applyBorder="1" applyAlignment="1">
      <alignment vertical="center" wrapText="1"/>
    </xf>
    <xf numFmtId="0" fontId="10" fillId="38" borderId="13" xfId="79" applyNumberFormat="1" applyFont="1" applyFill="1" applyBorder="1" applyAlignment="1">
      <alignment vertical="center" wrapText="1"/>
    </xf>
    <xf numFmtId="0" fontId="93" fillId="0" borderId="13" xfId="79" applyNumberFormat="1" applyFont="1" applyBorder="1" applyAlignment="1">
      <alignment horizontal="justify" vertical="center" wrapText="1"/>
    </xf>
    <xf numFmtId="0" fontId="89" fillId="0" borderId="17" xfId="79" applyNumberFormat="1" applyFont="1" applyBorder="1" applyAlignment="1">
      <alignment vertical="center" wrapText="1"/>
    </xf>
    <xf numFmtId="0" fontId="89" fillId="0" borderId="13" xfId="79" applyNumberFormat="1" applyFont="1" applyBorder="1" applyAlignment="1">
      <alignment horizontal="justify" vertical="center" wrapText="1"/>
    </xf>
    <xf numFmtId="0" fontId="99" fillId="0" borderId="13" xfId="79" applyNumberFormat="1" applyFont="1" applyFill="1" applyBorder="1" applyAlignment="1">
      <alignment horizontal="left" vertical="center" wrapText="1"/>
    </xf>
    <xf numFmtId="0" fontId="100" fillId="0" borderId="13" xfId="79" applyNumberFormat="1" applyFont="1" applyFill="1" applyBorder="1" applyAlignment="1">
      <alignment horizontal="left" vertical="center" wrapText="1"/>
    </xf>
    <xf numFmtId="0" fontId="100" fillId="0" borderId="13" xfId="0" applyFont="1" applyFill="1" applyBorder="1" applyAlignment="1">
      <alignment vertical="center" wrapText="1"/>
    </xf>
    <xf numFmtId="0" fontId="11" fillId="0" borderId="17" xfId="0" applyFont="1" applyFill="1" applyBorder="1" applyAlignment="1">
      <alignment vertical="center" wrapText="1"/>
    </xf>
    <xf numFmtId="0" fontId="89" fillId="0" borderId="13" xfId="79" applyNumberFormat="1" applyFont="1" applyFill="1" applyBorder="1" applyAlignment="1">
      <alignment vertical="top" wrapText="1"/>
    </xf>
    <xf numFmtId="0" fontId="93" fillId="0" borderId="13" xfId="0" applyFont="1" applyFill="1" applyBorder="1" applyAlignment="1">
      <alignment vertical="center" wrapText="1"/>
    </xf>
    <xf numFmtId="9" fontId="93" fillId="0" borderId="13" xfId="79" applyFont="1" applyFill="1" applyBorder="1" applyAlignment="1">
      <alignment vertical="center" wrapText="1"/>
    </xf>
    <xf numFmtId="0" fontId="93" fillId="0" borderId="13" xfId="0" applyFont="1" applyFill="1" applyBorder="1" applyAlignment="1">
      <alignment horizontal="center" vertical="center"/>
    </xf>
    <xf numFmtId="0" fontId="89" fillId="38" borderId="13" xfId="79" applyNumberFormat="1" applyFont="1" applyFill="1" applyBorder="1" applyAlignment="1">
      <alignment vertical="center" wrapText="1"/>
    </xf>
    <xf numFmtId="0" fontId="10" fillId="38" borderId="13" xfId="79" applyNumberFormat="1" applyFont="1" applyFill="1" applyBorder="1" applyAlignment="1">
      <alignment horizontal="center" vertical="center"/>
    </xf>
    <xf numFmtId="9" fontId="89" fillId="38" borderId="13" xfId="79" applyFont="1" applyFill="1" applyBorder="1" applyAlignment="1">
      <alignment vertical="center" wrapText="1"/>
    </xf>
    <xf numFmtId="0" fontId="93" fillId="38" borderId="13" xfId="79" applyNumberFormat="1" applyFont="1" applyFill="1" applyBorder="1" applyAlignment="1">
      <alignment horizontal="center" vertical="center" wrapText="1"/>
    </xf>
    <xf numFmtId="0" fontId="10" fillId="0" borderId="63" xfId="72" applyFont="1" applyFill="1" applyBorder="1" applyAlignment="1">
      <alignment horizontal="center" vertical="center" wrapText="1"/>
      <protection/>
    </xf>
    <xf numFmtId="0" fontId="10" fillId="0" borderId="64" xfId="72" applyFont="1" applyFill="1" applyBorder="1" applyAlignment="1">
      <alignment horizontal="center" vertical="center" wrapText="1"/>
      <protection/>
    </xf>
    <xf numFmtId="0" fontId="10" fillId="0" borderId="65" xfId="72" applyFont="1" applyFill="1" applyBorder="1" applyAlignment="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65" xfId="72" applyFont="1" applyFill="1" applyBorder="1" applyAlignment="1" applyProtection="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66"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9" fontId="11" fillId="0" borderId="63" xfId="72" applyNumberFormat="1" applyFont="1" applyFill="1" applyBorder="1" applyAlignment="1" applyProtection="1">
      <alignment horizontal="center" vertical="center" wrapText="1"/>
      <protection/>
    </xf>
    <xf numFmtId="9" fontId="11" fillId="0" borderId="65" xfId="72" applyNumberFormat="1" applyFont="1" applyFill="1" applyBorder="1" applyAlignment="1" applyProtection="1">
      <alignment horizontal="center" vertical="center" wrapText="1"/>
      <protection/>
    </xf>
    <xf numFmtId="0" fontId="11" fillId="5" borderId="68"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6"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1" fillId="0" borderId="69" xfId="0" applyFont="1" applyFill="1" applyBorder="1" applyAlignment="1">
      <alignment horizontal="center" vertical="center"/>
    </xf>
    <xf numFmtId="0" fontId="101" fillId="0" borderId="70" xfId="0" applyFont="1" applyFill="1" applyBorder="1" applyAlignment="1">
      <alignment horizontal="center" vertical="center"/>
    </xf>
    <xf numFmtId="0" fontId="101" fillId="0" borderId="71" xfId="0" applyFont="1" applyFill="1" applyBorder="1" applyAlignment="1">
      <alignment horizontal="center" vertical="center"/>
    </xf>
    <xf numFmtId="0" fontId="11" fillId="0" borderId="68"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6"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65" xfId="72" applyFont="1" applyFill="1" applyBorder="1" applyAlignment="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6"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67"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1" fillId="0" borderId="73"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02" fillId="0" borderId="74" xfId="0" applyFont="1" applyBorder="1" applyAlignment="1">
      <alignment horizontal="left" vertical="center" wrapText="1"/>
    </xf>
    <xf numFmtId="0" fontId="102" fillId="0" borderId="38" xfId="0" applyFont="1" applyBorder="1" applyAlignment="1">
      <alignment horizontal="left" vertical="center" wrapText="1"/>
    </xf>
    <xf numFmtId="0" fontId="102" fillId="0" borderId="52" xfId="0" applyFont="1" applyBorder="1" applyAlignment="1">
      <alignment horizontal="left" vertical="center" wrapText="1"/>
    </xf>
    <xf numFmtId="0" fontId="11" fillId="5" borderId="68"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6"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4" fillId="0" borderId="68" xfId="0" applyFont="1" applyFill="1" applyBorder="1" applyAlignment="1">
      <alignment horizontal="center" vertical="center"/>
    </xf>
    <xf numFmtId="0" fontId="94" fillId="0" borderId="27"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29" xfId="0" applyFont="1" applyFill="1" applyBorder="1" applyAlignment="1">
      <alignment horizontal="center" vertical="center"/>
    </xf>
    <xf numFmtId="0" fontId="94" fillId="0" borderId="66" xfId="0" applyFont="1" applyFill="1" applyBorder="1" applyAlignment="1">
      <alignment horizontal="center" vertical="center"/>
    </xf>
    <xf numFmtId="0" fontId="94" fillId="0" borderId="3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2" xfId="0" applyFont="1" applyFill="1" applyBorder="1" applyAlignment="1">
      <alignment horizontal="center" vertical="center"/>
    </xf>
    <xf numFmtId="0" fontId="88" fillId="0" borderId="76"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45" xfId="0" applyFont="1" applyFill="1" applyBorder="1" applyAlignment="1">
      <alignment horizontal="center" vertical="center"/>
    </xf>
    <xf numFmtId="0" fontId="88" fillId="0" borderId="77" xfId="0" applyFont="1" applyFill="1" applyBorder="1" applyAlignment="1">
      <alignment horizontal="center" vertical="center" wrapText="1"/>
    </xf>
    <xf numFmtId="0" fontId="88" fillId="0" borderId="78"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88" fillId="0" borderId="75" xfId="0" applyFont="1" applyFill="1" applyBorder="1" applyAlignment="1">
      <alignment horizontal="center" vertical="center" wrapText="1"/>
    </xf>
    <xf numFmtId="0" fontId="88"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38" borderId="73"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63" xfId="72" applyFont="1" applyFill="1" applyBorder="1" applyAlignment="1">
      <alignment horizontal="center" vertical="center" wrapText="1"/>
      <protection/>
    </xf>
    <xf numFmtId="0" fontId="11" fillId="0" borderId="64" xfId="72" applyFont="1" applyFill="1" applyBorder="1" applyAlignment="1">
      <alignment horizontal="center" vertical="center" wrapText="1"/>
      <protection/>
    </xf>
    <xf numFmtId="0" fontId="11" fillId="0" borderId="65"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1" fillId="5" borderId="63" xfId="72" applyFont="1" applyFill="1" applyBorder="1" applyAlignment="1">
      <alignment horizontal="left" vertical="center" wrapText="1"/>
      <protection/>
    </xf>
    <xf numFmtId="0" fontId="11" fillId="5" borderId="65" xfId="72" applyFont="1" applyFill="1" applyBorder="1" applyAlignment="1">
      <alignment horizontal="left" vertical="center" wrapText="1"/>
      <protection/>
    </xf>
    <xf numFmtId="0" fontId="10" fillId="0" borderId="63" xfId="72"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9"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80"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9" fontId="11" fillId="0" borderId="63" xfId="79" applyFont="1" applyFill="1" applyBorder="1" applyAlignment="1" applyProtection="1">
      <alignment horizontal="center" vertical="center" wrapText="1"/>
      <protection/>
    </xf>
    <xf numFmtId="9" fontId="11" fillId="0" borderId="65" xfId="79" applyFont="1" applyFill="1" applyBorder="1" applyAlignment="1" applyProtection="1">
      <alignment horizontal="center" vertical="center" wrapText="1"/>
      <protection/>
    </xf>
    <xf numFmtId="3" fontId="11" fillId="0" borderId="79"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90" fillId="0" borderId="13" xfId="72" applyFont="1" applyFill="1" applyBorder="1" applyAlignment="1" applyProtection="1">
      <alignment horizontal="left" vertical="center" wrapText="1"/>
      <protection/>
    </xf>
    <xf numFmtId="0" fontId="90" fillId="0" borderId="21" xfId="72" applyFont="1" applyFill="1" applyBorder="1" applyAlignment="1" applyProtection="1">
      <alignment horizontal="left" vertical="center" wrapText="1"/>
      <protection/>
    </xf>
    <xf numFmtId="0" fontId="10" fillId="5" borderId="13"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0" borderId="37"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90" fillId="0" borderId="79" xfId="81" applyFont="1" applyFill="1" applyBorder="1" applyAlignment="1" applyProtection="1">
      <alignment horizontal="center" vertical="center" wrapText="1"/>
      <protection/>
    </xf>
    <xf numFmtId="9" fontId="90" fillId="0" borderId="41" xfId="81" applyFont="1" applyFill="1" applyBorder="1" applyAlignment="1" applyProtection="1">
      <alignment horizontal="center" vertical="center" wrapText="1"/>
      <protection/>
    </xf>
    <xf numFmtId="9" fontId="90" fillId="0" borderId="42" xfId="81" applyFont="1" applyFill="1" applyBorder="1" applyAlignment="1" applyProtection="1">
      <alignment horizontal="center" vertical="center" wrapText="1"/>
      <protection/>
    </xf>
    <xf numFmtId="9" fontId="90" fillId="0" borderId="58" xfId="81" applyFont="1" applyFill="1" applyBorder="1" applyAlignment="1" applyProtection="1">
      <alignment horizontal="center" vertical="center" wrapText="1"/>
      <protection/>
    </xf>
    <xf numFmtId="9" fontId="90" fillId="0" borderId="34" xfId="81" applyFont="1" applyFill="1" applyBorder="1" applyAlignment="1" applyProtection="1">
      <alignment horizontal="center" vertical="center" wrapText="1"/>
      <protection/>
    </xf>
    <xf numFmtId="9" fontId="90" fillId="0" borderId="82" xfId="81" applyFont="1" applyFill="1" applyBorder="1" applyAlignment="1" applyProtection="1">
      <alignment horizontal="center" vertical="center" wrapText="1"/>
      <protection/>
    </xf>
    <xf numFmtId="9" fontId="90" fillId="0" borderId="83" xfId="81" applyFont="1" applyFill="1" applyBorder="1" applyAlignment="1" applyProtection="1">
      <alignment horizontal="center" vertical="center" wrapText="1"/>
      <protection/>
    </xf>
    <xf numFmtId="9" fontId="90" fillId="0" borderId="35" xfId="81"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72"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9" fontId="90" fillId="0" borderId="79" xfId="72" applyNumberFormat="1" applyFont="1" applyFill="1" applyBorder="1" applyAlignment="1" applyProtection="1">
      <alignment horizontal="left" vertical="center" wrapText="1"/>
      <protection/>
    </xf>
    <xf numFmtId="9" fontId="90" fillId="0" borderId="41" xfId="72" applyNumberFormat="1" applyFont="1" applyFill="1" applyBorder="1" applyAlignment="1" applyProtection="1">
      <alignment horizontal="left" vertical="center" wrapText="1"/>
      <protection/>
    </xf>
    <xf numFmtId="9" fontId="90" fillId="0" borderId="83" xfId="72" applyNumberFormat="1" applyFont="1" applyFill="1" applyBorder="1" applyAlignment="1" applyProtection="1">
      <alignment horizontal="left" vertical="center" wrapText="1"/>
      <protection/>
    </xf>
    <xf numFmtId="9" fontId="90" fillId="0" borderId="85" xfId="72" applyNumberFormat="1" applyFont="1" applyFill="1" applyBorder="1" applyAlignment="1" applyProtection="1">
      <alignment horizontal="left" vertical="center" wrapText="1"/>
      <protection/>
    </xf>
    <xf numFmtId="9" fontId="90" fillId="0" borderId="0" xfId="72" applyNumberFormat="1" applyFont="1" applyFill="1" applyBorder="1" applyAlignment="1" applyProtection="1">
      <alignment horizontal="left" vertical="center" wrapText="1"/>
      <protection/>
    </xf>
    <xf numFmtId="9" fontId="90" fillId="0" borderId="29"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vertical="center" wrapText="1"/>
      <protection/>
    </xf>
    <xf numFmtId="0" fontId="0" fillId="0" borderId="81"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90" fillId="0" borderId="79" xfId="72" applyNumberFormat="1" applyFont="1" applyFill="1" applyBorder="1" applyAlignment="1" applyProtection="1">
      <alignment horizontal="center" vertical="center" wrapText="1"/>
      <protection/>
    </xf>
    <xf numFmtId="9" fontId="90" fillId="0" borderId="41" xfId="72" applyNumberFormat="1" applyFont="1" applyFill="1" applyBorder="1" applyAlignment="1" applyProtection="1">
      <alignment horizontal="center" vertical="center" wrapText="1"/>
      <protection/>
    </xf>
    <xf numFmtId="9" fontId="90" fillId="0" borderId="83" xfId="72" applyNumberFormat="1" applyFont="1" applyFill="1" applyBorder="1" applyAlignment="1" applyProtection="1">
      <alignment horizontal="center" vertical="center" wrapText="1"/>
      <protection/>
    </xf>
    <xf numFmtId="9" fontId="90" fillId="0" borderId="58" xfId="72" applyNumberFormat="1" applyFont="1" applyFill="1" applyBorder="1" applyAlignment="1" applyProtection="1">
      <alignment horizontal="center" vertical="center" wrapText="1"/>
      <protection/>
    </xf>
    <xf numFmtId="9" fontId="90" fillId="0" borderId="34" xfId="72" applyNumberFormat="1" applyFont="1" applyFill="1" applyBorder="1" applyAlignment="1" applyProtection="1">
      <alignment horizontal="center" vertical="center" wrapText="1"/>
      <protection/>
    </xf>
    <xf numFmtId="9" fontId="90" fillId="0" borderId="35" xfId="72" applyNumberFormat="1" applyFont="1" applyFill="1" applyBorder="1" applyAlignment="1" applyProtection="1">
      <alignment horizontal="center" vertical="center" wrapText="1"/>
      <protection/>
    </xf>
    <xf numFmtId="9" fontId="90" fillId="0" borderId="85" xfId="72" applyNumberFormat="1" applyFont="1" applyFill="1" applyBorder="1" applyAlignment="1" applyProtection="1">
      <alignment horizontal="center" vertical="center" wrapText="1"/>
      <protection/>
    </xf>
    <xf numFmtId="9" fontId="90" fillId="0" borderId="0" xfId="72" applyNumberFormat="1" applyFont="1" applyFill="1" applyBorder="1" applyAlignment="1" applyProtection="1">
      <alignment horizontal="center" vertical="center" wrapText="1"/>
      <protection/>
    </xf>
    <xf numFmtId="9" fontId="90"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7"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4" xfId="66" applyNumberFormat="1" applyFont="1" applyFill="1" applyBorder="1" applyAlignment="1" applyProtection="1">
      <alignment horizontal="center" vertical="center" wrapText="1"/>
      <protection/>
    </xf>
    <xf numFmtId="0" fontId="11" fillId="38" borderId="76" xfId="72" applyFont="1" applyFill="1" applyBorder="1" applyAlignment="1" applyProtection="1">
      <alignment horizontal="center" vertical="center" wrapText="1"/>
      <protection/>
    </xf>
    <xf numFmtId="0" fontId="11" fillId="38" borderId="8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0" fillId="0" borderId="70" xfId="72" applyFont="1" applyFill="1" applyBorder="1" applyAlignment="1" applyProtection="1">
      <alignment horizontal="center" vertical="center" wrapText="1"/>
      <protection/>
    </xf>
    <xf numFmtId="0" fontId="10" fillId="0" borderId="71"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91" fillId="0" borderId="74" xfId="0" applyFont="1" applyBorder="1" applyAlignment="1">
      <alignment horizontal="left" vertical="center" wrapText="1"/>
    </xf>
    <xf numFmtId="0" fontId="91" fillId="0" borderId="38" xfId="0" applyFont="1" applyBorder="1" applyAlignment="1">
      <alignment horizontal="left" vertical="center" wrapText="1"/>
    </xf>
    <xf numFmtId="0" fontId="91" fillId="0" borderId="52" xfId="0" applyFont="1" applyBorder="1" applyAlignment="1">
      <alignment horizontal="left" vertical="center" wrapText="1"/>
    </xf>
    <xf numFmtId="0" fontId="11" fillId="5" borderId="68"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6"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1" fillId="39" borderId="28" xfId="72" applyFont="1" applyFill="1" applyBorder="1" applyAlignment="1" applyProtection="1">
      <alignment horizontal="center" vertical="center" wrapText="1"/>
      <protection/>
    </xf>
    <xf numFmtId="0" fontId="11" fillId="38" borderId="0"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4" fillId="0" borderId="69" xfId="0" applyFont="1" applyFill="1" applyBorder="1" applyAlignment="1">
      <alignment horizontal="center" vertical="center"/>
    </xf>
    <xf numFmtId="0" fontId="94" fillId="0" borderId="71"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6"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68"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4" fillId="0" borderId="63" xfId="72" applyFont="1" applyFill="1" applyBorder="1" applyAlignment="1">
      <alignment horizontal="center" vertical="center" wrapText="1"/>
      <protection/>
    </xf>
    <xf numFmtId="0" fontId="14" fillId="0" borderId="64" xfId="72" applyFont="1" applyFill="1" applyBorder="1" applyAlignment="1">
      <alignment horizontal="center" vertical="center" wrapText="1"/>
      <protection/>
    </xf>
    <xf numFmtId="0" fontId="14" fillId="0" borderId="65" xfId="72" applyFont="1" applyFill="1" applyBorder="1" applyAlignment="1">
      <alignment horizontal="center" vertical="center" wrapText="1"/>
      <protection/>
    </xf>
    <xf numFmtId="0" fontId="91" fillId="11" borderId="22" xfId="0" applyFont="1" applyFill="1" applyBorder="1" applyAlignment="1">
      <alignment horizontal="center" vertical="center" wrapText="1"/>
    </xf>
    <xf numFmtId="0" fontId="91" fillId="11" borderId="54" xfId="0" applyFont="1" applyFill="1" applyBorder="1" applyAlignment="1">
      <alignment horizontal="center" vertical="center" wrapText="1"/>
    </xf>
    <xf numFmtId="0" fontId="91" fillId="11" borderId="16" xfId="0" applyFont="1" applyFill="1" applyBorder="1" applyAlignment="1">
      <alignment horizontal="center" vertical="center" wrapText="1"/>
    </xf>
    <xf numFmtId="0" fontId="91" fillId="11" borderId="14" xfId="0" applyFont="1" applyFill="1" applyBorder="1" applyAlignment="1">
      <alignment horizontal="center" vertical="center"/>
    </xf>
    <xf numFmtId="0" fontId="91" fillId="11" borderId="80" xfId="0" applyFont="1" applyFill="1" applyBorder="1" applyAlignment="1">
      <alignment horizontal="center" vertical="center"/>
    </xf>
    <xf numFmtId="0" fontId="91" fillId="11" borderId="17" xfId="0" applyFont="1" applyFill="1" applyBorder="1" applyAlignment="1">
      <alignment horizontal="center" vertical="center"/>
    </xf>
    <xf numFmtId="0" fontId="91" fillId="11" borderId="13" xfId="0" applyFont="1" applyFill="1" applyBorder="1" applyAlignment="1">
      <alignment horizontal="center" vertical="center"/>
    </xf>
    <xf numFmtId="0" fontId="103" fillId="0" borderId="13" xfId="0" applyFont="1" applyFill="1" applyBorder="1" applyAlignment="1">
      <alignment horizontal="center" vertical="center"/>
    </xf>
    <xf numFmtId="0" fontId="91" fillId="11" borderId="79" xfId="0" applyFont="1" applyFill="1" applyBorder="1" applyAlignment="1">
      <alignment horizontal="center" vertical="center"/>
    </xf>
    <xf numFmtId="0" fontId="91" fillId="11" borderId="42" xfId="0" applyFont="1" applyFill="1" applyBorder="1" applyAlignment="1">
      <alignment horizontal="center" vertical="center"/>
    </xf>
    <xf numFmtId="0" fontId="91" fillId="11" borderId="85" xfId="0" applyFont="1" applyFill="1" applyBorder="1" applyAlignment="1">
      <alignment horizontal="center" vertical="center"/>
    </xf>
    <xf numFmtId="0" fontId="91" fillId="11" borderId="43" xfId="0" applyFont="1" applyFill="1" applyBorder="1" applyAlignment="1">
      <alignment horizontal="center" vertical="center"/>
    </xf>
    <xf numFmtId="0" fontId="91" fillId="11" borderId="39" xfId="0" applyFont="1" applyFill="1" applyBorder="1" applyAlignment="1">
      <alignment horizontal="center" vertical="center"/>
    </xf>
    <xf numFmtId="0" fontId="91" fillId="11" borderId="44" xfId="0" applyFont="1" applyFill="1" applyBorder="1" applyAlignment="1">
      <alignment horizontal="center" vertical="center"/>
    </xf>
    <xf numFmtId="0" fontId="91" fillId="0" borderId="13" xfId="0" applyFont="1" applyFill="1" applyBorder="1" applyAlignment="1">
      <alignment horizontal="center" vertical="center" wrapText="1"/>
    </xf>
    <xf numFmtId="0" fontId="91" fillId="11" borderId="14" xfId="0" applyFont="1" applyFill="1" applyBorder="1" applyAlignment="1">
      <alignment horizontal="left" vertical="center"/>
    </xf>
    <xf numFmtId="0" fontId="91" fillId="11" borderId="80" xfId="0" applyFont="1" applyFill="1" applyBorder="1" applyAlignment="1">
      <alignment horizontal="left" vertical="center"/>
    </xf>
    <xf numFmtId="0" fontId="91" fillId="11" borderId="17" xfId="0" applyFont="1" applyFill="1" applyBorder="1" applyAlignment="1">
      <alignment horizontal="left" vertical="center"/>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80" xfId="0" applyFont="1" applyBorder="1" applyAlignment="1">
      <alignment horizontal="center" vertical="center"/>
    </xf>
    <xf numFmtId="0" fontId="89" fillId="0" borderId="17" xfId="0" applyFont="1" applyBorder="1" applyAlignment="1">
      <alignment horizontal="center" vertical="center"/>
    </xf>
    <xf numFmtId="0" fontId="89" fillId="0" borderId="14" xfId="0" applyFont="1" applyBorder="1" applyAlignment="1">
      <alignment horizontal="center" vertical="center"/>
    </xf>
    <xf numFmtId="0" fontId="11" fillId="41" borderId="13" xfId="72" applyFont="1" applyFill="1" applyBorder="1" applyAlignment="1">
      <alignment horizontal="center" vertical="center" wrapText="1"/>
      <protection/>
    </xf>
    <xf numFmtId="0" fontId="11" fillId="38" borderId="13" xfId="72" applyFont="1" applyFill="1" applyBorder="1" applyAlignment="1">
      <alignment horizontal="left" vertical="center" wrapText="1"/>
      <protection/>
    </xf>
    <xf numFmtId="0" fontId="91" fillId="11" borderId="41" xfId="0" applyFont="1" applyFill="1" applyBorder="1" applyAlignment="1">
      <alignment horizontal="center" vertical="center"/>
    </xf>
    <xf numFmtId="0" fontId="91" fillId="11" borderId="0" xfId="0" applyFont="1" applyFill="1" applyBorder="1" applyAlignment="1">
      <alignment horizontal="center" vertical="center"/>
    </xf>
    <xf numFmtId="0" fontId="91" fillId="11" borderId="15" xfId="0" applyFont="1" applyFill="1" applyBorder="1" applyAlignment="1">
      <alignment horizontal="center" vertical="center"/>
    </xf>
    <xf numFmtId="0" fontId="91" fillId="41" borderId="13" xfId="72" applyFont="1" applyFill="1" applyBorder="1" applyAlignment="1">
      <alignment horizontal="center" vertical="center" wrapText="1"/>
      <protection/>
    </xf>
    <xf numFmtId="0" fontId="89" fillId="0" borderId="14" xfId="0" applyFont="1" applyBorder="1" applyAlignment="1">
      <alignment horizontal="left" vertical="center"/>
    </xf>
    <xf numFmtId="0" fontId="89" fillId="0" borderId="80" xfId="0" applyFont="1" applyBorder="1" applyAlignment="1">
      <alignment horizontal="left" vertical="center"/>
    </xf>
    <xf numFmtId="0" fontId="89" fillId="0" borderId="17" xfId="0" applyFont="1" applyBorder="1" applyAlignment="1">
      <alignment horizontal="left" vertical="center"/>
    </xf>
    <xf numFmtId="0" fontId="91" fillId="11" borderId="14" xfId="0" applyFont="1" applyFill="1" applyBorder="1" applyAlignment="1">
      <alignment horizontal="center" vertical="center" wrapText="1"/>
    </xf>
    <xf numFmtId="0" fontId="91" fillId="11" borderId="80" xfId="0" applyFont="1" applyFill="1" applyBorder="1" applyAlignment="1">
      <alignment horizontal="center" vertical="center" wrapText="1"/>
    </xf>
    <xf numFmtId="0" fontId="91"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1" fillId="0" borderId="13" xfId="0" applyFont="1" applyBorder="1" applyAlignment="1">
      <alignment horizontal="left" vertical="center" wrapText="1"/>
    </xf>
    <xf numFmtId="0" fontId="91" fillId="0" borderId="39" xfId="0" applyFont="1" applyBorder="1" applyAlignment="1">
      <alignment horizontal="center" vertical="center"/>
    </xf>
    <xf numFmtId="0" fontId="91" fillId="0" borderId="15" xfId="0" applyFont="1" applyBorder="1" applyAlignment="1">
      <alignment horizontal="center" vertical="center"/>
    </xf>
    <xf numFmtId="0" fontId="91" fillId="0" borderId="44" xfId="0" applyFont="1" applyBorder="1" applyAlignment="1">
      <alignment horizontal="center" vertical="center"/>
    </xf>
    <xf numFmtId="0" fontId="91" fillId="11" borderId="39" xfId="0" applyFont="1" applyFill="1" applyBorder="1" applyAlignment="1">
      <alignment horizontal="left" vertical="center"/>
    </xf>
    <xf numFmtId="0" fontId="91" fillId="11" borderId="15" xfId="0" applyFont="1" applyFill="1" applyBorder="1" applyAlignment="1">
      <alignment horizontal="left" vertical="center"/>
    </xf>
    <xf numFmtId="0" fontId="91" fillId="11" borderId="44" xfId="0" applyFont="1" applyFill="1" applyBorder="1" applyAlignment="1">
      <alignment horizontal="left" vertical="center"/>
    </xf>
    <xf numFmtId="0" fontId="91" fillId="0" borderId="14" xfId="0" applyFont="1" applyFill="1" applyBorder="1" applyAlignment="1">
      <alignment horizontal="center" vertical="center"/>
    </xf>
    <xf numFmtId="0" fontId="91" fillId="0" borderId="80"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79" xfId="0" applyFont="1" applyBorder="1" applyAlignment="1">
      <alignment horizontal="center" vertical="center"/>
    </xf>
    <xf numFmtId="0" fontId="91" fillId="0" borderId="41" xfId="0" applyFont="1" applyBorder="1" applyAlignment="1">
      <alignment horizontal="center" vertical="center"/>
    </xf>
    <xf numFmtId="0" fontId="91"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8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91" fillId="0" borderId="79" xfId="0" applyFont="1" applyBorder="1" applyAlignment="1">
      <alignment vertical="center" wrapText="1"/>
    </xf>
    <xf numFmtId="0" fontId="91" fillId="0" borderId="41" xfId="0" applyFont="1" applyBorder="1" applyAlignment="1">
      <alignment vertical="center" wrapText="1"/>
    </xf>
    <xf numFmtId="0" fontId="91" fillId="0" borderId="42" xfId="0" applyFont="1" applyBorder="1" applyAlignment="1">
      <alignment vertical="center" wrapText="1"/>
    </xf>
    <xf numFmtId="0" fontId="9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1" fillId="17" borderId="14" xfId="0" applyFont="1" applyFill="1" applyBorder="1" applyAlignment="1">
      <alignment horizontal="center" vertical="center"/>
    </xf>
    <xf numFmtId="0" fontId="91" fillId="17" borderId="17" xfId="0" applyFont="1" applyFill="1" applyBorder="1" applyAlignment="1">
      <alignment horizontal="center" vertical="center"/>
    </xf>
    <xf numFmtId="0" fontId="91" fillId="0" borderId="14" xfId="0" applyFont="1" applyFill="1" applyBorder="1" applyAlignment="1">
      <alignment horizontal="left" vertical="center" wrapText="1"/>
    </xf>
    <xf numFmtId="0" fontId="91" fillId="0" borderId="17" xfId="0" applyFont="1" applyFill="1" applyBorder="1" applyAlignment="1">
      <alignment horizontal="left" vertical="center" wrapText="1"/>
    </xf>
    <xf numFmtId="0" fontId="89" fillId="0" borderId="22" xfId="0" applyFont="1" applyFill="1" applyBorder="1" applyAlignment="1">
      <alignment horizontal="left" vertical="center" wrapText="1"/>
    </xf>
    <xf numFmtId="0" fontId="89" fillId="0" borderId="54" xfId="0" applyFont="1" applyFill="1" applyBorder="1" applyAlignment="1">
      <alignment horizontal="left" vertical="center" wrapText="1"/>
    </xf>
    <xf numFmtId="0" fontId="89" fillId="0" borderId="16" xfId="0" applyFont="1" applyFill="1" applyBorder="1" applyAlignment="1">
      <alignment horizontal="left" vertical="center" wrapText="1"/>
    </xf>
    <xf numFmtId="41" fontId="89" fillId="0" borderId="79" xfId="60" applyFont="1" applyFill="1" applyBorder="1" applyAlignment="1">
      <alignment horizontal="left" vertical="center"/>
    </xf>
    <xf numFmtId="41" fontId="89" fillId="0" borderId="85" xfId="60" applyFont="1" applyFill="1" applyBorder="1" applyAlignment="1">
      <alignment horizontal="left" vertical="center"/>
    </xf>
    <xf numFmtId="41" fontId="89" fillId="0" borderId="39" xfId="60" applyFont="1" applyFill="1" applyBorder="1" applyAlignment="1">
      <alignment horizontal="left" vertical="center"/>
    </xf>
    <xf numFmtId="189" fontId="88" fillId="0" borderId="13" xfId="58" applyNumberFormat="1" applyFont="1" applyBorder="1" applyAlignment="1">
      <alignment horizontal="center" vertical="center"/>
    </xf>
    <xf numFmtId="189" fontId="88" fillId="0" borderId="14" xfId="58" applyNumberFormat="1" applyFont="1" applyBorder="1" applyAlignment="1">
      <alignment horizontal="center" vertical="center"/>
    </xf>
    <xf numFmtId="189" fontId="88" fillId="0" borderId="80" xfId="58" applyNumberFormat="1" applyFont="1" applyBorder="1" applyAlignment="1">
      <alignment horizontal="center" vertical="center"/>
    </xf>
    <xf numFmtId="189" fontId="88" fillId="0" borderId="17" xfId="58" applyNumberFormat="1" applyFont="1" applyBorder="1" applyAlignment="1">
      <alignment horizontal="center" vertical="center"/>
    </xf>
    <xf numFmtId="189" fontId="88" fillId="0" borderId="13" xfId="58" applyNumberFormat="1" applyFont="1" applyBorder="1" applyAlignment="1">
      <alignment horizontal="center" vertical="center" wrapText="1"/>
    </xf>
    <xf numFmtId="2" fontId="10" fillId="0" borderId="37" xfId="72" applyNumberFormat="1" applyFont="1" applyBorder="1" applyAlignment="1">
      <alignment vertical="center" wrapText="1"/>
      <protection/>
    </xf>
    <xf numFmtId="2" fontId="10" fillId="0" borderId="51" xfId="72" applyNumberFormat="1" applyFont="1" applyBorder="1" applyAlignment="1">
      <alignment vertical="center" wrapText="1"/>
      <protection/>
    </xf>
    <xf numFmtId="9" fontId="10" fillId="0" borderId="22"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2" fontId="10" fillId="0" borderId="81" xfId="72" applyNumberFormat="1" applyFont="1" applyBorder="1" applyAlignment="1">
      <alignment vertical="center" wrapText="1"/>
      <protection/>
    </xf>
    <xf numFmtId="9" fontId="10" fillId="0" borderId="57" xfId="79" applyFont="1" applyFill="1" applyBorder="1" applyAlignment="1" applyProtection="1">
      <alignment horizontal="center" vertical="center" wrapText="1"/>
      <protection/>
    </xf>
    <xf numFmtId="9" fontId="10" fillId="0" borderId="79"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83" xfId="72" applyNumberFormat="1" applyFont="1" applyBorder="1" applyAlignment="1">
      <alignment horizontal="left" vertical="center" wrapText="1"/>
      <protection/>
    </xf>
    <xf numFmtId="9" fontId="10" fillId="0" borderId="85" xfId="72" applyNumberFormat="1" applyFont="1" applyBorder="1" applyAlignment="1">
      <alignment horizontal="left" vertical="center" wrapText="1"/>
      <protection/>
    </xf>
    <xf numFmtId="9" fontId="10" fillId="0" borderId="0" xfId="72" applyNumberFormat="1" applyFont="1" applyBorder="1" applyAlignment="1">
      <alignment horizontal="left" vertical="center" wrapText="1"/>
      <protection/>
    </xf>
    <xf numFmtId="9" fontId="10" fillId="0" borderId="29" xfId="72" applyNumberFormat="1" applyFont="1" applyBorder="1" applyAlignment="1">
      <alignment horizontal="left" vertical="center" wrapText="1"/>
      <protection/>
    </xf>
    <xf numFmtId="0" fontId="11" fillId="5" borderId="87" xfId="72" applyFont="1" applyFill="1" applyBorder="1" applyAlignment="1">
      <alignment horizontal="center" vertical="center" wrapText="1"/>
      <protection/>
    </xf>
    <xf numFmtId="0" fontId="11" fillId="5" borderId="51" xfId="72" applyFont="1" applyFill="1" applyBorder="1" applyAlignment="1">
      <alignment horizontal="center" vertical="center" wrapText="1"/>
      <protection/>
    </xf>
    <xf numFmtId="0" fontId="11" fillId="5" borderId="84"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80"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9" fontId="10" fillId="38" borderId="14" xfId="72" applyNumberFormat="1" applyFont="1" applyFill="1" applyBorder="1" applyAlignment="1">
      <alignment horizontal="left" vertical="center" wrapText="1"/>
      <protection/>
    </xf>
    <xf numFmtId="9" fontId="10" fillId="38" borderId="80" xfId="72" applyNumberFormat="1" applyFont="1" applyFill="1" applyBorder="1" applyAlignment="1">
      <alignment horizontal="left" vertical="center" wrapText="1"/>
      <protection/>
    </xf>
    <xf numFmtId="9" fontId="10" fillId="38" borderId="17" xfId="72" applyNumberFormat="1" applyFont="1" applyFill="1" applyBorder="1" applyAlignment="1">
      <alignment horizontal="left" vertical="center" wrapText="1"/>
      <protection/>
    </xf>
    <xf numFmtId="0" fontId="11" fillId="5" borderId="39" xfId="72" applyFont="1" applyFill="1" applyBorder="1" applyAlignment="1">
      <alignment horizontal="center" vertical="center" wrapText="1"/>
      <protection/>
    </xf>
    <xf numFmtId="0" fontId="11" fillId="5" borderId="15"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81"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79" xfId="81" applyFont="1" applyFill="1" applyBorder="1" applyAlignment="1" applyProtection="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82" xfId="81" applyFont="1" applyFill="1" applyBorder="1" applyAlignment="1" applyProtection="1">
      <alignment horizontal="left" vertical="center" wrapText="1"/>
      <protection/>
    </xf>
    <xf numFmtId="9" fontId="10" fillId="38" borderId="79" xfId="81" applyFont="1" applyFill="1" applyBorder="1" applyAlignment="1" applyProtection="1">
      <alignment horizontal="left" vertical="top" wrapText="1"/>
      <protection/>
    </xf>
    <xf numFmtId="9" fontId="10" fillId="38" borderId="41" xfId="81" applyFont="1" applyFill="1" applyBorder="1" applyAlignment="1" applyProtection="1">
      <alignment horizontal="left" vertical="top" wrapText="1"/>
      <protection/>
    </xf>
    <xf numFmtId="9" fontId="10" fillId="38" borderId="42" xfId="81" applyFont="1" applyFill="1" applyBorder="1" applyAlignment="1" applyProtection="1">
      <alignment horizontal="left" vertical="top" wrapText="1"/>
      <protection/>
    </xf>
    <xf numFmtId="9" fontId="10" fillId="38" borderId="58" xfId="81" applyFont="1" applyFill="1" applyBorder="1" applyAlignment="1" applyProtection="1">
      <alignment horizontal="left" vertical="top" wrapText="1"/>
      <protection/>
    </xf>
    <xf numFmtId="9" fontId="10" fillId="38" borderId="34" xfId="81" applyFont="1" applyFill="1" applyBorder="1" applyAlignment="1" applyProtection="1">
      <alignment horizontal="left" vertical="top" wrapText="1"/>
      <protection/>
    </xf>
    <xf numFmtId="9" fontId="10" fillId="38" borderId="82" xfId="81" applyFont="1" applyFill="1" applyBorder="1" applyAlignment="1" applyProtection="1">
      <alignment horizontal="left" vertical="top" wrapText="1"/>
      <protection/>
    </xf>
    <xf numFmtId="9" fontId="10" fillId="0" borderId="79"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38" borderId="83"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3" fontId="11" fillId="0" borderId="79"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90" fillId="0" borderId="13" xfId="72" applyFont="1" applyBorder="1" applyAlignment="1">
      <alignment horizontal="left" vertical="center" wrapText="1"/>
      <protection/>
    </xf>
    <xf numFmtId="0" fontId="90" fillId="0" borderId="21" xfId="72" applyFont="1" applyBorder="1" applyAlignment="1">
      <alignment horizontal="left" vertical="center" wrapText="1"/>
      <protection/>
    </xf>
    <xf numFmtId="0" fontId="11" fillId="0" borderId="67"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73" xfId="72" applyFont="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0" fillId="5" borderId="13"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38" borderId="73"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79"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0" borderId="63" xfId="72" applyFont="1" applyBorder="1" applyAlignment="1">
      <alignment horizontal="center" vertical="center" wrapText="1"/>
      <protection/>
    </xf>
    <xf numFmtId="0" fontId="11" fillId="0" borderId="64" xfId="72" applyFont="1" applyBorder="1" applyAlignment="1">
      <alignment horizontal="center" vertical="center" wrapText="1"/>
      <protection/>
    </xf>
    <xf numFmtId="0" fontId="11" fillId="0" borderId="65"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63" xfId="72" applyFont="1" applyBorder="1" applyAlignment="1">
      <alignment horizontal="center" vertical="center" wrapText="1"/>
      <protection/>
    </xf>
    <xf numFmtId="0" fontId="10" fillId="0" borderId="64" xfId="72" applyFont="1" applyBorder="1" applyAlignment="1">
      <alignment horizontal="center" vertical="center" wrapText="1"/>
      <protection/>
    </xf>
    <xf numFmtId="0" fontId="10" fillId="0" borderId="65" xfId="72" applyFont="1" applyBorder="1" applyAlignment="1">
      <alignment horizontal="center" vertical="center" wrapText="1"/>
      <protection/>
    </xf>
    <xf numFmtId="9" fontId="11" fillId="0" borderId="63" xfId="72" applyNumberFormat="1" applyFont="1" applyBorder="1" applyAlignment="1">
      <alignment horizontal="center" vertical="center" wrapText="1"/>
      <protection/>
    </xf>
    <xf numFmtId="9" fontId="11" fillId="0" borderId="65" xfId="72" applyNumberFormat="1" applyFont="1" applyBorder="1" applyAlignment="1">
      <alignment horizontal="center" vertical="center" wrapText="1"/>
      <protection/>
    </xf>
    <xf numFmtId="0" fontId="11" fillId="0" borderId="68"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66"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1" fillId="0" borderId="69" xfId="0" applyFont="1" applyBorder="1" applyAlignment="1">
      <alignment horizontal="center" vertical="center"/>
    </xf>
    <xf numFmtId="0" fontId="101" fillId="0" borderId="70" xfId="0" applyFont="1" applyBorder="1" applyAlignment="1">
      <alignment horizontal="center" vertical="center"/>
    </xf>
    <xf numFmtId="0" fontId="101" fillId="0" borderId="71" xfId="0" applyFont="1" applyBorder="1" applyAlignment="1">
      <alignment horizontal="center" vertical="center"/>
    </xf>
    <xf numFmtId="0" fontId="11" fillId="5" borderId="0" xfId="72" applyFont="1" applyFill="1" applyAlignment="1">
      <alignment horizontal="left"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0" fillId="0" borderId="75" xfId="0" applyBorder="1" applyAlignment="1">
      <alignment horizontal="center" vertical="center"/>
    </xf>
    <xf numFmtId="0" fontId="0" fillId="0" borderId="62" xfId="0" applyBorder="1" applyAlignment="1">
      <alignment horizontal="center" vertical="center"/>
    </xf>
    <xf numFmtId="0" fontId="88" fillId="0" borderId="76" xfId="0" applyFont="1" applyBorder="1" applyAlignment="1">
      <alignment horizontal="center" vertical="center" wrapText="1"/>
    </xf>
    <xf numFmtId="0" fontId="88" fillId="0" borderId="45" xfId="0" applyFont="1" applyBorder="1" applyAlignment="1">
      <alignment horizontal="center" vertical="center" wrapText="1"/>
    </xf>
    <xf numFmtId="0" fontId="0" fillId="0" borderId="76" xfId="0" applyBorder="1" applyAlignment="1">
      <alignment horizontal="center" vertical="center"/>
    </xf>
    <xf numFmtId="0" fontId="0" fillId="0" borderId="45" xfId="0" applyBorder="1" applyAlignment="1">
      <alignment horizontal="center" vertical="center"/>
    </xf>
    <xf numFmtId="0" fontId="88" fillId="0" borderId="77" xfId="0" applyFont="1" applyBorder="1" applyAlignment="1">
      <alignment horizontal="center" vertical="center" wrapText="1"/>
    </xf>
    <xf numFmtId="0" fontId="88" fillId="0" borderId="78"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9" fontId="10" fillId="38" borderId="39" xfId="72" applyNumberFormat="1" applyFont="1" applyFill="1" applyBorder="1" applyAlignment="1">
      <alignment horizontal="left" vertical="center" wrapText="1"/>
      <protection/>
    </xf>
    <xf numFmtId="9" fontId="10" fillId="0" borderId="42" xfId="72" applyNumberFormat="1" applyFont="1" applyBorder="1" applyAlignment="1">
      <alignment horizontal="left" vertical="center" wrapText="1"/>
      <protection/>
    </xf>
    <xf numFmtId="9" fontId="10" fillId="0" borderId="39" xfId="72" applyNumberFormat="1" applyFont="1" applyBorder="1" applyAlignment="1">
      <alignment horizontal="left" vertical="center" wrapText="1"/>
      <protection/>
    </xf>
    <xf numFmtId="9" fontId="10" fillId="0" borderId="15" xfId="72" applyNumberFormat="1" applyFont="1" applyBorder="1" applyAlignment="1">
      <alignment horizontal="left" vertical="center" wrapText="1"/>
      <protection/>
    </xf>
    <xf numFmtId="9" fontId="10" fillId="0" borderId="44" xfId="72" applyNumberFormat="1" applyFont="1" applyBorder="1" applyAlignment="1">
      <alignment horizontal="left" vertical="center" wrapText="1"/>
      <protection/>
    </xf>
    <xf numFmtId="14" fontId="94" fillId="0" borderId="68" xfId="0" applyNumberFormat="1" applyFont="1" applyBorder="1" applyAlignment="1">
      <alignment horizontal="center" vertical="center"/>
    </xf>
    <xf numFmtId="0" fontId="94" fillId="0" borderId="27" xfId="0" applyFont="1" applyBorder="1" applyAlignment="1">
      <alignment horizontal="center" vertical="center"/>
    </xf>
    <xf numFmtId="0" fontId="94" fillId="0" borderId="28" xfId="0" applyFont="1" applyBorder="1" applyAlignment="1">
      <alignment horizontal="center" vertical="center"/>
    </xf>
    <xf numFmtId="0" fontId="94" fillId="0" borderId="29" xfId="0" applyFont="1" applyBorder="1" applyAlignment="1">
      <alignment horizontal="center" vertical="center"/>
    </xf>
    <xf numFmtId="0" fontId="94" fillId="0" borderId="66" xfId="0" applyFont="1" applyBorder="1" applyAlignment="1">
      <alignment horizontal="center" vertical="center"/>
    </xf>
    <xf numFmtId="0" fontId="94" fillId="0" borderId="35" xfId="0" applyFont="1" applyBorder="1" applyAlignment="1">
      <alignment horizontal="center" vertical="center"/>
    </xf>
    <xf numFmtId="0" fontId="88" fillId="0" borderId="75" xfId="0" applyFont="1" applyBorder="1" applyAlignment="1">
      <alignment horizontal="center" vertical="center" wrapText="1"/>
    </xf>
    <xf numFmtId="0" fontId="88" fillId="0" borderId="62" xfId="0" applyFont="1" applyBorder="1" applyAlignment="1">
      <alignment horizontal="center" vertical="center" wrapText="1"/>
    </xf>
    <xf numFmtId="0" fontId="10" fillId="0" borderId="68"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66"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72" xfId="0" applyFont="1" applyBorder="1" applyAlignment="1">
      <alignment horizontal="left" vertical="center" wrapText="1"/>
    </xf>
    <xf numFmtId="0" fontId="18" fillId="0" borderId="73" xfId="0" applyFont="1" applyBorder="1" applyAlignment="1">
      <alignment horizontal="left" vertical="center" wrapText="1"/>
    </xf>
    <xf numFmtId="0" fontId="11" fillId="0" borderId="0" xfId="72" applyFont="1" applyFill="1" applyAlignment="1">
      <alignment horizontal="center" vertical="center" wrapText="1"/>
      <protection/>
    </xf>
    <xf numFmtId="3" fontId="10" fillId="0" borderId="79"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0" fillId="0" borderId="37" xfId="72" applyFont="1" applyFill="1" applyBorder="1" applyAlignment="1">
      <alignment horizontal="center" vertical="center" wrapText="1"/>
      <protection/>
    </xf>
    <xf numFmtId="0" fontId="10" fillId="0" borderId="81"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9" fontId="10" fillId="0" borderId="79"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2" xfId="81" applyFont="1" applyFill="1" applyBorder="1" applyAlignment="1" applyProtection="1">
      <alignment horizontal="left" vertical="center" wrapText="1"/>
      <protection/>
    </xf>
    <xf numFmtId="9" fontId="10" fillId="0" borderId="58"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0" fontId="11" fillId="5" borderId="72" xfId="72" applyFont="1" applyFill="1" applyBorder="1" applyAlignment="1">
      <alignment horizontal="center" vertical="center" wrapText="1"/>
      <protection/>
    </xf>
    <xf numFmtId="2" fontId="10" fillId="0" borderId="51"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54" xfId="79" applyNumberFormat="1" applyFont="1" applyBorder="1" applyAlignment="1">
      <alignment horizontal="center" vertical="center" wrapText="1"/>
    </xf>
    <xf numFmtId="190" fontId="10" fillId="0" borderId="16" xfId="79" applyNumberFormat="1" applyFont="1" applyBorder="1" applyAlignment="1">
      <alignment horizontal="center" vertical="center" wrapText="1"/>
    </xf>
    <xf numFmtId="9" fontId="10" fillId="0" borderId="0" xfId="72" applyNumberFormat="1" applyFont="1" applyAlignment="1">
      <alignment horizontal="left" vertical="center" wrapText="1"/>
      <protection/>
    </xf>
    <xf numFmtId="2" fontId="11" fillId="0" borderId="2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57" xfId="79" applyNumberFormat="1" applyFont="1" applyBorder="1" applyAlignment="1">
      <alignment horizontal="center" vertical="center" wrapText="1"/>
    </xf>
    <xf numFmtId="9" fontId="89" fillId="0" borderId="79" xfId="72" applyNumberFormat="1" applyFont="1" applyBorder="1" applyAlignment="1">
      <alignment horizontal="left" vertical="center" wrapText="1"/>
      <protection/>
    </xf>
    <xf numFmtId="9" fontId="89" fillId="0" borderId="41" xfId="72" applyNumberFormat="1" applyFont="1" applyBorder="1" applyAlignment="1">
      <alignment horizontal="left" vertical="center" wrapText="1"/>
      <protection/>
    </xf>
    <xf numFmtId="9" fontId="89" fillId="0" borderId="83" xfId="72" applyNumberFormat="1" applyFont="1" applyBorder="1" applyAlignment="1">
      <alignment horizontal="left" vertical="center" wrapText="1"/>
      <protection/>
    </xf>
    <xf numFmtId="9" fontId="89" fillId="0" borderId="58" xfId="72" applyNumberFormat="1" applyFont="1" applyBorder="1" applyAlignment="1">
      <alignment horizontal="left" vertical="center" wrapText="1"/>
      <protection/>
    </xf>
    <xf numFmtId="9" fontId="89" fillId="0" borderId="34" xfId="72" applyNumberFormat="1" applyFont="1" applyBorder="1" applyAlignment="1">
      <alignment horizontal="left" vertical="center" wrapText="1"/>
      <protection/>
    </xf>
    <xf numFmtId="9" fontId="89" fillId="0" borderId="35" xfId="72" applyNumberFormat="1" applyFont="1" applyBorder="1" applyAlignment="1">
      <alignment horizontal="left" vertical="center" wrapText="1"/>
      <protection/>
    </xf>
    <xf numFmtId="0" fontId="10" fillId="0" borderId="69" xfId="72" applyFont="1" applyBorder="1" applyAlignment="1">
      <alignment horizontal="center" vertical="center" wrapText="1"/>
      <protection/>
    </xf>
    <xf numFmtId="0" fontId="10" fillId="0" borderId="70" xfId="72" applyFont="1" applyBorder="1" applyAlignment="1">
      <alignment horizontal="center" vertical="center" wrapText="1"/>
      <protection/>
    </xf>
    <xf numFmtId="0" fontId="10" fillId="0" borderId="71" xfId="72" applyFont="1" applyBorder="1" applyAlignment="1">
      <alignment horizontal="center" vertical="center" wrapText="1"/>
      <protection/>
    </xf>
    <xf numFmtId="0" fontId="11" fillId="0" borderId="68"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2" fontId="10" fillId="0" borderId="51"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9" fontId="10" fillId="0" borderId="16" xfId="79" applyFont="1" applyBorder="1" applyAlignment="1">
      <alignment horizontal="center" vertical="center" wrapText="1"/>
    </xf>
    <xf numFmtId="9" fontId="10" fillId="0" borderId="79" xfId="72" applyNumberFormat="1" applyFont="1" applyFill="1" applyBorder="1" applyAlignment="1">
      <alignment horizontal="left" vertical="center" wrapText="1"/>
      <protection/>
    </xf>
    <xf numFmtId="9" fontId="10" fillId="0" borderId="41" xfId="72" applyNumberFormat="1" applyFont="1" applyFill="1" applyBorder="1" applyAlignment="1">
      <alignment horizontal="left" vertical="center" wrapText="1"/>
      <protection/>
    </xf>
    <xf numFmtId="9" fontId="10" fillId="0" borderId="83" xfId="72" applyNumberFormat="1" applyFont="1" applyFill="1" applyBorder="1" applyAlignment="1">
      <alignment horizontal="left" vertical="center" wrapText="1"/>
      <protection/>
    </xf>
    <xf numFmtId="9" fontId="10" fillId="0" borderId="85" xfId="72" applyNumberFormat="1" applyFont="1" applyFill="1" applyBorder="1" applyAlignment="1">
      <alignment horizontal="left" vertical="center" wrapText="1"/>
      <protection/>
    </xf>
    <xf numFmtId="9" fontId="10" fillId="0" borderId="0" xfId="72" applyNumberFormat="1" applyFont="1" applyFill="1" applyAlignment="1">
      <alignment horizontal="left" vertical="center" wrapText="1"/>
      <protection/>
    </xf>
    <xf numFmtId="9" fontId="10" fillId="0" borderId="29" xfId="72" applyNumberFormat="1" applyFont="1" applyFill="1" applyBorder="1" applyAlignment="1">
      <alignment horizontal="left" vertical="center" wrapText="1"/>
      <protection/>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9" fontId="11" fillId="0" borderId="79" xfId="72" applyNumberFormat="1" applyFont="1" applyBorder="1" applyAlignment="1">
      <alignment horizontal="left" vertical="center" wrapText="1"/>
      <protection/>
    </xf>
    <xf numFmtId="9" fontId="10" fillId="0" borderId="19" xfId="72" applyNumberFormat="1" applyFont="1" applyBorder="1" applyAlignment="1">
      <alignment horizontal="left" vertical="center" wrapText="1"/>
      <protection/>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2" fontId="10" fillId="0" borderId="50" xfId="72" applyNumberFormat="1" applyFont="1" applyBorder="1" applyAlignment="1">
      <alignment horizontal="left" vertical="center" wrapText="1"/>
      <protection/>
    </xf>
    <xf numFmtId="2" fontId="10" fillId="0" borderId="81"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9" fillId="0" borderId="52" xfId="72" applyNumberFormat="1" applyFont="1" applyBorder="1" applyAlignment="1">
      <alignment vertical="center" wrapText="1"/>
      <protection/>
    </xf>
    <xf numFmtId="9" fontId="89" fillId="0" borderId="41" xfId="72" applyNumberFormat="1" applyFont="1" applyBorder="1" applyAlignment="1">
      <alignment vertical="center" wrapText="1"/>
      <protection/>
    </xf>
    <xf numFmtId="9" fontId="89" fillId="0" borderId="83" xfId="72" applyNumberFormat="1" applyFont="1" applyBorder="1" applyAlignment="1">
      <alignment vertical="center" wrapText="1"/>
      <protection/>
    </xf>
    <xf numFmtId="9" fontId="89" fillId="0" borderId="58" xfId="72" applyNumberFormat="1" applyFont="1" applyBorder="1" applyAlignment="1">
      <alignment vertical="center" wrapText="1"/>
      <protection/>
    </xf>
    <xf numFmtId="9" fontId="89" fillId="0" borderId="34" xfId="72" applyNumberFormat="1" applyFont="1" applyBorder="1" applyAlignment="1">
      <alignment vertical="center" wrapText="1"/>
      <protection/>
    </xf>
    <xf numFmtId="9" fontId="89" fillId="0" borderId="35" xfId="72" applyNumberFormat="1" applyFont="1" applyBorder="1" applyAlignment="1">
      <alignmen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199" fontId="11" fillId="0" borderId="88"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89" xfId="72" applyNumberFormat="1" applyFont="1" applyBorder="1" applyAlignment="1">
      <alignment horizontal="center" vertical="center" wrapText="1"/>
      <protection/>
    </xf>
    <xf numFmtId="199" fontId="11" fillId="0" borderId="85"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82"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8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4" xfId="72" applyFont="1" applyFill="1" applyBorder="1" applyAlignment="1">
      <alignment horizontal="left" vertical="center" wrapText="1"/>
      <protection/>
    </xf>
    <xf numFmtId="0" fontId="11" fillId="38" borderId="78" xfId="72" applyFont="1" applyFill="1" applyBorder="1" applyAlignment="1">
      <alignment horizontal="left" vertical="center" wrapText="1"/>
      <protection/>
    </xf>
    <xf numFmtId="0" fontId="0" fillId="0" borderId="51" xfId="0" applyBorder="1" applyAlignment="1">
      <alignment horizontal="left" vertical="center"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9" fillId="0" borderId="79" xfId="72" applyNumberFormat="1" applyFont="1" applyFill="1" applyBorder="1" applyAlignment="1">
      <alignment vertical="center" wrapText="1"/>
      <protection/>
    </xf>
    <xf numFmtId="9" fontId="19" fillId="0" borderId="41" xfId="72" applyNumberFormat="1" applyFont="1" applyFill="1" applyBorder="1" applyAlignment="1">
      <alignment vertical="center" wrapText="1"/>
      <protection/>
    </xf>
    <xf numFmtId="9" fontId="19" fillId="0" borderId="83" xfId="72" applyNumberFormat="1" applyFont="1" applyFill="1" applyBorder="1" applyAlignment="1">
      <alignment vertical="center" wrapText="1"/>
      <protection/>
    </xf>
    <xf numFmtId="9" fontId="19" fillId="0" borderId="85" xfId="72" applyNumberFormat="1" applyFont="1" applyFill="1" applyBorder="1" applyAlignment="1">
      <alignment vertical="center" wrapText="1"/>
      <protection/>
    </xf>
    <xf numFmtId="9" fontId="19" fillId="0" borderId="0" xfId="72" applyNumberFormat="1" applyFont="1" applyFill="1" applyAlignment="1">
      <alignment vertical="center" wrapText="1"/>
      <protection/>
    </xf>
    <xf numFmtId="9" fontId="19" fillId="0" borderId="29" xfId="72" applyNumberFormat="1" applyFont="1" applyFill="1" applyBorder="1" applyAlignment="1">
      <alignment vertical="center" wrapText="1"/>
      <protection/>
    </xf>
    <xf numFmtId="2" fontId="10" fillId="0" borderId="90" xfId="72" applyNumberFormat="1" applyFont="1" applyBorder="1" applyAlignment="1">
      <alignment horizontal="left" vertical="center" wrapText="1"/>
      <protection/>
    </xf>
    <xf numFmtId="0" fontId="0" fillId="0" borderId="81"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9" fontId="19" fillId="0" borderId="58" xfId="72" applyNumberFormat="1" applyFont="1" applyFill="1" applyBorder="1" applyAlignment="1">
      <alignment vertical="center" wrapText="1"/>
      <protection/>
    </xf>
    <xf numFmtId="9" fontId="19" fillId="0" borderId="34" xfId="72" applyNumberFormat="1" applyFont="1" applyFill="1" applyBorder="1" applyAlignment="1">
      <alignment vertical="center" wrapText="1"/>
      <protection/>
    </xf>
    <xf numFmtId="9" fontId="19" fillId="0" borderId="35" xfId="72" applyNumberFormat="1" applyFont="1" applyFill="1" applyBorder="1" applyAlignment="1">
      <alignment vertical="center" wrapText="1"/>
      <protection/>
    </xf>
    <xf numFmtId="9" fontId="19" fillId="0" borderId="39" xfId="72" applyNumberFormat="1" applyFont="1" applyFill="1" applyBorder="1" applyAlignment="1">
      <alignment vertical="center" wrapText="1"/>
      <protection/>
    </xf>
    <xf numFmtId="9" fontId="19" fillId="0" borderId="15" xfId="72" applyNumberFormat="1" applyFont="1" applyFill="1" applyBorder="1" applyAlignment="1">
      <alignment vertical="center" wrapText="1"/>
      <protection/>
    </xf>
    <xf numFmtId="9" fontId="19" fillId="0" borderId="19" xfId="72" applyNumberFormat="1" applyFont="1" applyFill="1" applyBorder="1" applyAlignment="1">
      <alignment vertical="center" wrapText="1"/>
      <protection/>
    </xf>
    <xf numFmtId="0" fontId="10" fillId="0" borderId="7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9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89" fillId="0" borderId="79" xfId="0" applyFont="1" applyFill="1" applyBorder="1" applyAlignment="1">
      <alignment horizontal="left" vertical="center" wrapText="1"/>
    </xf>
    <xf numFmtId="0" fontId="89" fillId="0" borderId="41" xfId="0" applyFont="1" applyFill="1" applyBorder="1" applyAlignment="1">
      <alignment horizontal="left" vertical="center" wrapText="1"/>
    </xf>
    <xf numFmtId="0" fontId="89" fillId="0" borderId="42" xfId="0" applyFont="1" applyFill="1" applyBorder="1" applyAlignment="1">
      <alignment horizontal="left" vertical="center" wrapText="1"/>
    </xf>
    <xf numFmtId="0" fontId="89" fillId="0" borderId="58" xfId="0" applyFont="1" applyFill="1" applyBorder="1" applyAlignment="1">
      <alignment horizontal="left" vertical="center" wrapText="1"/>
    </xf>
    <xf numFmtId="0" fontId="89" fillId="0" borderId="34" xfId="0" applyFont="1" applyFill="1" applyBorder="1" applyAlignment="1">
      <alignment horizontal="left" vertical="center" wrapText="1"/>
    </xf>
    <xf numFmtId="0" fontId="89" fillId="0" borderId="82"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1" fillId="0" borderId="6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9" fontId="0" fillId="0" borderId="13" xfId="79" applyFont="1" applyBorder="1" applyAlignment="1">
      <alignment horizontal="center" vertical="center" wrapText="1"/>
    </xf>
    <xf numFmtId="189" fontId="88" fillId="0" borderId="0" xfId="58" applyNumberFormat="1" applyFont="1" applyBorder="1" applyAlignment="1">
      <alignment horizontal="center" vertical="center" wrapText="1"/>
    </xf>
    <xf numFmtId="189" fontId="0" fillId="0" borderId="13" xfId="58" applyNumberFormat="1" applyFont="1" applyBorder="1" applyAlignment="1">
      <alignment horizontal="center" vertical="center"/>
    </xf>
    <xf numFmtId="9" fontId="0" fillId="0" borderId="22" xfId="79" applyFont="1" applyBorder="1" applyAlignment="1">
      <alignment horizontal="center" vertical="center"/>
    </xf>
    <xf numFmtId="9" fontId="0" fillId="0" borderId="16" xfId="79" applyFont="1" applyBorder="1" applyAlignment="1">
      <alignment horizontal="center" vertical="center"/>
    </xf>
    <xf numFmtId="189" fontId="0" fillId="0" borderId="22" xfId="58" applyNumberFormat="1" applyFont="1" applyBorder="1" applyAlignment="1">
      <alignment horizontal="center" vertical="center"/>
    </xf>
    <xf numFmtId="189" fontId="0" fillId="0" borderId="16" xfId="58" applyNumberFormat="1" applyFont="1" applyBorder="1" applyAlignment="1">
      <alignment horizontal="center" vertical="center"/>
    </xf>
    <xf numFmtId="14" fontId="103" fillId="0" borderId="13" xfId="0" applyNumberFormat="1" applyFont="1" applyFill="1" applyBorder="1" applyAlignment="1">
      <alignment horizontal="center" vertical="center"/>
    </xf>
    <xf numFmtId="0" fontId="91" fillId="0" borderId="14" xfId="0" applyFont="1" applyBorder="1" applyAlignment="1">
      <alignment horizontal="left" vertical="center" wrapText="1"/>
    </xf>
    <xf numFmtId="0" fontId="91" fillId="0" borderId="17" xfId="0" applyFont="1" applyBorder="1" applyAlignment="1">
      <alignment horizontal="left" vertical="center" wrapText="1"/>
    </xf>
    <xf numFmtId="0" fontId="11" fillId="0" borderId="14" xfId="0" applyFont="1" applyBorder="1" applyAlignment="1">
      <alignment horizontal="left" vertical="center" wrapText="1"/>
    </xf>
    <xf numFmtId="0" fontId="91" fillId="0" borderId="14" xfId="0" applyFont="1" applyBorder="1" applyAlignment="1">
      <alignment horizontal="center" vertical="center"/>
    </xf>
    <xf numFmtId="0" fontId="91" fillId="0" borderId="80" xfId="0" applyFont="1" applyBorder="1" applyAlignment="1">
      <alignment horizontal="center" vertical="center"/>
    </xf>
    <xf numFmtId="0" fontId="91" fillId="0" borderId="17" xfId="0" applyFont="1" applyBorder="1" applyAlignment="1">
      <alignment horizontal="center" vertical="center"/>
    </xf>
    <xf numFmtId="0" fontId="91" fillId="41" borderId="79" xfId="72" applyFont="1" applyFill="1" applyBorder="1" applyAlignment="1">
      <alignment horizontal="center" vertical="center" wrapText="1"/>
      <protection/>
    </xf>
    <xf numFmtId="0" fontId="91" fillId="41" borderId="41" xfId="72" applyFont="1" applyFill="1" applyBorder="1" applyAlignment="1">
      <alignment horizontal="center" vertical="center" wrapText="1"/>
      <protection/>
    </xf>
    <xf numFmtId="0" fontId="91" fillId="41" borderId="42" xfId="72" applyFont="1" applyFill="1" applyBorder="1" applyAlignment="1">
      <alignment horizontal="center" vertical="center" wrapText="1"/>
      <protection/>
    </xf>
    <xf numFmtId="0" fontId="91" fillId="41" borderId="85" xfId="72" applyFont="1" applyFill="1" applyBorder="1" applyAlignment="1">
      <alignment horizontal="center" vertical="center" wrapText="1"/>
      <protection/>
    </xf>
    <xf numFmtId="0" fontId="91" fillId="41" borderId="0" xfId="72" applyFont="1" applyFill="1" applyBorder="1" applyAlignment="1">
      <alignment horizontal="center" vertical="center" wrapText="1"/>
      <protection/>
    </xf>
    <xf numFmtId="0" fontId="91" fillId="41" borderId="43" xfId="72" applyFont="1" applyFill="1" applyBorder="1" applyAlignment="1">
      <alignment horizontal="center" vertical="center" wrapText="1"/>
      <protection/>
    </xf>
    <xf numFmtId="0" fontId="91" fillId="41" borderId="39" xfId="72" applyFont="1" applyFill="1" applyBorder="1" applyAlignment="1">
      <alignment horizontal="center" vertical="center" wrapText="1"/>
      <protection/>
    </xf>
    <xf numFmtId="0" fontId="91" fillId="41" borderId="15" xfId="72" applyFont="1" applyFill="1" applyBorder="1" applyAlignment="1">
      <alignment horizontal="center" vertical="center" wrapText="1"/>
      <protection/>
    </xf>
    <xf numFmtId="0" fontId="91" fillId="41" borderId="44" xfId="72" applyFont="1" applyFill="1" applyBorder="1" applyAlignment="1">
      <alignment horizontal="center" vertical="center" wrapText="1"/>
      <protection/>
    </xf>
    <xf numFmtId="0" fontId="11" fillId="41" borderId="79"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85"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91" fillId="0" borderId="14" xfId="0" applyFont="1" applyBorder="1" applyAlignment="1">
      <alignment horizontal="center" vertical="center" wrapText="1"/>
    </xf>
    <xf numFmtId="0" fontId="91" fillId="0" borderId="17" xfId="0" applyFont="1" applyBorder="1" applyAlignment="1">
      <alignment horizontal="center" vertical="center" wrapText="1"/>
    </xf>
    <xf numFmtId="0" fontId="91" fillId="11" borderId="0" xfId="0" applyFont="1" applyFill="1" applyAlignment="1">
      <alignment horizontal="center" vertical="center"/>
    </xf>
    <xf numFmtId="0" fontId="91" fillId="0" borderId="13" xfId="0" applyFont="1" applyBorder="1" applyAlignment="1">
      <alignment horizontal="center" vertical="center" wrapText="1"/>
    </xf>
    <xf numFmtId="0" fontId="89" fillId="0" borderId="22" xfId="79" applyNumberFormat="1" applyFont="1" applyFill="1" applyBorder="1" applyAlignment="1">
      <alignment horizontal="left" vertical="center" wrapText="1"/>
    </xf>
    <xf numFmtId="0" fontId="89" fillId="0" borderId="16" xfId="79" applyNumberFormat="1" applyFont="1" applyFill="1" applyBorder="1" applyAlignment="1">
      <alignment horizontal="left" vertical="center" wrapText="1"/>
    </xf>
    <xf numFmtId="0" fontId="10" fillId="0" borderId="22" xfId="79" applyNumberFormat="1" applyFont="1" applyFill="1" applyBorder="1" applyAlignment="1">
      <alignment horizontal="center" vertical="center" wrapText="1"/>
    </xf>
    <xf numFmtId="0" fontId="10" fillId="0" borderId="16" xfId="79" applyNumberFormat="1" applyFont="1" applyFill="1" applyBorder="1" applyAlignment="1">
      <alignment horizontal="center" vertical="center" wrapText="1"/>
    </xf>
    <xf numFmtId="9" fontId="89" fillId="0" borderId="22" xfId="79" applyFont="1" applyBorder="1" applyAlignment="1">
      <alignment horizontal="center" vertical="center"/>
    </xf>
    <xf numFmtId="9" fontId="89" fillId="0" borderId="16" xfId="79" applyFont="1" applyBorder="1" applyAlignment="1">
      <alignment horizontal="center" vertical="center"/>
    </xf>
    <xf numFmtId="9" fontId="89" fillId="0" borderId="22" xfId="79" applyFont="1" applyFill="1" applyBorder="1" applyAlignment="1">
      <alignment horizontal="center" vertical="center"/>
    </xf>
    <xf numFmtId="9" fontId="89" fillId="0" borderId="16" xfId="79" applyFont="1" applyFill="1" applyBorder="1" applyAlignment="1">
      <alignment horizontal="center" vertical="center"/>
    </xf>
    <xf numFmtId="0" fontId="89" fillId="0" borderId="22" xfId="59" applyNumberFormat="1" applyFont="1" applyBorder="1" applyAlignment="1">
      <alignment horizontal="center" vertical="center" wrapText="1"/>
    </xf>
    <xf numFmtId="0" fontId="89" fillId="0" borderId="16" xfId="59" applyNumberFormat="1" applyFont="1" applyBorder="1" applyAlignment="1">
      <alignment horizontal="center" vertical="center" wrapText="1"/>
    </xf>
    <xf numFmtId="9" fontId="89" fillId="0" borderId="22" xfId="79" applyFont="1" applyBorder="1" applyAlignment="1">
      <alignment horizontal="center" vertical="center" wrapText="1"/>
    </xf>
    <xf numFmtId="9" fontId="89" fillId="0" borderId="16" xfId="79" applyFont="1" applyBorder="1" applyAlignment="1">
      <alignment horizontal="center" vertical="center" wrapText="1"/>
    </xf>
    <xf numFmtId="0" fontId="10" fillId="0" borderId="16" xfId="79" applyNumberFormat="1" applyFont="1" applyFill="1" applyBorder="1" applyAlignment="1">
      <alignment horizontal="center" vertical="center"/>
    </xf>
    <xf numFmtId="0" fontId="89" fillId="0" borderId="22" xfId="0" applyFont="1" applyBorder="1" applyAlignment="1">
      <alignment horizontal="center" vertical="center"/>
    </xf>
    <xf numFmtId="0" fontId="89" fillId="0" borderId="16" xfId="0" applyFont="1" applyBorder="1" applyAlignment="1">
      <alignment horizontal="center" vertical="center"/>
    </xf>
    <xf numFmtId="9" fontId="10" fillId="0" borderId="16" xfId="72" applyNumberFormat="1" applyFont="1" applyBorder="1" applyAlignment="1">
      <alignment horizontal="center" vertical="center" wrapText="1"/>
      <protection/>
    </xf>
    <xf numFmtId="9" fontId="10" fillId="0" borderId="22" xfId="72" applyNumberFormat="1" applyFont="1" applyFill="1" applyBorder="1" applyAlignment="1">
      <alignment horizontal="center" vertical="center" wrapText="1"/>
      <protection/>
    </xf>
    <xf numFmtId="9" fontId="10" fillId="0" borderId="16" xfId="72" applyNumberFormat="1" applyFont="1" applyFill="1" applyBorder="1" applyAlignment="1">
      <alignment horizontal="center" vertical="center" wrapText="1"/>
      <protection/>
    </xf>
    <xf numFmtId="0" fontId="89" fillId="0" borderId="22" xfId="0" applyFont="1" applyBorder="1" applyAlignment="1">
      <alignment horizontal="center" vertical="center" wrapText="1"/>
    </xf>
    <xf numFmtId="0" fontId="89" fillId="0" borderId="16" xfId="0" applyFont="1" applyBorder="1" applyAlignment="1">
      <alignment horizontal="center" vertical="center" wrapText="1"/>
    </xf>
    <xf numFmtId="9" fontId="89" fillId="0" borderId="22" xfId="0" applyNumberFormat="1" applyFont="1" applyBorder="1" applyAlignment="1">
      <alignment horizontal="center" vertical="center"/>
    </xf>
    <xf numFmtId="9" fontId="89" fillId="0" borderId="16" xfId="0" applyNumberFormat="1" applyFont="1" applyBorder="1" applyAlignment="1">
      <alignment horizontal="center" vertical="center"/>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91" fillId="11"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91" fillId="11" borderId="13" xfId="0" applyFont="1" applyFill="1" applyBorder="1" applyAlignment="1">
      <alignment horizontal="left" vertical="center"/>
    </xf>
    <xf numFmtId="0" fontId="89" fillId="0" borderId="13" xfId="0" applyFont="1" applyBorder="1" applyAlignment="1">
      <alignment horizontal="left" vertical="center"/>
    </xf>
    <xf numFmtId="0" fontId="11" fillId="38" borderId="16" xfId="72" applyFont="1" applyFill="1" applyBorder="1" applyAlignment="1">
      <alignment horizontal="left" vertical="center" wrapText="1"/>
      <protection/>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0" borderId="13" xfId="0" applyFont="1" applyFill="1" applyBorder="1" applyAlignment="1">
      <alignment vertical="center" wrapText="1"/>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1046797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9525</xdr:rowOff>
    </xdr:to>
    <xdr:pic>
      <xdr:nvPicPr>
        <xdr:cNvPr id="7" name="Entrada de lápiz 4"/>
        <xdr:cNvPicPr preferRelativeResize="1">
          <a:picLocks noChangeAspect="1"/>
        </xdr:cNvPicPr>
      </xdr:nvPicPr>
      <xdr:blipFill>
        <a:blip r:embed="rId1"/>
        <a:stretch>
          <a:fillRect/>
        </a:stretch>
      </xdr:blipFill>
      <xdr:spPr>
        <a:xfrm>
          <a:off x="5381625" y="12887325"/>
          <a:ext cx="0" cy="9525"/>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19050</xdr:rowOff>
    </xdr:to>
    <xdr:pic>
      <xdr:nvPicPr>
        <xdr:cNvPr id="8" name="Entrada de lápiz 4"/>
        <xdr:cNvPicPr preferRelativeResize="1">
          <a:picLocks noChangeAspect="1"/>
        </xdr:cNvPicPr>
      </xdr:nvPicPr>
      <xdr:blipFill>
        <a:blip r:embed="rId1"/>
        <a:stretch>
          <a:fillRect/>
        </a:stretch>
      </xdr:blipFill>
      <xdr:spPr>
        <a:xfrm>
          <a:off x="5381625" y="20164425"/>
          <a:ext cx="0" cy="1905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9525</xdr:rowOff>
    </xdr:to>
    <xdr:pic>
      <xdr:nvPicPr>
        <xdr:cNvPr id="9" name="Entrada de lápiz 4"/>
        <xdr:cNvPicPr preferRelativeResize="1">
          <a:picLocks noChangeAspect="1"/>
        </xdr:cNvPicPr>
      </xdr:nvPicPr>
      <xdr:blipFill>
        <a:blip r:embed="rId1"/>
        <a:stretch>
          <a:fillRect/>
        </a:stretch>
      </xdr:blipFill>
      <xdr:spPr>
        <a:xfrm>
          <a:off x="5381625" y="24717375"/>
          <a:ext cx="0" cy="9525"/>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81273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308705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81625" y="192881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2570797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2570797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20202525"/>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2020252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ecretariadistritald-my.sharepoint.com/Users\zdoncel\OneDrive%20-%20Secretaria%20Distrital%20De%20La%20Mujer\SDM\2023\4.%20PLAN%20DE%20ACCI&#211;N\SEGUIMIENTO\C&#225;lculo%20meta%20PD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PA proyecto"/>
      <sheetName val="Meta 1..n"/>
      <sheetName val="Indicadores PA"/>
      <sheetName val="Territorialización PA"/>
      <sheetName val="Instructivo"/>
      <sheetName val="Generalidades"/>
      <sheetName val="RESERVA"/>
      <sheetName val="VIGENCIA"/>
      <sheetName val="META PDD"/>
      <sheetName val="Meta 1"/>
      <sheetName val="Metas 2"/>
      <sheetName val="Meta 3"/>
      <sheetName val="Meta 4"/>
      <sheetName val="1. Ind. PA - DE"/>
      <sheetName val="2. Ind PA - GT"/>
      <sheetName val="3. Ind PA - TH"/>
      <sheetName val="4. Ind PA - Planeación"/>
      <sheetName val="5. Ind PA - Seg Ev y C"/>
      <sheetName val="6. Ind PA - GD"/>
      <sheetName val="7. Ind PA - GF"/>
      <sheetName val="8. Ind PA - GA"/>
      <sheetName val="9. Ind PA - CDI"/>
      <sheetName val="10. Ind PA - Contratación"/>
      <sheetName val="11. Ind PA - AC"/>
      <sheetName val="12. Ind PA - OAJ"/>
      <sheetName val="Hoja13"/>
      <sheetName val="Hoja1"/>
    </sheetNames>
    <sheetDataSet>
      <sheetData sheetId="9">
        <row r="34">
          <cell r="M34">
            <v>0.013619667864500619</v>
          </cell>
          <cell r="N34">
            <v>0.013619667864500619</v>
          </cell>
          <cell r="O34">
            <v>0.015322126347563195</v>
          </cell>
        </row>
      </sheetData>
      <sheetData sheetId="10">
        <row r="34">
          <cell r="M34">
            <v>0.07388888888888889</v>
          </cell>
          <cell r="N34">
            <v>0.0738888888888889</v>
          </cell>
          <cell r="O34">
            <v>0.08722222222222223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587"/>
      <c r="B1" s="590" t="s">
        <v>16</v>
      </c>
      <c r="C1" s="591"/>
      <c r="D1" s="591"/>
      <c r="E1" s="591"/>
      <c r="F1" s="591"/>
      <c r="G1" s="591"/>
      <c r="H1" s="591"/>
      <c r="I1" s="591"/>
      <c r="J1" s="591"/>
      <c r="K1" s="591"/>
      <c r="L1" s="591"/>
      <c r="M1" s="591"/>
      <c r="N1" s="591"/>
      <c r="O1" s="591"/>
      <c r="P1" s="591"/>
      <c r="Q1" s="591"/>
      <c r="R1" s="591"/>
      <c r="S1" s="591"/>
      <c r="T1" s="591"/>
      <c r="U1" s="591"/>
      <c r="V1" s="591"/>
      <c r="W1" s="591"/>
      <c r="X1" s="591"/>
      <c r="Y1" s="591"/>
      <c r="Z1" s="591"/>
      <c r="AA1" s="592"/>
      <c r="AB1" s="593" t="s">
        <v>423</v>
      </c>
      <c r="AC1" s="594"/>
      <c r="AD1" s="595"/>
    </row>
    <row r="2" spans="1:30" ht="30.75" customHeight="1" thickBot="1">
      <c r="A2" s="588"/>
      <c r="B2" s="590" t="s">
        <v>17</v>
      </c>
      <c r="C2" s="591"/>
      <c r="D2" s="591"/>
      <c r="E2" s="591"/>
      <c r="F2" s="591"/>
      <c r="G2" s="591"/>
      <c r="H2" s="591"/>
      <c r="I2" s="591"/>
      <c r="J2" s="591"/>
      <c r="K2" s="591"/>
      <c r="L2" s="591"/>
      <c r="M2" s="591"/>
      <c r="N2" s="591"/>
      <c r="O2" s="591"/>
      <c r="P2" s="591"/>
      <c r="Q2" s="591"/>
      <c r="R2" s="591"/>
      <c r="S2" s="591"/>
      <c r="T2" s="591"/>
      <c r="U2" s="591"/>
      <c r="V2" s="591"/>
      <c r="W2" s="591"/>
      <c r="X2" s="591"/>
      <c r="Y2" s="591"/>
      <c r="Z2" s="591"/>
      <c r="AA2" s="592"/>
      <c r="AB2" s="596" t="s">
        <v>418</v>
      </c>
      <c r="AC2" s="597"/>
      <c r="AD2" s="598"/>
    </row>
    <row r="3" spans="1:30" ht="24" customHeight="1">
      <c r="A3" s="588"/>
      <c r="B3" s="599" t="s">
        <v>295</v>
      </c>
      <c r="C3" s="600"/>
      <c r="D3" s="600"/>
      <c r="E3" s="600"/>
      <c r="F3" s="600"/>
      <c r="G3" s="600"/>
      <c r="H3" s="600"/>
      <c r="I3" s="600"/>
      <c r="J3" s="600"/>
      <c r="K3" s="600"/>
      <c r="L3" s="600"/>
      <c r="M3" s="600"/>
      <c r="N3" s="600"/>
      <c r="O3" s="600"/>
      <c r="P3" s="600"/>
      <c r="Q3" s="600"/>
      <c r="R3" s="600"/>
      <c r="S3" s="600"/>
      <c r="T3" s="600"/>
      <c r="U3" s="600"/>
      <c r="V3" s="600"/>
      <c r="W3" s="600"/>
      <c r="X3" s="600"/>
      <c r="Y3" s="600"/>
      <c r="Z3" s="600"/>
      <c r="AA3" s="601"/>
      <c r="AB3" s="596" t="s">
        <v>424</v>
      </c>
      <c r="AC3" s="597"/>
      <c r="AD3" s="598"/>
    </row>
    <row r="4" spans="1:30" ht="21.75" customHeight="1" thickBot="1">
      <c r="A4" s="589"/>
      <c r="B4" s="602"/>
      <c r="C4" s="603"/>
      <c r="D4" s="603"/>
      <c r="E4" s="603"/>
      <c r="F4" s="603"/>
      <c r="G4" s="603"/>
      <c r="H4" s="603"/>
      <c r="I4" s="603"/>
      <c r="J4" s="603"/>
      <c r="K4" s="603"/>
      <c r="L4" s="603"/>
      <c r="M4" s="603"/>
      <c r="N4" s="603"/>
      <c r="O4" s="603"/>
      <c r="P4" s="603"/>
      <c r="Q4" s="603"/>
      <c r="R4" s="603"/>
      <c r="S4" s="603"/>
      <c r="T4" s="603"/>
      <c r="U4" s="603"/>
      <c r="V4" s="603"/>
      <c r="W4" s="603"/>
      <c r="X4" s="603"/>
      <c r="Y4" s="603"/>
      <c r="Z4" s="603"/>
      <c r="AA4" s="604"/>
      <c r="AB4" s="605" t="s">
        <v>175</v>
      </c>
      <c r="AC4" s="606"/>
      <c r="AD4" s="607"/>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66" t="s">
        <v>293</v>
      </c>
      <c r="B7" s="567"/>
      <c r="C7" s="572"/>
      <c r="D7" s="608" t="s">
        <v>71</v>
      </c>
      <c r="E7" s="614"/>
      <c r="F7" s="614"/>
      <c r="G7" s="614"/>
      <c r="H7" s="609"/>
      <c r="I7" s="617" t="s">
        <v>74</v>
      </c>
      <c r="J7" s="618"/>
      <c r="K7" s="608" t="s">
        <v>67</v>
      </c>
      <c r="L7" s="609"/>
      <c r="M7" s="633" t="s">
        <v>70</v>
      </c>
      <c r="N7" s="634"/>
      <c r="O7" s="623" t="s">
        <v>425</v>
      </c>
      <c r="P7" s="624"/>
      <c r="Q7" s="56"/>
      <c r="R7" s="56"/>
      <c r="S7" s="56"/>
      <c r="T7" s="56"/>
      <c r="U7" s="56"/>
      <c r="V7" s="56"/>
      <c r="W7" s="56"/>
      <c r="X7" s="56"/>
      <c r="Y7" s="56"/>
      <c r="Z7" s="57"/>
      <c r="AA7" s="56"/>
      <c r="AB7" s="56"/>
      <c r="AC7" s="62"/>
      <c r="AD7" s="63"/>
    </row>
    <row r="8" spans="1:30" ht="15">
      <c r="A8" s="568"/>
      <c r="B8" s="569"/>
      <c r="C8" s="573"/>
      <c r="D8" s="610"/>
      <c r="E8" s="615"/>
      <c r="F8" s="615"/>
      <c r="G8" s="615"/>
      <c r="H8" s="611"/>
      <c r="I8" s="619"/>
      <c r="J8" s="620"/>
      <c r="K8" s="610"/>
      <c r="L8" s="611"/>
      <c r="M8" s="625" t="s">
        <v>68</v>
      </c>
      <c r="N8" s="626"/>
      <c r="O8" s="627"/>
      <c r="P8" s="628"/>
      <c r="Q8" s="56"/>
      <c r="R8" s="56"/>
      <c r="S8" s="56"/>
      <c r="T8" s="56"/>
      <c r="U8" s="56"/>
      <c r="V8" s="56"/>
      <c r="W8" s="56"/>
      <c r="X8" s="56"/>
      <c r="Y8" s="56"/>
      <c r="Z8" s="57"/>
      <c r="AA8" s="56"/>
      <c r="AB8" s="56"/>
      <c r="AC8" s="62"/>
      <c r="AD8" s="63"/>
    </row>
    <row r="9" spans="1:30" ht="15.75" thickBot="1">
      <c r="A9" s="570"/>
      <c r="B9" s="571"/>
      <c r="C9" s="574"/>
      <c r="D9" s="612"/>
      <c r="E9" s="616"/>
      <c r="F9" s="616"/>
      <c r="G9" s="616"/>
      <c r="H9" s="613"/>
      <c r="I9" s="621"/>
      <c r="J9" s="622"/>
      <c r="K9" s="612"/>
      <c r="L9" s="613"/>
      <c r="M9" s="629" t="s">
        <v>69</v>
      </c>
      <c r="N9" s="630"/>
      <c r="O9" s="631"/>
      <c r="P9" s="632"/>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08" t="s">
        <v>0</v>
      </c>
      <c r="B11" s="609"/>
      <c r="C11" s="575"/>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7"/>
    </row>
    <row r="12" spans="1:30" ht="15" customHeight="1">
      <c r="A12" s="610"/>
      <c r="B12" s="611"/>
      <c r="C12" s="578"/>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80"/>
    </row>
    <row r="13" spans="1:30" ht="15" customHeight="1" thickBot="1">
      <c r="A13" s="612"/>
      <c r="B13" s="613"/>
      <c r="C13" s="581"/>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645" t="s">
        <v>77</v>
      </c>
      <c r="B15" s="646"/>
      <c r="C15" s="548" t="s">
        <v>426</v>
      </c>
      <c r="D15" s="549"/>
      <c r="E15" s="549"/>
      <c r="F15" s="549"/>
      <c r="G15" s="549"/>
      <c r="H15" s="549"/>
      <c r="I15" s="549"/>
      <c r="J15" s="549"/>
      <c r="K15" s="550"/>
      <c r="L15" s="584" t="s">
        <v>73</v>
      </c>
      <c r="M15" s="585"/>
      <c r="N15" s="585"/>
      <c r="O15" s="585"/>
      <c r="P15" s="585"/>
      <c r="Q15" s="586"/>
      <c r="R15" s="660"/>
      <c r="S15" s="661"/>
      <c r="T15" s="661"/>
      <c r="U15" s="661"/>
      <c r="V15" s="661"/>
      <c r="W15" s="661"/>
      <c r="X15" s="662"/>
      <c r="Y15" s="584" t="s">
        <v>72</v>
      </c>
      <c r="Z15" s="586"/>
      <c r="AA15" s="641"/>
      <c r="AB15" s="642"/>
      <c r="AC15" s="642"/>
      <c r="AD15" s="643"/>
    </row>
    <row r="16" spans="1:30" ht="9" customHeight="1" thickBot="1">
      <c r="A16" s="61"/>
      <c r="B16" s="56"/>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75"/>
      <c r="AD16" s="76"/>
    </row>
    <row r="17" spans="1:30" s="78" customFormat="1" ht="37.5" customHeight="1" thickBot="1">
      <c r="A17" s="645" t="s">
        <v>79</v>
      </c>
      <c r="B17" s="646"/>
      <c r="C17" s="647"/>
      <c r="D17" s="648"/>
      <c r="E17" s="648"/>
      <c r="F17" s="648"/>
      <c r="G17" s="648"/>
      <c r="H17" s="648"/>
      <c r="I17" s="648"/>
      <c r="J17" s="648"/>
      <c r="K17" s="648"/>
      <c r="L17" s="648"/>
      <c r="M17" s="648"/>
      <c r="N17" s="648"/>
      <c r="O17" s="648"/>
      <c r="P17" s="648"/>
      <c r="Q17" s="649"/>
      <c r="R17" s="553" t="s">
        <v>374</v>
      </c>
      <c r="S17" s="554"/>
      <c r="T17" s="554"/>
      <c r="U17" s="554"/>
      <c r="V17" s="555"/>
      <c r="W17" s="663"/>
      <c r="X17" s="664"/>
      <c r="Y17" s="554" t="s">
        <v>15</v>
      </c>
      <c r="Z17" s="554"/>
      <c r="AA17" s="554"/>
      <c r="AB17" s="555"/>
      <c r="AC17" s="564"/>
      <c r="AD17" s="5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53" t="s">
        <v>1</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5"/>
      <c r="AE19" s="86"/>
      <c r="AF19" s="86"/>
    </row>
    <row r="20" spans="1:32" ht="31.5" customHeight="1" thickBot="1">
      <c r="A20" s="85"/>
      <c r="B20" s="62"/>
      <c r="C20" s="559" t="s">
        <v>376</v>
      </c>
      <c r="D20" s="560"/>
      <c r="E20" s="560"/>
      <c r="F20" s="560"/>
      <c r="G20" s="560"/>
      <c r="H20" s="560"/>
      <c r="I20" s="560"/>
      <c r="J20" s="560"/>
      <c r="K20" s="560"/>
      <c r="L20" s="560"/>
      <c r="M20" s="560"/>
      <c r="N20" s="560"/>
      <c r="O20" s="560"/>
      <c r="P20" s="561"/>
      <c r="Q20" s="556" t="s">
        <v>377</v>
      </c>
      <c r="R20" s="557"/>
      <c r="S20" s="557"/>
      <c r="T20" s="557"/>
      <c r="U20" s="557"/>
      <c r="V20" s="557"/>
      <c r="W20" s="557"/>
      <c r="X20" s="557"/>
      <c r="Y20" s="557"/>
      <c r="Z20" s="557"/>
      <c r="AA20" s="557"/>
      <c r="AB20" s="557"/>
      <c r="AC20" s="557"/>
      <c r="AD20" s="558"/>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62" t="s">
        <v>378</v>
      </c>
      <c r="B22" s="563"/>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51" t="s">
        <v>379</v>
      </c>
      <c r="B23" s="552"/>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51" t="s">
        <v>380</v>
      </c>
      <c r="B24" s="552"/>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39" t="s">
        <v>381</v>
      </c>
      <c r="B25" s="640"/>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35" t="s">
        <v>76</v>
      </c>
      <c r="B27" s="636"/>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8"/>
    </row>
    <row r="28" spans="1:30" ht="15" customHeight="1">
      <c r="A28" s="650" t="s">
        <v>189</v>
      </c>
      <c r="B28" s="652" t="s">
        <v>6</v>
      </c>
      <c r="C28" s="653"/>
      <c r="D28" s="552" t="s">
        <v>398</v>
      </c>
      <c r="E28" s="656"/>
      <c r="F28" s="656"/>
      <c r="G28" s="656"/>
      <c r="H28" s="656"/>
      <c r="I28" s="656"/>
      <c r="J28" s="656"/>
      <c r="K28" s="656"/>
      <c r="L28" s="656"/>
      <c r="M28" s="656"/>
      <c r="N28" s="656"/>
      <c r="O28" s="657"/>
      <c r="P28" s="658" t="s">
        <v>8</v>
      </c>
      <c r="Q28" s="658" t="s">
        <v>84</v>
      </c>
      <c r="R28" s="658"/>
      <c r="S28" s="658"/>
      <c r="T28" s="658"/>
      <c r="U28" s="658"/>
      <c r="V28" s="658"/>
      <c r="W28" s="658"/>
      <c r="X28" s="658"/>
      <c r="Y28" s="658"/>
      <c r="Z28" s="658"/>
      <c r="AA28" s="658"/>
      <c r="AB28" s="658"/>
      <c r="AC28" s="658"/>
      <c r="AD28" s="659"/>
    </row>
    <row r="29" spans="1:30" ht="27" customHeight="1">
      <c r="A29" s="651"/>
      <c r="B29" s="654"/>
      <c r="C29" s="655"/>
      <c r="D29" s="173" t="s">
        <v>39</v>
      </c>
      <c r="E29" s="173" t="s">
        <v>40</v>
      </c>
      <c r="F29" s="173" t="s">
        <v>41</v>
      </c>
      <c r="G29" s="173" t="s">
        <v>42</v>
      </c>
      <c r="H29" s="173" t="s">
        <v>43</v>
      </c>
      <c r="I29" s="173" t="s">
        <v>44</v>
      </c>
      <c r="J29" s="173" t="s">
        <v>45</v>
      </c>
      <c r="K29" s="173" t="s">
        <v>46</v>
      </c>
      <c r="L29" s="173" t="s">
        <v>47</v>
      </c>
      <c r="M29" s="173" t="s">
        <v>48</v>
      </c>
      <c r="N29" s="173" t="s">
        <v>49</v>
      </c>
      <c r="O29" s="173" t="s">
        <v>50</v>
      </c>
      <c r="P29" s="657"/>
      <c r="Q29" s="658"/>
      <c r="R29" s="658"/>
      <c r="S29" s="658"/>
      <c r="T29" s="658"/>
      <c r="U29" s="658"/>
      <c r="V29" s="658"/>
      <c r="W29" s="658"/>
      <c r="X29" s="658"/>
      <c r="Y29" s="658"/>
      <c r="Z29" s="658"/>
      <c r="AA29" s="658"/>
      <c r="AB29" s="658"/>
      <c r="AC29" s="658"/>
      <c r="AD29" s="659"/>
    </row>
    <row r="30" spans="1:30" ht="42" customHeight="1" thickBot="1">
      <c r="A30" s="88"/>
      <c r="B30" s="665"/>
      <c r="C30" s="666"/>
      <c r="D30" s="92"/>
      <c r="E30" s="92"/>
      <c r="F30" s="92"/>
      <c r="G30" s="92"/>
      <c r="H30" s="92"/>
      <c r="I30" s="92"/>
      <c r="J30" s="92"/>
      <c r="K30" s="92"/>
      <c r="L30" s="92"/>
      <c r="M30" s="92"/>
      <c r="N30" s="92"/>
      <c r="O30" s="92"/>
      <c r="P30" s="89">
        <f>SUM(D30:O30)</f>
        <v>0</v>
      </c>
      <c r="Q30" s="667" t="s">
        <v>296</v>
      </c>
      <c r="R30" s="667"/>
      <c r="S30" s="667"/>
      <c r="T30" s="667"/>
      <c r="U30" s="667"/>
      <c r="V30" s="667"/>
      <c r="W30" s="667"/>
      <c r="X30" s="667"/>
      <c r="Y30" s="667"/>
      <c r="Z30" s="667"/>
      <c r="AA30" s="667"/>
      <c r="AB30" s="667"/>
      <c r="AC30" s="667"/>
      <c r="AD30" s="668"/>
    </row>
    <row r="31" spans="1:30" ht="45" customHeight="1">
      <c r="A31" s="599" t="s">
        <v>292</v>
      </c>
      <c r="B31" s="600"/>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1"/>
    </row>
    <row r="32" spans="1:41" ht="22.5" customHeight="1">
      <c r="A32" s="551" t="s">
        <v>190</v>
      </c>
      <c r="B32" s="658" t="s">
        <v>62</v>
      </c>
      <c r="C32" s="658" t="s">
        <v>6</v>
      </c>
      <c r="D32" s="658" t="s">
        <v>60</v>
      </c>
      <c r="E32" s="658"/>
      <c r="F32" s="658"/>
      <c r="G32" s="658"/>
      <c r="H32" s="658"/>
      <c r="I32" s="658"/>
      <c r="J32" s="658"/>
      <c r="K32" s="658"/>
      <c r="L32" s="658"/>
      <c r="M32" s="658"/>
      <c r="N32" s="658"/>
      <c r="O32" s="658"/>
      <c r="P32" s="658"/>
      <c r="Q32" s="658" t="s">
        <v>85</v>
      </c>
      <c r="R32" s="658"/>
      <c r="S32" s="658"/>
      <c r="T32" s="658"/>
      <c r="U32" s="658"/>
      <c r="V32" s="658"/>
      <c r="W32" s="658"/>
      <c r="X32" s="658"/>
      <c r="Y32" s="658"/>
      <c r="Z32" s="658"/>
      <c r="AA32" s="658"/>
      <c r="AB32" s="658"/>
      <c r="AC32" s="658"/>
      <c r="AD32" s="659"/>
      <c r="AG32" s="90"/>
      <c r="AH32" s="90"/>
      <c r="AI32" s="90"/>
      <c r="AJ32" s="90"/>
      <c r="AK32" s="90"/>
      <c r="AL32" s="90"/>
      <c r="AM32" s="90"/>
      <c r="AN32" s="90"/>
      <c r="AO32" s="90"/>
    </row>
    <row r="33" spans="1:41" ht="27" customHeight="1">
      <c r="A33" s="551"/>
      <c r="B33" s="658"/>
      <c r="C33" s="669"/>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658" t="s">
        <v>403</v>
      </c>
      <c r="R33" s="658"/>
      <c r="S33" s="658"/>
      <c r="T33" s="658" t="s">
        <v>406</v>
      </c>
      <c r="U33" s="658"/>
      <c r="V33" s="658"/>
      <c r="W33" s="654" t="s">
        <v>81</v>
      </c>
      <c r="X33" s="670"/>
      <c r="Y33" s="670"/>
      <c r="Z33" s="655"/>
      <c r="AA33" s="654" t="s">
        <v>82</v>
      </c>
      <c r="AB33" s="670"/>
      <c r="AC33" s="670"/>
      <c r="AD33" s="671"/>
      <c r="AG33" s="90"/>
      <c r="AH33" s="90"/>
      <c r="AI33" s="90"/>
      <c r="AJ33" s="90"/>
      <c r="AK33" s="90"/>
      <c r="AL33" s="90"/>
      <c r="AM33" s="90"/>
      <c r="AN33" s="90"/>
      <c r="AO33" s="90"/>
    </row>
    <row r="34" spans="1:41" ht="45" customHeight="1">
      <c r="A34" s="672"/>
      <c r="B34" s="674"/>
      <c r="C34" s="93" t="s">
        <v>9</v>
      </c>
      <c r="D34" s="92"/>
      <c r="E34" s="92"/>
      <c r="F34" s="92"/>
      <c r="G34" s="92"/>
      <c r="H34" s="92"/>
      <c r="I34" s="92"/>
      <c r="J34" s="92"/>
      <c r="K34" s="92"/>
      <c r="L34" s="92"/>
      <c r="M34" s="92"/>
      <c r="N34" s="92"/>
      <c r="O34" s="92"/>
      <c r="P34" s="212">
        <f>SUM(D34:O34)</f>
        <v>0</v>
      </c>
      <c r="Q34" s="676" t="s">
        <v>404</v>
      </c>
      <c r="R34" s="677"/>
      <c r="S34" s="678"/>
      <c r="T34" s="677" t="s">
        <v>405</v>
      </c>
      <c r="U34" s="677"/>
      <c r="V34" s="678"/>
      <c r="W34" s="676" t="s">
        <v>402</v>
      </c>
      <c r="X34" s="677"/>
      <c r="Y34" s="677"/>
      <c r="Z34" s="678"/>
      <c r="AA34" s="676" t="s">
        <v>407</v>
      </c>
      <c r="AB34" s="677"/>
      <c r="AC34" s="677"/>
      <c r="AD34" s="682"/>
      <c r="AG34" s="90"/>
      <c r="AH34" s="90"/>
      <c r="AI34" s="90"/>
      <c r="AJ34" s="90"/>
      <c r="AK34" s="90"/>
      <c r="AL34" s="90"/>
      <c r="AM34" s="90"/>
      <c r="AN34" s="90"/>
      <c r="AO34" s="90"/>
    </row>
    <row r="35" spans="1:41" ht="45" customHeight="1" thickBot="1">
      <c r="A35" s="673"/>
      <c r="B35" s="675"/>
      <c r="C35" s="94" t="s">
        <v>10</v>
      </c>
      <c r="D35" s="95"/>
      <c r="E35" s="95"/>
      <c r="F35" s="95"/>
      <c r="G35" s="96"/>
      <c r="H35" s="96"/>
      <c r="I35" s="96"/>
      <c r="J35" s="96"/>
      <c r="K35" s="96"/>
      <c r="L35" s="96"/>
      <c r="M35" s="96"/>
      <c r="N35" s="96"/>
      <c r="O35" s="96"/>
      <c r="P35" s="178">
        <f>SUM(D35:O35)</f>
        <v>0</v>
      </c>
      <c r="Q35" s="679"/>
      <c r="R35" s="680"/>
      <c r="S35" s="681"/>
      <c r="T35" s="680"/>
      <c r="U35" s="680"/>
      <c r="V35" s="681"/>
      <c r="W35" s="679"/>
      <c r="X35" s="680"/>
      <c r="Y35" s="680"/>
      <c r="Z35" s="681"/>
      <c r="AA35" s="679"/>
      <c r="AB35" s="680"/>
      <c r="AC35" s="680"/>
      <c r="AD35" s="683"/>
      <c r="AE35" s="50"/>
      <c r="AF35" s="97"/>
      <c r="AG35" s="90"/>
      <c r="AH35" s="90"/>
      <c r="AI35" s="90"/>
      <c r="AJ35" s="90"/>
      <c r="AK35" s="90"/>
      <c r="AL35" s="90"/>
      <c r="AM35" s="90"/>
      <c r="AN35" s="90"/>
      <c r="AO35" s="90"/>
    </row>
    <row r="36" spans="1:41" ht="25.5" customHeight="1">
      <c r="A36" s="562" t="s">
        <v>191</v>
      </c>
      <c r="B36" s="684" t="s">
        <v>61</v>
      </c>
      <c r="C36" s="686" t="s">
        <v>11</v>
      </c>
      <c r="D36" s="686"/>
      <c r="E36" s="686"/>
      <c r="F36" s="686"/>
      <c r="G36" s="686"/>
      <c r="H36" s="686"/>
      <c r="I36" s="686"/>
      <c r="J36" s="686"/>
      <c r="K36" s="686"/>
      <c r="L36" s="686"/>
      <c r="M36" s="686"/>
      <c r="N36" s="686"/>
      <c r="O36" s="686"/>
      <c r="P36" s="686"/>
      <c r="Q36" s="563" t="s">
        <v>78</v>
      </c>
      <c r="R36" s="687"/>
      <c r="S36" s="687"/>
      <c r="T36" s="687"/>
      <c r="U36" s="687"/>
      <c r="V36" s="687"/>
      <c r="W36" s="687"/>
      <c r="X36" s="687"/>
      <c r="Y36" s="687"/>
      <c r="Z36" s="687"/>
      <c r="AA36" s="687"/>
      <c r="AB36" s="687"/>
      <c r="AC36" s="687"/>
      <c r="AD36" s="688"/>
      <c r="AG36" s="90"/>
      <c r="AH36" s="90"/>
      <c r="AI36" s="90"/>
      <c r="AJ36" s="90"/>
      <c r="AK36" s="90"/>
      <c r="AL36" s="90"/>
      <c r="AM36" s="90"/>
      <c r="AN36" s="90"/>
      <c r="AO36" s="90"/>
    </row>
    <row r="37" spans="1:41" ht="25.5" customHeight="1">
      <c r="A37" s="551"/>
      <c r="B37" s="685"/>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52" t="s">
        <v>83</v>
      </c>
      <c r="R37" s="656"/>
      <c r="S37" s="656"/>
      <c r="T37" s="656"/>
      <c r="U37" s="656"/>
      <c r="V37" s="656"/>
      <c r="W37" s="656"/>
      <c r="X37" s="656"/>
      <c r="Y37" s="656"/>
      <c r="Z37" s="656"/>
      <c r="AA37" s="656"/>
      <c r="AB37" s="656"/>
      <c r="AC37" s="656"/>
      <c r="AD37" s="689"/>
      <c r="AG37" s="98"/>
      <c r="AH37" s="98"/>
      <c r="AI37" s="98"/>
      <c r="AJ37" s="98"/>
      <c r="AK37" s="98"/>
      <c r="AL37" s="98"/>
      <c r="AM37" s="98"/>
      <c r="AN37" s="98"/>
      <c r="AO37" s="98"/>
    </row>
    <row r="38" spans="1:41" ht="28.5" customHeight="1">
      <c r="A38" s="690"/>
      <c r="B38" s="692"/>
      <c r="C38" s="93" t="s">
        <v>9</v>
      </c>
      <c r="D38" s="99"/>
      <c r="E38" s="99"/>
      <c r="F38" s="99"/>
      <c r="G38" s="99"/>
      <c r="H38" s="99"/>
      <c r="I38" s="99"/>
      <c r="J38" s="99"/>
      <c r="K38" s="99"/>
      <c r="L38" s="99"/>
      <c r="M38" s="99"/>
      <c r="N38" s="99"/>
      <c r="O38" s="99"/>
      <c r="P38" s="100">
        <f aca="true" t="shared" si="0" ref="P38:P45">SUM(D38:O38)</f>
        <v>0</v>
      </c>
      <c r="Q38" s="694" t="s">
        <v>408</v>
      </c>
      <c r="R38" s="695"/>
      <c r="S38" s="695"/>
      <c r="T38" s="695"/>
      <c r="U38" s="695"/>
      <c r="V38" s="695"/>
      <c r="W38" s="695"/>
      <c r="X38" s="695"/>
      <c r="Y38" s="695"/>
      <c r="Z38" s="695"/>
      <c r="AA38" s="695"/>
      <c r="AB38" s="695"/>
      <c r="AC38" s="695"/>
      <c r="AD38" s="696"/>
      <c r="AE38" s="101"/>
      <c r="AG38" s="102"/>
      <c r="AH38" s="102"/>
      <c r="AI38" s="102"/>
      <c r="AJ38" s="102"/>
      <c r="AK38" s="102"/>
      <c r="AL38" s="102"/>
      <c r="AM38" s="102"/>
      <c r="AN38" s="102"/>
      <c r="AO38" s="102"/>
    </row>
    <row r="39" spans="1:31" ht="28.5" customHeight="1">
      <c r="A39" s="691"/>
      <c r="B39" s="693"/>
      <c r="C39" s="103" t="s">
        <v>10</v>
      </c>
      <c r="D39" s="104"/>
      <c r="E39" s="104"/>
      <c r="F39" s="104"/>
      <c r="G39" s="104"/>
      <c r="H39" s="104"/>
      <c r="I39" s="104"/>
      <c r="J39" s="104"/>
      <c r="K39" s="104"/>
      <c r="L39" s="104"/>
      <c r="M39" s="104"/>
      <c r="N39" s="104"/>
      <c r="O39" s="104"/>
      <c r="P39" s="105">
        <f t="shared" si="0"/>
        <v>0</v>
      </c>
      <c r="Q39" s="697"/>
      <c r="R39" s="698"/>
      <c r="S39" s="698"/>
      <c r="T39" s="698"/>
      <c r="U39" s="698"/>
      <c r="V39" s="698"/>
      <c r="W39" s="698"/>
      <c r="X39" s="698"/>
      <c r="Y39" s="698"/>
      <c r="Z39" s="698"/>
      <c r="AA39" s="698"/>
      <c r="AB39" s="698"/>
      <c r="AC39" s="698"/>
      <c r="AD39" s="699"/>
      <c r="AE39" s="101"/>
    </row>
    <row r="40" spans="1:31" ht="28.5" customHeight="1">
      <c r="A40" s="691"/>
      <c r="B40" s="702"/>
      <c r="C40" s="106" t="s">
        <v>9</v>
      </c>
      <c r="D40" s="107"/>
      <c r="E40" s="107"/>
      <c r="F40" s="107"/>
      <c r="G40" s="107"/>
      <c r="H40" s="107"/>
      <c r="I40" s="107"/>
      <c r="J40" s="107"/>
      <c r="K40" s="107"/>
      <c r="L40" s="107"/>
      <c r="M40" s="107"/>
      <c r="N40" s="107"/>
      <c r="O40" s="107"/>
      <c r="P40" s="105">
        <f t="shared" si="0"/>
        <v>0</v>
      </c>
      <c r="Q40" s="704"/>
      <c r="R40" s="705"/>
      <c r="S40" s="705"/>
      <c r="T40" s="705"/>
      <c r="U40" s="705"/>
      <c r="V40" s="705"/>
      <c r="W40" s="705"/>
      <c r="X40" s="705"/>
      <c r="Y40" s="705"/>
      <c r="Z40" s="705"/>
      <c r="AA40" s="705"/>
      <c r="AB40" s="705"/>
      <c r="AC40" s="705"/>
      <c r="AD40" s="706"/>
      <c r="AE40" s="101"/>
    </row>
    <row r="41" spans="1:31" ht="28.5" customHeight="1">
      <c r="A41" s="691"/>
      <c r="B41" s="693"/>
      <c r="C41" s="103" t="s">
        <v>10</v>
      </c>
      <c r="D41" s="104"/>
      <c r="E41" s="104"/>
      <c r="F41" s="104"/>
      <c r="G41" s="104"/>
      <c r="H41" s="104"/>
      <c r="I41" s="104"/>
      <c r="J41" s="104"/>
      <c r="K41" s="104"/>
      <c r="L41" s="108"/>
      <c r="M41" s="108"/>
      <c r="N41" s="108"/>
      <c r="O41" s="108"/>
      <c r="P41" s="105">
        <f t="shared" si="0"/>
        <v>0</v>
      </c>
      <c r="Q41" s="710"/>
      <c r="R41" s="711"/>
      <c r="S41" s="711"/>
      <c r="T41" s="711"/>
      <c r="U41" s="711"/>
      <c r="V41" s="711"/>
      <c r="W41" s="711"/>
      <c r="X41" s="711"/>
      <c r="Y41" s="711"/>
      <c r="Z41" s="711"/>
      <c r="AA41" s="711"/>
      <c r="AB41" s="711"/>
      <c r="AC41" s="711"/>
      <c r="AD41" s="712"/>
      <c r="AE41" s="101"/>
    </row>
    <row r="42" spans="1:31" ht="28.5" customHeight="1">
      <c r="A42" s="713"/>
      <c r="B42" s="702"/>
      <c r="C42" s="106" t="s">
        <v>9</v>
      </c>
      <c r="D42" s="107"/>
      <c r="E42" s="107"/>
      <c r="F42" s="107"/>
      <c r="G42" s="107"/>
      <c r="H42" s="107"/>
      <c r="I42" s="107"/>
      <c r="J42" s="107"/>
      <c r="K42" s="107"/>
      <c r="L42" s="107"/>
      <c r="M42" s="107"/>
      <c r="N42" s="107"/>
      <c r="O42" s="107"/>
      <c r="P42" s="105">
        <f t="shared" si="0"/>
        <v>0</v>
      </c>
      <c r="Q42" s="704"/>
      <c r="R42" s="705"/>
      <c r="S42" s="705"/>
      <c r="T42" s="705"/>
      <c r="U42" s="705"/>
      <c r="V42" s="705"/>
      <c r="W42" s="705"/>
      <c r="X42" s="705"/>
      <c r="Y42" s="705"/>
      <c r="Z42" s="705"/>
      <c r="AA42" s="705"/>
      <c r="AB42" s="705"/>
      <c r="AC42" s="705"/>
      <c r="AD42" s="706"/>
      <c r="AE42" s="101"/>
    </row>
    <row r="43" spans="1:31" ht="28.5" customHeight="1">
      <c r="A43" s="714"/>
      <c r="B43" s="693"/>
      <c r="C43" s="103" t="s">
        <v>10</v>
      </c>
      <c r="D43" s="104"/>
      <c r="E43" s="104"/>
      <c r="F43" s="104"/>
      <c r="G43" s="109"/>
      <c r="H43" s="104"/>
      <c r="I43" s="104"/>
      <c r="J43" s="104"/>
      <c r="K43" s="104"/>
      <c r="L43" s="108"/>
      <c r="M43" s="108"/>
      <c r="N43" s="108"/>
      <c r="O43" s="108"/>
      <c r="P43" s="105">
        <f t="shared" si="0"/>
        <v>0</v>
      </c>
      <c r="Q43" s="710"/>
      <c r="R43" s="711"/>
      <c r="S43" s="711"/>
      <c r="T43" s="711"/>
      <c r="U43" s="711"/>
      <c r="V43" s="711"/>
      <c r="W43" s="711"/>
      <c r="X43" s="711"/>
      <c r="Y43" s="711"/>
      <c r="Z43" s="711"/>
      <c r="AA43" s="711"/>
      <c r="AB43" s="711"/>
      <c r="AC43" s="711"/>
      <c r="AD43" s="712"/>
      <c r="AE43" s="101"/>
    </row>
    <row r="44" spans="1:31" ht="28.5" customHeight="1">
      <c r="A44" s="700"/>
      <c r="B44" s="702"/>
      <c r="C44" s="106" t="s">
        <v>9</v>
      </c>
      <c r="D44" s="107"/>
      <c r="E44" s="107"/>
      <c r="F44" s="107"/>
      <c r="G44" s="107"/>
      <c r="H44" s="107"/>
      <c r="I44" s="107"/>
      <c r="J44" s="107"/>
      <c r="K44" s="107"/>
      <c r="L44" s="107"/>
      <c r="M44" s="107"/>
      <c r="N44" s="107"/>
      <c r="O44" s="107"/>
      <c r="P44" s="105">
        <f t="shared" si="0"/>
        <v>0</v>
      </c>
      <c r="Q44" s="704"/>
      <c r="R44" s="705"/>
      <c r="S44" s="705"/>
      <c r="T44" s="705"/>
      <c r="U44" s="705"/>
      <c r="V44" s="705"/>
      <c r="W44" s="705"/>
      <c r="X44" s="705"/>
      <c r="Y44" s="705"/>
      <c r="Z44" s="705"/>
      <c r="AA44" s="705"/>
      <c r="AB44" s="705"/>
      <c r="AC44" s="705"/>
      <c r="AD44" s="706"/>
      <c r="AE44" s="101"/>
    </row>
    <row r="45" spans="1:31" ht="28.5" customHeight="1" thickBot="1">
      <c r="A45" s="701"/>
      <c r="B45" s="703"/>
      <c r="C45" s="94" t="s">
        <v>10</v>
      </c>
      <c r="D45" s="110"/>
      <c r="E45" s="110"/>
      <c r="F45" s="110"/>
      <c r="G45" s="110"/>
      <c r="H45" s="110"/>
      <c r="I45" s="110"/>
      <c r="J45" s="110"/>
      <c r="K45" s="110"/>
      <c r="L45" s="111"/>
      <c r="M45" s="111"/>
      <c r="N45" s="111"/>
      <c r="O45" s="111"/>
      <c r="P45" s="112">
        <f t="shared" si="0"/>
        <v>0</v>
      </c>
      <c r="Q45" s="707"/>
      <c r="R45" s="708"/>
      <c r="S45" s="708"/>
      <c r="T45" s="708"/>
      <c r="U45" s="708"/>
      <c r="V45" s="708"/>
      <c r="W45" s="708"/>
      <c r="X45" s="708"/>
      <c r="Y45" s="708"/>
      <c r="Z45" s="708"/>
      <c r="AA45" s="708"/>
      <c r="AB45" s="708"/>
      <c r="AC45" s="708"/>
      <c r="AD45" s="709"/>
      <c r="AE45" s="101"/>
    </row>
    <row r="46" ht="15">
      <c r="A46" s="52" t="s">
        <v>294</v>
      </c>
    </row>
  </sheetData>
  <sheetProtection/>
  <mergeCells count="82">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O49"/>
  <sheetViews>
    <sheetView showGridLines="0" view="pageBreakPreview" zoomScale="55" zoomScaleNormal="70" zoomScaleSheetLayoutView="55" workbookViewId="0" topLeftCell="I46">
      <selection activeCell="I38" sqref="A38:IV39"/>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994"/>
      <c r="B1" s="997" t="s">
        <v>16</v>
      </c>
      <c r="C1" s="998"/>
      <c r="D1" s="998"/>
      <c r="E1" s="998"/>
      <c r="F1" s="998"/>
      <c r="G1" s="998"/>
      <c r="H1" s="998"/>
      <c r="I1" s="998"/>
      <c r="J1" s="998"/>
      <c r="K1" s="998"/>
      <c r="L1" s="998"/>
      <c r="M1" s="998"/>
      <c r="N1" s="998"/>
      <c r="O1" s="998"/>
      <c r="P1" s="998"/>
      <c r="Q1" s="998"/>
      <c r="R1" s="998"/>
      <c r="S1" s="998"/>
      <c r="T1" s="998"/>
      <c r="U1" s="998"/>
      <c r="V1" s="998"/>
      <c r="W1" s="998"/>
      <c r="X1" s="998"/>
      <c r="Y1" s="998"/>
      <c r="Z1" s="998"/>
      <c r="AA1" s="999"/>
      <c r="AB1" s="1000" t="s">
        <v>423</v>
      </c>
      <c r="AC1" s="1001"/>
      <c r="AD1" s="1002"/>
    </row>
    <row r="2" spans="1:30" ht="30.75" customHeight="1" thickBot="1">
      <c r="A2" s="995"/>
      <c r="B2" s="997" t="s">
        <v>17</v>
      </c>
      <c r="C2" s="998"/>
      <c r="D2" s="998"/>
      <c r="E2" s="998"/>
      <c r="F2" s="998"/>
      <c r="G2" s="998"/>
      <c r="H2" s="998"/>
      <c r="I2" s="998"/>
      <c r="J2" s="998"/>
      <c r="K2" s="998"/>
      <c r="L2" s="998"/>
      <c r="M2" s="998"/>
      <c r="N2" s="998"/>
      <c r="O2" s="998"/>
      <c r="P2" s="998"/>
      <c r="Q2" s="998"/>
      <c r="R2" s="998"/>
      <c r="S2" s="998"/>
      <c r="T2" s="998"/>
      <c r="U2" s="998"/>
      <c r="V2" s="998"/>
      <c r="W2" s="998"/>
      <c r="X2" s="998"/>
      <c r="Y2" s="998"/>
      <c r="Z2" s="998"/>
      <c r="AA2" s="999"/>
      <c r="AB2" s="968" t="s">
        <v>418</v>
      </c>
      <c r="AC2" s="969"/>
      <c r="AD2" s="970"/>
    </row>
    <row r="3" spans="1:30" ht="24" customHeight="1">
      <c r="A3" s="995"/>
      <c r="B3" s="920" t="s">
        <v>295</v>
      </c>
      <c r="C3" s="921"/>
      <c r="D3" s="921"/>
      <c r="E3" s="921"/>
      <c r="F3" s="921"/>
      <c r="G3" s="921"/>
      <c r="H3" s="921"/>
      <c r="I3" s="921"/>
      <c r="J3" s="921"/>
      <c r="K3" s="921"/>
      <c r="L3" s="921"/>
      <c r="M3" s="921"/>
      <c r="N3" s="921"/>
      <c r="O3" s="921"/>
      <c r="P3" s="921"/>
      <c r="Q3" s="921"/>
      <c r="R3" s="921"/>
      <c r="S3" s="921"/>
      <c r="T3" s="921"/>
      <c r="U3" s="921"/>
      <c r="V3" s="921"/>
      <c r="W3" s="921"/>
      <c r="X3" s="921"/>
      <c r="Y3" s="921"/>
      <c r="Z3" s="921"/>
      <c r="AA3" s="922"/>
      <c r="AB3" s="968" t="s">
        <v>424</v>
      </c>
      <c r="AC3" s="969"/>
      <c r="AD3" s="970"/>
    </row>
    <row r="4" spans="1:30" ht="21.75" customHeight="1" thickBot="1">
      <c r="A4" s="996"/>
      <c r="B4" s="965"/>
      <c r="C4" s="966"/>
      <c r="D4" s="966"/>
      <c r="E4" s="966"/>
      <c r="F4" s="966"/>
      <c r="G4" s="966"/>
      <c r="H4" s="966"/>
      <c r="I4" s="966"/>
      <c r="J4" s="966"/>
      <c r="K4" s="966"/>
      <c r="L4" s="966"/>
      <c r="M4" s="966"/>
      <c r="N4" s="966"/>
      <c r="O4" s="966"/>
      <c r="P4" s="966"/>
      <c r="Q4" s="966"/>
      <c r="R4" s="966"/>
      <c r="S4" s="966"/>
      <c r="T4" s="966"/>
      <c r="U4" s="966"/>
      <c r="V4" s="966"/>
      <c r="W4" s="966"/>
      <c r="X4" s="966"/>
      <c r="Y4" s="966"/>
      <c r="Z4" s="966"/>
      <c r="AA4" s="967"/>
      <c r="AB4" s="605" t="s">
        <v>777</v>
      </c>
      <c r="AC4" s="606"/>
      <c r="AD4" s="607"/>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08" t="s">
        <v>293</v>
      </c>
      <c r="B7" s="609"/>
      <c r="C7" s="958" t="s">
        <v>47</v>
      </c>
      <c r="D7" s="608" t="s">
        <v>71</v>
      </c>
      <c r="E7" s="614"/>
      <c r="F7" s="614"/>
      <c r="G7" s="614"/>
      <c r="H7" s="609"/>
      <c r="I7" s="986">
        <v>45205</v>
      </c>
      <c r="J7" s="987"/>
      <c r="K7" s="608" t="s">
        <v>67</v>
      </c>
      <c r="L7" s="609"/>
      <c r="M7" s="992" t="s">
        <v>70</v>
      </c>
      <c r="N7" s="993"/>
      <c r="O7" s="971"/>
      <c r="P7" s="972"/>
      <c r="Q7" s="252"/>
      <c r="R7" s="252"/>
      <c r="S7" s="252"/>
      <c r="T7" s="252"/>
      <c r="U7" s="252"/>
      <c r="V7" s="252"/>
      <c r="W7" s="252"/>
      <c r="X7" s="252"/>
      <c r="Y7" s="252"/>
      <c r="Z7" s="253"/>
      <c r="AA7" s="252"/>
      <c r="AB7" s="252"/>
      <c r="AC7" s="258"/>
      <c r="AD7" s="259"/>
    </row>
    <row r="8" spans="1:30" ht="15" customHeight="1">
      <c r="A8" s="610"/>
      <c r="B8" s="611"/>
      <c r="C8" s="959"/>
      <c r="D8" s="610"/>
      <c r="E8" s="961"/>
      <c r="F8" s="961"/>
      <c r="G8" s="961"/>
      <c r="H8" s="611"/>
      <c r="I8" s="988"/>
      <c r="J8" s="989"/>
      <c r="K8" s="610"/>
      <c r="L8" s="611"/>
      <c r="M8" s="973" t="s">
        <v>68</v>
      </c>
      <c r="N8" s="974"/>
      <c r="O8" s="975"/>
      <c r="P8" s="976"/>
      <c r="Q8" s="252"/>
      <c r="R8" s="252"/>
      <c r="S8" s="252"/>
      <c r="T8" s="252"/>
      <c r="U8" s="252"/>
      <c r="V8" s="252"/>
      <c r="W8" s="252"/>
      <c r="X8" s="252"/>
      <c r="Y8" s="252"/>
      <c r="Z8" s="253"/>
      <c r="AA8" s="252"/>
      <c r="AB8" s="252"/>
      <c r="AC8" s="258"/>
      <c r="AD8" s="259"/>
    </row>
    <row r="9" spans="1:30" ht="15.75" customHeight="1" thickBot="1">
      <c r="A9" s="612"/>
      <c r="B9" s="613"/>
      <c r="C9" s="960"/>
      <c r="D9" s="612"/>
      <c r="E9" s="616"/>
      <c r="F9" s="616"/>
      <c r="G9" s="616"/>
      <c r="H9" s="613"/>
      <c r="I9" s="990"/>
      <c r="J9" s="991"/>
      <c r="K9" s="612"/>
      <c r="L9" s="613"/>
      <c r="M9" s="977" t="s">
        <v>69</v>
      </c>
      <c r="N9" s="978"/>
      <c r="O9" s="979" t="s">
        <v>425</v>
      </c>
      <c r="P9" s="980"/>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08" t="s">
        <v>0</v>
      </c>
      <c r="B11" s="609"/>
      <c r="C11" s="575" t="s">
        <v>497</v>
      </c>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7"/>
    </row>
    <row r="12" spans="1:30" ht="15" customHeight="1">
      <c r="A12" s="610"/>
      <c r="B12" s="611"/>
      <c r="C12" s="578"/>
      <c r="D12" s="1003"/>
      <c r="E12" s="1003"/>
      <c r="F12" s="1003"/>
      <c r="G12" s="1003"/>
      <c r="H12" s="1003"/>
      <c r="I12" s="1003"/>
      <c r="J12" s="1003"/>
      <c r="K12" s="1003"/>
      <c r="L12" s="1003"/>
      <c r="M12" s="1003"/>
      <c r="N12" s="1003"/>
      <c r="O12" s="1003"/>
      <c r="P12" s="1003"/>
      <c r="Q12" s="1003"/>
      <c r="R12" s="1003"/>
      <c r="S12" s="1003"/>
      <c r="T12" s="1003"/>
      <c r="U12" s="1003"/>
      <c r="V12" s="1003"/>
      <c r="W12" s="1003"/>
      <c r="X12" s="1003"/>
      <c r="Y12" s="1003"/>
      <c r="Z12" s="1003"/>
      <c r="AA12" s="1003"/>
      <c r="AB12" s="1003"/>
      <c r="AC12" s="1003"/>
      <c r="AD12" s="580"/>
    </row>
    <row r="13" spans="1:30" ht="15" customHeight="1" thickBot="1">
      <c r="A13" s="612"/>
      <c r="B13" s="613"/>
      <c r="C13" s="581"/>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3"/>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5" t="s">
        <v>77</v>
      </c>
      <c r="B15" s="646"/>
      <c r="C15" s="940" t="s">
        <v>426</v>
      </c>
      <c r="D15" s="941"/>
      <c r="E15" s="941"/>
      <c r="F15" s="941"/>
      <c r="G15" s="941"/>
      <c r="H15" s="941"/>
      <c r="I15" s="941"/>
      <c r="J15" s="941"/>
      <c r="K15" s="942"/>
      <c r="L15" s="584" t="s">
        <v>73</v>
      </c>
      <c r="M15" s="585"/>
      <c r="N15" s="585"/>
      <c r="O15" s="585"/>
      <c r="P15" s="585"/>
      <c r="Q15" s="586"/>
      <c r="R15" s="962" t="s">
        <v>622</v>
      </c>
      <c r="S15" s="963"/>
      <c r="T15" s="963"/>
      <c r="U15" s="963"/>
      <c r="V15" s="963"/>
      <c r="W15" s="963"/>
      <c r="X15" s="964"/>
      <c r="Y15" s="584" t="s">
        <v>72</v>
      </c>
      <c r="Z15" s="586"/>
      <c r="AA15" s="940" t="s">
        <v>623</v>
      </c>
      <c r="AB15" s="941"/>
      <c r="AC15" s="941"/>
      <c r="AD15" s="942"/>
    </row>
    <row r="16" spans="1:30" ht="9" customHeight="1" thickBot="1">
      <c r="A16" s="257"/>
      <c r="B16" s="252"/>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271"/>
      <c r="AD16" s="272"/>
    </row>
    <row r="17" spans="1:30" s="273" customFormat="1" ht="37.5" customHeight="1" thickBot="1">
      <c r="A17" s="645" t="s">
        <v>79</v>
      </c>
      <c r="B17" s="646"/>
      <c r="C17" s="548" t="s">
        <v>579</v>
      </c>
      <c r="D17" s="549"/>
      <c r="E17" s="549"/>
      <c r="F17" s="549"/>
      <c r="G17" s="549"/>
      <c r="H17" s="549"/>
      <c r="I17" s="549"/>
      <c r="J17" s="549"/>
      <c r="K17" s="549"/>
      <c r="L17" s="549"/>
      <c r="M17" s="549"/>
      <c r="N17" s="549"/>
      <c r="O17" s="549"/>
      <c r="P17" s="549"/>
      <c r="Q17" s="550"/>
      <c r="R17" s="584" t="s">
        <v>374</v>
      </c>
      <c r="S17" s="585"/>
      <c r="T17" s="585"/>
      <c r="U17" s="585"/>
      <c r="V17" s="586"/>
      <c r="W17" s="663"/>
      <c r="X17" s="664"/>
      <c r="Y17" s="585" t="s">
        <v>15</v>
      </c>
      <c r="Z17" s="585"/>
      <c r="AA17" s="585"/>
      <c r="AB17" s="586"/>
      <c r="AC17" s="947">
        <f>+VIGENCIA!D7</f>
        <v>0.58</v>
      </c>
      <c r="AD17" s="94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84" t="s">
        <v>1</v>
      </c>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6"/>
      <c r="AE19" s="275"/>
      <c r="AF19" s="275"/>
    </row>
    <row r="20" spans="1:32" ht="31.5" customHeight="1" thickBot="1">
      <c r="A20" s="276"/>
      <c r="B20" s="258"/>
      <c r="C20" s="745" t="s">
        <v>376</v>
      </c>
      <c r="D20" s="746"/>
      <c r="E20" s="746"/>
      <c r="F20" s="746"/>
      <c r="G20" s="746"/>
      <c r="H20" s="746"/>
      <c r="I20" s="746"/>
      <c r="J20" s="746"/>
      <c r="K20" s="746"/>
      <c r="L20" s="746"/>
      <c r="M20" s="746"/>
      <c r="N20" s="746"/>
      <c r="O20" s="746"/>
      <c r="P20" s="747"/>
      <c r="Q20" s="742" t="s">
        <v>377</v>
      </c>
      <c r="R20" s="938"/>
      <c r="S20" s="938"/>
      <c r="T20" s="938"/>
      <c r="U20" s="938"/>
      <c r="V20" s="938"/>
      <c r="W20" s="938"/>
      <c r="X20" s="938"/>
      <c r="Y20" s="938"/>
      <c r="Z20" s="938"/>
      <c r="AA20" s="938"/>
      <c r="AB20" s="938"/>
      <c r="AC20" s="938"/>
      <c r="AD20" s="74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39" t="s">
        <v>378</v>
      </c>
      <c r="B22" s="878"/>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923" t="s">
        <v>379</v>
      </c>
      <c r="B23" s="882"/>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f>+VIGENCIA!N16</f>
        <v>68314000</v>
      </c>
      <c r="W23" s="191">
        <f>+VIGENCIA!P16</f>
        <v>-5394667</v>
      </c>
      <c r="X23" s="191">
        <f>+VIGENCIA!R16</f>
        <v>51453333</v>
      </c>
      <c r="Y23" s="191">
        <f>+VIGENCIA!T16</f>
        <v>55813292</v>
      </c>
      <c r="Z23" s="191"/>
      <c r="AA23" s="191"/>
      <c r="AB23" s="191"/>
      <c r="AC23" s="191">
        <f>SUM(Q23:AB23)</f>
        <v>6581151159</v>
      </c>
      <c r="AD23" s="448">
        <f>+AC23/AC22</f>
        <v>0.9824752803312452</v>
      </c>
      <c r="AE23" s="4"/>
      <c r="AF23" s="4"/>
    </row>
    <row r="24" spans="1:32" ht="31.5" customHeight="1">
      <c r="A24" s="923" t="s">
        <v>380</v>
      </c>
      <c r="B24" s="882"/>
      <c r="C24" s="192">
        <f>13360000-12360000</f>
        <v>1000000</v>
      </c>
      <c r="D24" s="191">
        <v>1136000</v>
      </c>
      <c r="E24" s="191">
        <v>3553334</v>
      </c>
      <c r="F24" s="191">
        <v>57122894</v>
      </c>
      <c r="G24" s="191">
        <f>1000000-RESERVA!L14</f>
        <v>346666</v>
      </c>
      <c r="H24" s="191">
        <f>1000000-RESERVA!N14</f>
        <v>-22400000</v>
      </c>
      <c r="I24" s="191">
        <f>516500+70560000-RESERVA!P14</f>
        <v>71040500</v>
      </c>
      <c r="J24" s="191">
        <f>+RESERVA!R14</f>
        <v>0</v>
      </c>
      <c r="K24" s="191">
        <f>+(-RESERVA!T14)</f>
        <v>-1540000</v>
      </c>
      <c r="L24" s="191"/>
      <c r="M24" s="191"/>
      <c r="N24" s="191"/>
      <c r="O24" s="191">
        <f>SUM(C24:N24)</f>
        <v>110259394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48"/>
      <c r="AE24" s="4"/>
      <c r="AF24" s="4"/>
    </row>
    <row r="25" spans="1:32" ht="31.5" customHeight="1" thickBot="1">
      <c r="A25" s="927" t="s">
        <v>381</v>
      </c>
      <c r="B25" s="928"/>
      <c r="C25" s="193">
        <f>+RESERVA!E14</f>
        <v>613145</v>
      </c>
      <c r="D25" s="194">
        <f>+RESERVA!G14</f>
        <v>450994</v>
      </c>
      <c r="E25" s="194">
        <f>+RESERVA!I14</f>
        <v>634080</v>
      </c>
      <c r="F25" s="194">
        <f>+RESERVA!K14</f>
        <v>515228</v>
      </c>
      <c r="G25" s="194">
        <f>+RESERVA!M14</f>
        <v>1618238</v>
      </c>
      <c r="H25" s="194">
        <f>+RESERVA!O14</f>
        <v>2875004</v>
      </c>
      <c r="I25" s="194">
        <f>+RESERVA!Q14</f>
        <v>805846</v>
      </c>
      <c r="J25" s="194">
        <f>+RESERVA!S14</f>
        <v>631532</v>
      </c>
      <c r="K25" s="194">
        <f>+RESERVA!U14</f>
        <v>3961910</v>
      </c>
      <c r="L25" s="194"/>
      <c r="M25" s="194"/>
      <c r="N25" s="194"/>
      <c r="O25" s="194">
        <f>SUM(C25:N25)</f>
        <v>12105977</v>
      </c>
      <c r="P25" s="447">
        <f>+O25/O24</f>
        <v>0.10979542477804657</v>
      </c>
      <c r="Q25" s="193">
        <f>+VIGENCIA!E16</f>
        <v>7763070</v>
      </c>
      <c r="R25" s="194">
        <f>+VIGENCIA!G16</f>
        <v>354001805</v>
      </c>
      <c r="S25" s="194">
        <f>+VIGENCIA!I16</f>
        <v>525548557</v>
      </c>
      <c r="T25" s="194">
        <f>+VIGENCIA!K16</f>
        <v>547224383</v>
      </c>
      <c r="U25" s="194">
        <f>+VIGENCIA!M16</f>
        <v>557928399</v>
      </c>
      <c r="V25" s="194">
        <f>+VIGENCIA!O16</f>
        <v>536595066</v>
      </c>
      <c r="W25" s="194">
        <f>+VIGENCIA!Q16</f>
        <v>559772399</v>
      </c>
      <c r="X25" s="194">
        <f>+VIGENCIA!S16</f>
        <v>568905066</v>
      </c>
      <c r="Y25" s="194">
        <f>+VIGENCIA!U16</f>
        <v>550003066</v>
      </c>
      <c r="Z25" s="194"/>
      <c r="AA25" s="194"/>
      <c r="AB25" s="194"/>
      <c r="AC25" s="194">
        <f>SUM(Q25:AB25)</f>
        <v>4207741811</v>
      </c>
      <c r="AD25" s="449">
        <f>+AC25/AC24</f>
        <v>0.6281579339915792</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929" t="s">
        <v>76</v>
      </c>
      <c r="B27" s="930"/>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2"/>
    </row>
    <row r="28" spans="1:30" ht="15" customHeight="1">
      <c r="A28" s="933" t="s">
        <v>189</v>
      </c>
      <c r="B28" s="935" t="s">
        <v>6</v>
      </c>
      <c r="C28" s="936"/>
      <c r="D28" s="882" t="s">
        <v>398</v>
      </c>
      <c r="E28" s="883"/>
      <c r="F28" s="883"/>
      <c r="G28" s="883"/>
      <c r="H28" s="883"/>
      <c r="I28" s="883"/>
      <c r="J28" s="883"/>
      <c r="K28" s="883"/>
      <c r="L28" s="883"/>
      <c r="M28" s="883"/>
      <c r="N28" s="883"/>
      <c r="O28" s="937"/>
      <c r="P28" s="924" t="s">
        <v>8</v>
      </c>
      <c r="Q28" s="924" t="s">
        <v>84</v>
      </c>
      <c r="R28" s="924"/>
      <c r="S28" s="924"/>
      <c r="T28" s="924"/>
      <c r="U28" s="924"/>
      <c r="V28" s="924"/>
      <c r="W28" s="924"/>
      <c r="X28" s="924"/>
      <c r="Y28" s="924"/>
      <c r="Z28" s="924"/>
      <c r="AA28" s="924"/>
      <c r="AB28" s="924"/>
      <c r="AC28" s="924"/>
      <c r="AD28" s="926"/>
    </row>
    <row r="29" spans="1:30" ht="27" customHeight="1">
      <c r="A29" s="934"/>
      <c r="B29" s="888"/>
      <c r="C29" s="890"/>
      <c r="D29" s="281" t="s">
        <v>39</v>
      </c>
      <c r="E29" s="281" t="s">
        <v>40</v>
      </c>
      <c r="F29" s="281" t="s">
        <v>41</v>
      </c>
      <c r="G29" s="281" t="s">
        <v>42</v>
      </c>
      <c r="H29" s="281" t="s">
        <v>43</v>
      </c>
      <c r="I29" s="281" t="s">
        <v>44</v>
      </c>
      <c r="J29" s="281" t="s">
        <v>45</v>
      </c>
      <c r="K29" s="281" t="s">
        <v>46</v>
      </c>
      <c r="L29" s="281" t="s">
        <v>47</v>
      </c>
      <c r="M29" s="281" t="s">
        <v>48</v>
      </c>
      <c r="N29" s="281" t="s">
        <v>49</v>
      </c>
      <c r="O29" s="281" t="s">
        <v>50</v>
      </c>
      <c r="P29" s="937"/>
      <c r="Q29" s="924"/>
      <c r="R29" s="924"/>
      <c r="S29" s="924"/>
      <c r="T29" s="924"/>
      <c r="U29" s="924"/>
      <c r="V29" s="924"/>
      <c r="W29" s="924"/>
      <c r="X29" s="924"/>
      <c r="Y29" s="924"/>
      <c r="Z29" s="924"/>
      <c r="AA29" s="924"/>
      <c r="AB29" s="924"/>
      <c r="AC29" s="924"/>
      <c r="AD29" s="926"/>
    </row>
    <row r="30" spans="1:30" ht="70.5" customHeight="1" thickBot="1">
      <c r="A30" s="394" t="str">
        <f>C17</f>
        <v>Ejecutar el 100%  las actividades programadas para una correcta gestión administrativa y organizacional</v>
      </c>
      <c r="B30" s="1004" t="s">
        <v>450</v>
      </c>
      <c r="C30" s="1005"/>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18"/>
      <c r="R30" s="918"/>
      <c r="S30" s="918"/>
      <c r="T30" s="918"/>
      <c r="U30" s="918"/>
      <c r="V30" s="918"/>
      <c r="W30" s="918"/>
      <c r="X30" s="918"/>
      <c r="Y30" s="918"/>
      <c r="Z30" s="918"/>
      <c r="AA30" s="918"/>
      <c r="AB30" s="918"/>
      <c r="AC30" s="918"/>
      <c r="AD30" s="919"/>
    </row>
    <row r="31" spans="1:30" ht="45" customHeight="1">
      <c r="A31" s="920" t="s">
        <v>292</v>
      </c>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2"/>
    </row>
    <row r="32" spans="1:41" ht="22.5" customHeight="1">
      <c r="A32" s="923" t="s">
        <v>190</v>
      </c>
      <c r="B32" s="924" t="s">
        <v>62</v>
      </c>
      <c r="C32" s="924" t="s">
        <v>6</v>
      </c>
      <c r="D32" s="924" t="s">
        <v>60</v>
      </c>
      <c r="E32" s="924"/>
      <c r="F32" s="924"/>
      <c r="G32" s="924"/>
      <c r="H32" s="924"/>
      <c r="I32" s="924"/>
      <c r="J32" s="924"/>
      <c r="K32" s="924"/>
      <c r="L32" s="924"/>
      <c r="M32" s="924"/>
      <c r="N32" s="924"/>
      <c r="O32" s="924"/>
      <c r="P32" s="924"/>
      <c r="Q32" s="924" t="s">
        <v>85</v>
      </c>
      <c r="R32" s="924"/>
      <c r="S32" s="924"/>
      <c r="T32" s="924"/>
      <c r="U32" s="924"/>
      <c r="V32" s="924"/>
      <c r="W32" s="924"/>
      <c r="X32" s="924"/>
      <c r="Y32" s="924"/>
      <c r="Z32" s="924"/>
      <c r="AA32" s="924"/>
      <c r="AB32" s="924"/>
      <c r="AC32" s="924"/>
      <c r="AD32" s="926"/>
      <c r="AG32" s="90"/>
      <c r="AH32" s="90"/>
      <c r="AI32" s="90"/>
      <c r="AJ32" s="90"/>
      <c r="AK32" s="90"/>
      <c r="AL32" s="90"/>
      <c r="AM32" s="90"/>
      <c r="AN32" s="90"/>
      <c r="AO32" s="90"/>
    </row>
    <row r="33" spans="1:41" ht="27" customHeight="1">
      <c r="A33" s="923"/>
      <c r="B33" s="924"/>
      <c r="C33" s="925"/>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24" t="s">
        <v>403</v>
      </c>
      <c r="R33" s="924"/>
      <c r="S33" s="924"/>
      <c r="T33" s="924" t="s">
        <v>406</v>
      </c>
      <c r="U33" s="924"/>
      <c r="V33" s="924"/>
      <c r="W33" s="888" t="s">
        <v>81</v>
      </c>
      <c r="X33" s="889"/>
      <c r="Y33" s="889"/>
      <c r="Z33" s="890"/>
      <c r="AA33" s="888" t="s">
        <v>82</v>
      </c>
      <c r="AB33" s="889"/>
      <c r="AC33" s="889"/>
      <c r="AD33" s="891"/>
      <c r="AG33" s="90"/>
      <c r="AH33" s="90"/>
      <c r="AI33" s="90"/>
      <c r="AJ33" s="90"/>
      <c r="AK33" s="90"/>
      <c r="AL33" s="90"/>
      <c r="AM33" s="90"/>
      <c r="AN33" s="90"/>
      <c r="AO33" s="90"/>
    </row>
    <row r="34" spans="1:41" ht="182.25" customHeight="1">
      <c r="A34" s="1006" t="str">
        <f>A30</f>
        <v>Ejecutar el 100%  las actividades programadas para una correcta gestión administrativa y organizacional</v>
      </c>
      <c r="B34" s="1008">
        <f>+AC17</f>
        <v>0.58</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1010" t="s">
        <v>866</v>
      </c>
      <c r="R34" s="1011"/>
      <c r="S34" s="1012"/>
      <c r="T34" s="1010" t="s">
        <v>867</v>
      </c>
      <c r="U34" s="1011"/>
      <c r="V34" s="1012"/>
      <c r="W34" s="908" t="s">
        <v>868</v>
      </c>
      <c r="X34" s="909"/>
      <c r="Y34" s="909"/>
      <c r="Z34" s="910"/>
      <c r="AA34" s="908" t="s">
        <v>869</v>
      </c>
      <c r="AB34" s="909"/>
      <c r="AC34" s="909"/>
      <c r="AD34" s="910"/>
      <c r="AG34" s="90"/>
      <c r="AH34" s="90"/>
      <c r="AI34" s="90"/>
      <c r="AJ34" s="90"/>
      <c r="AK34" s="90"/>
      <c r="AL34" s="90"/>
      <c r="AM34" s="90"/>
      <c r="AN34" s="90"/>
      <c r="AO34" s="90"/>
    </row>
    <row r="35" spans="1:41" ht="182.25" customHeight="1" thickBot="1">
      <c r="A35" s="1007"/>
      <c r="B35" s="1009"/>
      <c r="C35" s="285" t="s">
        <v>10</v>
      </c>
      <c r="D35" s="413">
        <f>((D39*($B$38/$B$34))+(D41*($B$40/$B$34))+(D43*($B$42/$B$34))+(D45*($B$44/$B$34))+(D47*($B$46/$B$34))+(D49*($B$48/$B$34))*$P$34)</f>
        <v>0.07888333333333336</v>
      </c>
      <c r="E35" s="413">
        <f aca="true" t="shared" si="1" ref="E35:L35">((E39*($B$38/$B$34))+(E41*($B$40/$B$34))+(E43*($B$42/$B$34))+(E45*($B$44/$B$34))+(E47*($B$46/$B$34))+(E49*($B$48/$B$34))*$P$34)</f>
        <v>0.11388333333333335</v>
      </c>
      <c r="F35" s="413">
        <f t="shared" si="1"/>
        <v>0.09221666666666667</v>
      </c>
      <c r="G35" s="413">
        <f t="shared" si="1"/>
        <v>0.07721666666666667</v>
      </c>
      <c r="H35" s="413">
        <f t="shared" si="1"/>
        <v>0.0788888888888889</v>
      </c>
      <c r="I35" s="475">
        <f t="shared" si="1"/>
        <v>0.08221666666666667</v>
      </c>
      <c r="J35" s="475">
        <f t="shared" si="1"/>
        <v>0.08388333333333334</v>
      </c>
      <c r="K35" s="475">
        <f t="shared" si="1"/>
        <v>0.08055000000000001</v>
      </c>
      <c r="L35" s="475">
        <f t="shared" si="1"/>
        <v>0.07888333333333333</v>
      </c>
      <c r="M35" s="96"/>
      <c r="N35" s="96"/>
      <c r="O35" s="96"/>
      <c r="P35" s="178">
        <f>SUM(D35:O35)</f>
        <v>0.7666222222222222</v>
      </c>
      <c r="Q35" s="1013"/>
      <c r="R35" s="1014"/>
      <c r="S35" s="1015"/>
      <c r="T35" s="1013"/>
      <c r="U35" s="1014"/>
      <c r="V35" s="1015"/>
      <c r="W35" s="911"/>
      <c r="X35" s="912"/>
      <c r="Y35" s="912"/>
      <c r="Z35" s="913"/>
      <c r="AA35" s="911"/>
      <c r="AB35" s="912"/>
      <c r="AC35" s="912"/>
      <c r="AD35" s="913"/>
      <c r="AE35" s="50"/>
      <c r="AG35" s="90"/>
      <c r="AH35" s="90"/>
      <c r="AI35" s="90"/>
      <c r="AJ35" s="90"/>
      <c r="AK35" s="90"/>
      <c r="AL35" s="90"/>
      <c r="AM35" s="90"/>
      <c r="AN35" s="90"/>
      <c r="AO35" s="90"/>
    </row>
    <row r="36" spans="1:41" ht="25.5" customHeight="1">
      <c r="A36" s="939" t="s">
        <v>191</v>
      </c>
      <c r="B36" s="876" t="s">
        <v>61</v>
      </c>
      <c r="C36" s="1016" t="s">
        <v>11</v>
      </c>
      <c r="D36" s="1016"/>
      <c r="E36" s="1016"/>
      <c r="F36" s="1016"/>
      <c r="G36" s="1016"/>
      <c r="H36" s="1016"/>
      <c r="I36" s="1016"/>
      <c r="J36" s="1016"/>
      <c r="K36" s="1016"/>
      <c r="L36" s="1016"/>
      <c r="M36" s="1016"/>
      <c r="N36" s="1016"/>
      <c r="O36" s="1016"/>
      <c r="P36" s="1016"/>
      <c r="Q36" s="878" t="s">
        <v>78</v>
      </c>
      <c r="R36" s="879"/>
      <c r="S36" s="879"/>
      <c r="T36" s="879"/>
      <c r="U36" s="879"/>
      <c r="V36" s="879"/>
      <c r="W36" s="879"/>
      <c r="X36" s="879"/>
      <c r="Y36" s="879"/>
      <c r="Z36" s="879"/>
      <c r="AA36" s="879"/>
      <c r="AB36" s="879"/>
      <c r="AC36" s="879"/>
      <c r="AD36" s="881"/>
      <c r="AG36" s="90"/>
      <c r="AH36" s="90"/>
      <c r="AI36" s="90"/>
      <c r="AJ36" s="90"/>
      <c r="AK36" s="90"/>
      <c r="AL36" s="90"/>
      <c r="AM36" s="90"/>
      <c r="AN36" s="90"/>
      <c r="AO36" s="90"/>
    </row>
    <row r="37" spans="1:41" ht="25.5" customHeight="1">
      <c r="A37" s="923"/>
      <c r="B37" s="877"/>
      <c r="C37" s="425" t="s">
        <v>12</v>
      </c>
      <c r="D37" s="425" t="s">
        <v>36</v>
      </c>
      <c r="E37" s="425" t="s">
        <v>37</v>
      </c>
      <c r="F37" s="425" t="s">
        <v>38</v>
      </c>
      <c r="G37" s="425" t="s">
        <v>51</v>
      </c>
      <c r="H37" s="425" t="s">
        <v>52</v>
      </c>
      <c r="I37" s="425" t="s">
        <v>53</v>
      </c>
      <c r="J37" s="425" t="s">
        <v>54</v>
      </c>
      <c r="K37" s="425" t="s">
        <v>55</v>
      </c>
      <c r="L37" s="425" t="s">
        <v>56</v>
      </c>
      <c r="M37" s="425" t="s">
        <v>57</v>
      </c>
      <c r="N37" s="425" t="s">
        <v>58</v>
      </c>
      <c r="O37" s="425" t="s">
        <v>59</v>
      </c>
      <c r="P37" s="425" t="s">
        <v>63</v>
      </c>
      <c r="Q37" s="882" t="s">
        <v>83</v>
      </c>
      <c r="R37" s="883"/>
      <c r="S37" s="883"/>
      <c r="T37" s="883"/>
      <c r="U37" s="883"/>
      <c r="V37" s="883"/>
      <c r="W37" s="883"/>
      <c r="X37" s="883"/>
      <c r="Y37" s="883"/>
      <c r="Z37" s="883"/>
      <c r="AA37" s="883"/>
      <c r="AB37" s="883"/>
      <c r="AC37" s="883"/>
      <c r="AD37" s="884"/>
      <c r="AG37" s="98"/>
      <c r="AH37" s="98"/>
      <c r="AI37" s="98"/>
      <c r="AJ37" s="98"/>
      <c r="AK37" s="98"/>
      <c r="AL37" s="98"/>
      <c r="AM37" s="98"/>
      <c r="AN37" s="98"/>
      <c r="AO37" s="98"/>
    </row>
    <row r="38" spans="1:41" ht="120.75" customHeight="1">
      <c r="A38" s="1017" t="s">
        <v>580</v>
      </c>
      <c r="B38" s="1019">
        <f>+$B$34/6</f>
        <v>0.09666666666666666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868" t="s">
        <v>870</v>
      </c>
      <c r="R38" s="869"/>
      <c r="S38" s="869"/>
      <c r="T38" s="869"/>
      <c r="U38" s="869"/>
      <c r="V38" s="869"/>
      <c r="W38" s="869"/>
      <c r="X38" s="869"/>
      <c r="Y38" s="869"/>
      <c r="Z38" s="869"/>
      <c r="AA38" s="869"/>
      <c r="AB38" s="869"/>
      <c r="AC38" s="869"/>
      <c r="AD38" s="870"/>
      <c r="AE38" s="287"/>
      <c r="AG38" s="102"/>
      <c r="AH38" s="102"/>
      <c r="AI38" s="102"/>
      <c r="AJ38" s="102"/>
      <c r="AK38" s="102"/>
      <c r="AL38" s="102"/>
      <c r="AM38" s="102"/>
      <c r="AN38" s="102"/>
      <c r="AO38" s="102"/>
    </row>
    <row r="39" spans="1:31" ht="120.75" customHeight="1">
      <c r="A39" s="1018"/>
      <c r="B39" s="1020"/>
      <c r="C39" s="288" t="s">
        <v>10</v>
      </c>
      <c r="D39" s="104">
        <v>0.1</v>
      </c>
      <c r="E39" s="104">
        <v>0.1</v>
      </c>
      <c r="F39" s="104">
        <v>0.08</v>
      </c>
      <c r="G39" s="104">
        <v>0.08</v>
      </c>
      <c r="H39" s="104">
        <v>0.08</v>
      </c>
      <c r="I39" s="104">
        <v>0.08</v>
      </c>
      <c r="J39" s="104">
        <v>0.08</v>
      </c>
      <c r="K39" s="104">
        <v>0.08</v>
      </c>
      <c r="L39" s="104">
        <v>0.08</v>
      </c>
      <c r="M39" s="104"/>
      <c r="N39" s="104"/>
      <c r="O39" s="104"/>
      <c r="P39" s="289">
        <f aca="true" t="shared" si="2" ref="P39:P45">SUM(D39:O39)</f>
        <v>0.7599999999999999</v>
      </c>
      <c r="Q39" s="871"/>
      <c r="R39" s="1021"/>
      <c r="S39" s="1021"/>
      <c r="T39" s="1021"/>
      <c r="U39" s="1021"/>
      <c r="V39" s="1021"/>
      <c r="W39" s="1021"/>
      <c r="X39" s="1021"/>
      <c r="Y39" s="1021"/>
      <c r="Z39" s="1021"/>
      <c r="AA39" s="1021"/>
      <c r="AB39" s="1021"/>
      <c r="AC39" s="1021"/>
      <c r="AD39" s="873"/>
      <c r="AE39" s="287"/>
    </row>
    <row r="40" spans="1:31" ht="93.75" customHeight="1">
      <c r="A40" s="1022" t="s">
        <v>581</v>
      </c>
      <c r="B40" s="1023">
        <f>+$B$34/6</f>
        <v>0.09666666666666666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868" t="s">
        <v>871</v>
      </c>
      <c r="R40" s="869"/>
      <c r="S40" s="869"/>
      <c r="T40" s="869"/>
      <c r="U40" s="869"/>
      <c r="V40" s="869"/>
      <c r="W40" s="869"/>
      <c r="X40" s="869"/>
      <c r="Y40" s="869"/>
      <c r="Z40" s="869"/>
      <c r="AA40" s="869"/>
      <c r="AB40" s="869"/>
      <c r="AC40" s="869"/>
      <c r="AD40" s="870"/>
      <c r="AE40" s="287"/>
    </row>
    <row r="41" spans="1:31" ht="93.75" customHeight="1">
      <c r="A41" s="1018"/>
      <c r="B41" s="1020"/>
      <c r="C41" s="288" t="s">
        <v>10</v>
      </c>
      <c r="D41" s="104">
        <v>0.2</v>
      </c>
      <c r="E41" s="104">
        <v>0.3</v>
      </c>
      <c r="F41" s="104">
        <v>0.15</v>
      </c>
      <c r="G41" s="104">
        <v>0.03</v>
      </c>
      <c r="H41" s="104">
        <v>0.03</v>
      </c>
      <c r="I41" s="104">
        <v>0.03</v>
      </c>
      <c r="J41" s="104">
        <v>0.04</v>
      </c>
      <c r="K41" s="104">
        <v>0.04</v>
      </c>
      <c r="L41" s="104">
        <v>0.04</v>
      </c>
      <c r="M41" s="104"/>
      <c r="N41" s="104"/>
      <c r="O41" s="104"/>
      <c r="P41" s="289">
        <f t="shared" si="2"/>
        <v>0.8600000000000002</v>
      </c>
      <c r="Q41" s="871"/>
      <c r="R41" s="1021"/>
      <c r="S41" s="1021"/>
      <c r="T41" s="1021"/>
      <c r="U41" s="1021"/>
      <c r="V41" s="1021"/>
      <c r="W41" s="1021"/>
      <c r="X41" s="1021"/>
      <c r="Y41" s="1021"/>
      <c r="Z41" s="1021"/>
      <c r="AA41" s="1021"/>
      <c r="AB41" s="1021"/>
      <c r="AC41" s="1021"/>
      <c r="AD41" s="873"/>
      <c r="AE41" s="287"/>
    </row>
    <row r="42" spans="1:31" ht="124.5" customHeight="1">
      <c r="A42" s="1017" t="s">
        <v>582</v>
      </c>
      <c r="B42" s="1023">
        <f>+$B$34/6</f>
        <v>0.09666666666666666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868" t="s">
        <v>872</v>
      </c>
      <c r="R42" s="869"/>
      <c r="S42" s="869"/>
      <c r="T42" s="869"/>
      <c r="U42" s="869"/>
      <c r="V42" s="869"/>
      <c r="W42" s="869"/>
      <c r="X42" s="869"/>
      <c r="Y42" s="869"/>
      <c r="Z42" s="869"/>
      <c r="AA42" s="869"/>
      <c r="AB42" s="869"/>
      <c r="AC42" s="869"/>
      <c r="AD42" s="870"/>
      <c r="AE42" s="287"/>
    </row>
    <row r="43" spans="1:31" ht="124.5" customHeight="1">
      <c r="A43" s="1018"/>
      <c r="B43" s="1020"/>
      <c r="C43" s="288" t="s">
        <v>10</v>
      </c>
      <c r="D43" s="104">
        <v>0.05</v>
      </c>
      <c r="E43" s="104">
        <v>0.05</v>
      </c>
      <c r="F43" s="104">
        <v>0.07</v>
      </c>
      <c r="G43" s="104">
        <v>0.09</v>
      </c>
      <c r="H43" s="104">
        <v>0.1</v>
      </c>
      <c r="I43" s="104">
        <v>0.12</v>
      </c>
      <c r="J43" s="104">
        <v>0.12</v>
      </c>
      <c r="K43" s="104">
        <v>0.1</v>
      </c>
      <c r="L43" s="104">
        <v>0.09</v>
      </c>
      <c r="M43" s="104"/>
      <c r="N43" s="104"/>
      <c r="O43" s="104"/>
      <c r="P43" s="289">
        <f t="shared" si="2"/>
        <v>0.7899999999999999</v>
      </c>
      <c r="Q43" s="871"/>
      <c r="R43" s="1021"/>
      <c r="S43" s="1021"/>
      <c r="T43" s="1021"/>
      <c r="U43" s="1021"/>
      <c r="V43" s="1021"/>
      <c r="W43" s="1021"/>
      <c r="X43" s="1021"/>
      <c r="Y43" s="1021"/>
      <c r="Z43" s="1021"/>
      <c r="AA43" s="1021"/>
      <c r="AB43" s="1021"/>
      <c r="AC43" s="1021"/>
      <c r="AD43" s="873"/>
      <c r="AE43" s="287"/>
    </row>
    <row r="44" spans="1:31" ht="105" customHeight="1">
      <c r="A44" s="1022" t="s">
        <v>792</v>
      </c>
      <c r="B44" s="1023">
        <f>+$B$34/6</f>
        <v>0.09666666666666666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868" t="s">
        <v>873</v>
      </c>
      <c r="R44" s="869"/>
      <c r="S44" s="869"/>
      <c r="T44" s="869"/>
      <c r="U44" s="869"/>
      <c r="V44" s="869"/>
      <c r="W44" s="869"/>
      <c r="X44" s="869"/>
      <c r="Y44" s="869"/>
      <c r="Z44" s="869"/>
      <c r="AA44" s="869"/>
      <c r="AB44" s="869"/>
      <c r="AC44" s="869"/>
      <c r="AD44" s="870"/>
      <c r="AE44" s="287"/>
    </row>
    <row r="45" spans="1:31" ht="105" customHeight="1">
      <c r="A45" s="1018"/>
      <c r="B45" s="1020"/>
      <c r="C45" s="288" t="s">
        <v>10</v>
      </c>
      <c r="D45" s="104">
        <v>0.02</v>
      </c>
      <c r="E45" s="104">
        <v>0.07</v>
      </c>
      <c r="F45" s="104">
        <v>0.08</v>
      </c>
      <c r="G45" s="104">
        <v>0.09</v>
      </c>
      <c r="H45" s="104">
        <v>0.09</v>
      </c>
      <c r="I45" s="104">
        <v>0.09</v>
      </c>
      <c r="J45" s="104">
        <v>0.09</v>
      </c>
      <c r="K45" s="104">
        <v>0.09</v>
      </c>
      <c r="L45" s="104">
        <v>0.09</v>
      </c>
      <c r="M45" s="104"/>
      <c r="N45" s="104"/>
      <c r="O45" s="104"/>
      <c r="P45" s="333">
        <f t="shared" si="2"/>
        <v>0.7099999999999999</v>
      </c>
      <c r="Q45" s="871"/>
      <c r="R45" s="1021"/>
      <c r="S45" s="1021"/>
      <c r="T45" s="1021"/>
      <c r="U45" s="1021"/>
      <c r="V45" s="1021"/>
      <c r="W45" s="1021"/>
      <c r="X45" s="1021"/>
      <c r="Y45" s="1021"/>
      <c r="Z45" s="1021"/>
      <c r="AA45" s="1021"/>
      <c r="AB45" s="1021"/>
      <c r="AC45" s="1021"/>
      <c r="AD45" s="873"/>
      <c r="AE45" s="287"/>
    </row>
    <row r="46" spans="1:31" ht="93.75" customHeight="1">
      <c r="A46" s="1022" t="s">
        <v>793</v>
      </c>
      <c r="B46" s="1023">
        <f>+$B$34/6</f>
        <v>0.09666666666666666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868" t="s">
        <v>874</v>
      </c>
      <c r="R46" s="869"/>
      <c r="S46" s="869"/>
      <c r="T46" s="869"/>
      <c r="U46" s="869"/>
      <c r="V46" s="869"/>
      <c r="W46" s="869"/>
      <c r="X46" s="869"/>
      <c r="Y46" s="869"/>
      <c r="Z46" s="869"/>
      <c r="AA46" s="869"/>
      <c r="AB46" s="869"/>
      <c r="AC46" s="869"/>
      <c r="AD46" s="870"/>
      <c r="AE46" s="287"/>
    </row>
    <row r="47" spans="1:31" ht="93.75" customHeight="1">
      <c r="A47" s="1018"/>
      <c r="B47" s="1020"/>
      <c r="C47" s="288" t="s">
        <v>10</v>
      </c>
      <c r="D47" s="410">
        <v>0.0833</v>
      </c>
      <c r="E47" s="410">
        <v>0.0833</v>
      </c>
      <c r="F47" s="410">
        <v>0.0833</v>
      </c>
      <c r="G47" s="410">
        <v>0.0833</v>
      </c>
      <c r="H47" s="410">
        <v>0.08333333333333334</v>
      </c>
      <c r="I47" s="472">
        <v>0.0833</v>
      </c>
      <c r="J47" s="472">
        <v>0.0833</v>
      </c>
      <c r="K47" s="472">
        <v>0.0833</v>
      </c>
      <c r="L47" s="472">
        <v>0.0833</v>
      </c>
      <c r="M47" s="104"/>
      <c r="N47" s="104"/>
      <c r="O47" s="104"/>
      <c r="P47" s="333">
        <f>SUM(D47:O47)</f>
        <v>0.7497333333333334</v>
      </c>
      <c r="Q47" s="871"/>
      <c r="R47" s="1021"/>
      <c r="S47" s="1021"/>
      <c r="T47" s="1021"/>
      <c r="U47" s="1021"/>
      <c r="V47" s="1021"/>
      <c r="W47" s="1021"/>
      <c r="X47" s="1021"/>
      <c r="Y47" s="1021"/>
      <c r="Z47" s="1021"/>
      <c r="AA47" s="1021"/>
      <c r="AB47" s="1021"/>
      <c r="AC47" s="1021"/>
      <c r="AD47" s="873"/>
      <c r="AE47" s="287"/>
    </row>
    <row r="48" spans="1:41" ht="93.75" customHeight="1">
      <c r="A48" s="1024" t="s">
        <v>628</v>
      </c>
      <c r="B48" s="1023">
        <f>+$B$34/6</f>
        <v>0.09666666666666666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1027" t="s">
        <v>863</v>
      </c>
      <c r="R48" s="1028"/>
      <c r="S48" s="1028"/>
      <c r="T48" s="1028"/>
      <c r="U48" s="1028"/>
      <c r="V48" s="1028"/>
      <c r="W48" s="1028"/>
      <c r="X48" s="1028"/>
      <c r="Y48" s="1028"/>
      <c r="Z48" s="1028"/>
      <c r="AA48" s="1028"/>
      <c r="AB48" s="1028"/>
      <c r="AC48" s="1028"/>
      <c r="AD48" s="1029"/>
      <c r="AE48" s="287"/>
      <c r="AG48" s="102"/>
      <c r="AH48" s="102"/>
      <c r="AI48" s="102"/>
      <c r="AJ48" s="102"/>
      <c r="AK48" s="102"/>
      <c r="AL48" s="102"/>
      <c r="AM48" s="102"/>
      <c r="AN48" s="102"/>
      <c r="AO48" s="102"/>
    </row>
    <row r="49" spans="1:31" ht="93.75" customHeight="1" thickBot="1">
      <c r="A49" s="1025"/>
      <c r="B49" s="1026"/>
      <c r="C49" s="285" t="s">
        <v>10</v>
      </c>
      <c r="D49" s="110">
        <v>0.02</v>
      </c>
      <c r="E49" s="110">
        <v>0.08</v>
      </c>
      <c r="F49" s="110">
        <v>0.09</v>
      </c>
      <c r="G49" s="110">
        <v>0.09</v>
      </c>
      <c r="H49" s="110">
        <v>0.09</v>
      </c>
      <c r="I49" s="110">
        <v>0.09</v>
      </c>
      <c r="J49" s="110">
        <v>0.09</v>
      </c>
      <c r="K49" s="110">
        <v>0.09</v>
      </c>
      <c r="L49" s="110">
        <v>0.09</v>
      </c>
      <c r="M49" s="110"/>
      <c r="N49" s="110"/>
      <c r="O49" s="110"/>
      <c r="P49" s="426">
        <f>SUM(D49:O49)</f>
        <v>0.7299999999999999</v>
      </c>
      <c r="Q49" s="1030"/>
      <c r="R49" s="1031"/>
      <c r="S49" s="1031"/>
      <c r="T49" s="1031"/>
      <c r="U49" s="1031"/>
      <c r="V49" s="1031"/>
      <c r="W49" s="1031"/>
      <c r="X49" s="1031"/>
      <c r="Y49" s="1031"/>
      <c r="Z49" s="1031"/>
      <c r="AA49" s="1031"/>
      <c r="AB49" s="1031"/>
      <c r="AC49" s="1031"/>
      <c r="AD49" s="1032"/>
      <c r="AE49" s="287"/>
    </row>
  </sheetData>
  <sheetProtection/>
  <mergeCells count="88">
    <mergeCell ref="A48:A49"/>
    <mergeCell ref="B48:B49"/>
    <mergeCell ref="Q48:AD49"/>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T34 Q48 Q34 AA34 W34 Q38:AD47">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O43"/>
  <sheetViews>
    <sheetView showGridLines="0" view="pageBreakPreview" zoomScale="60" zoomScaleNormal="70" workbookViewId="0" topLeftCell="P40">
      <selection activeCell="Q38" sqref="Q38:AD39"/>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33"/>
      <c r="B1" s="1036" t="s">
        <v>16</v>
      </c>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8"/>
      <c r="AB1" s="1000" t="s">
        <v>18</v>
      </c>
      <c r="AC1" s="1001"/>
      <c r="AD1" s="1002"/>
    </row>
    <row r="2" spans="1:30" ht="30.75" customHeight="1">
      <c r="A2" s="1034"/>
      <c r="B2" s="1049" t="s">
        <v>17</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1"/>
      <c r="AB2" s="968" t="s">
        <v>418</v>
      </c>
      <c r="AC2" s="969"/>
      <c r="AD2" s="970"/>
    </row>
    <row r="3" spans="1:30" ht="24" customHeight="1">
      <c r="A3" s="1034"/>
      <c r="B3" s="952" t="s">
        <v>295</v>
      </c>
      <c r="C3" s="953"/>
      <c r="D3" s="953"/>
      <c r="E3" s="953"/>
      <c r="F3" s="953"/>
      <c r="G3" s="953"/>
      <c r="H3" s="953"/>
      <c r="I3" s="953"/>
      <c r="J3" s="953"/>
      <c r="K3" s="953"/>
      <c r="L3" s="953"/>
      <c r="M3" s="953"/>
      <c r="N3" s="953"/>
      <c r="O3" s="953"/>
      <c r="P3" s="953"/>
      <c r="Q3" s="953"/>
      <c r="R3" s="953"/>
      <c r="S3" s="953"/>
      <c r="T3" s="953"/>
      <c r="U3" s="953"/>
      <c r="V3" s="953"/>
      <c r="W3" s="953"/>
      <c r="X3" s="953"/>
      <c r="Y3" s="953"/>
      <c r="Z3" s="953"/>
      <c r="AA3" s="954"/>
      <c r="AB3" s="968" t="s">
        <v>478</v>
      </c>
      <c r="AC3" s="969"/>
      <c r="AD3" s="970"/>
    </row>
    <row r="4" spans="1:30" ht="21.75" customHeight="1" thickBot="1">
      <c r="A4" s="1035"/>
      <c r="B4" s="955"/>
      <c r="C4" s="956"/>
      <c r="D4" s="956"/>
      <c r="E4" s="956"/>
      <c r="F4" s="956"/>
      <c r="G4" s="956"/>
      <c r="H4" s="956"/>
      <c r="I4" s="956"/>
      <c r="J4" s="956"/>
      <c r="K4" s="956"/>
      <c r="L4" s="956"/>
      <c r="M4" s="956"/>
      <c r="N4" s="956"/>
      <c r="O4" s="956"/>
      <c r="P4" s="956"/>
      <c r="Q4" s="956"/>
      <c r="R4" s="956"/>
      <c r="S4" s="956"/>
      <c r="T4" s="956"/>
      <c r="U4" s="956"/>
      <c r="V4" s="956"/>
      <c r="W4" s="956"/>
      <c r="X4" s="956"/>
      <c r="Y4" s="956"/>
      <c r="Z4" s="956"/>
      <c r="AA4" s="957"/>
      <c r="AB4" s="605" t="s">
        <v>778</v>
      </c>
      <c r="AC4" s="606"/>
      <c r="AD4" s="607"/>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08" t="s">
        <v>293</v>
      </c>
      <c r="B7" s="609"/>
      <c r="C7" s="958" t="s">
        <v>47</v>
      </c>
      <c r="D7" s="608" t="s">
        <v>71</v>
      </c>
      <c r="E7" s="614"/>
      <c r="F7" s="614"/>
      <c r="G7" s="614"/>
      <c r="H7" s="609"/>
      <c r="I7" s="986">
        <v>45205</v>
      </c>
      <c r="J7" s="987"/>
      <c r="K7" s="608" t="s">
        <v>67</v>
      </c>
      <c r="L7" s="609"/>
      <c r="M7" s="992" t="s">
        <v>70</v>
      </c>
      <c r="N7" s="993"/>
      <c r="O7" s="971"/>
      <c r="P7" s="972"/>
      <c r="Q7" s="252"/>
      <c r="R7" s="252"/>
      <c r="S7" s="252"/>
      <c r="T7" s="252"/>
      <c r="U7" s="252"/>
      <c r="V7" s="252"/>
      <c r="W7" s="252"/>
      <c r="X7" s="252"/>
      <c r="Y7" s="252"/>
      <c r="Z7" s="253"/>
      <c r="AA7" s="252"/>
      <c r="AB7" s="252"/>
      <c r="AC7" s="258"/>
      <c r="AD7" s="259"/>
    </row>
    <row r="8" spans="1:30" ht="15" customHeight="1">
      <c r="A8" s="610"/>
      <c r="B8" s="611"/>
      <c r="C8" s="959"/>
      <c r="D8" s="610"/>
      <c r="E8" s="961"/>
      <c r="F8" s="961"/>
      <c r="G8" s="961"/>
      <c r="H8" s="611"/>
      <c r="I8" s="988"/>
      <c r="J8" s="989"/>
      <c r="K8" s="610"/>
      <c r="L8" s="611"/>
      <c r="M8" s="973" t="s">
        <v>68</v>
      </c>
      <c r="N8" s="974"/>
      <c r="O8" s="975"/>
      <c r="P8" s="976"/>
      <c r="Q8" s="252"/>
      <c r="R8" s="252"/>
      <c r="S8" s="252"/>
      <c r="T8" s="252"/>
      <c r="U8" s="252"/>
      <c r="V8" s="252"/>
      <c r="W8" s="252"/>
      <c r="X8" s="252"/>
      <c r="Y8" s="252"/>
      <c r="Z8" s="253"/>
      <c r="AA8" s="252"/>
      <c r="AB8" s="252"/>
      <c r="AC8" s="258"/>
      <c r="AD8" s="259"/>
    </row>
    <row r="9" spans="1:30" ht="15.75" customHeight="1" thickBot="1">
      <c r="A9" s="612"/>
      <c r="B9" s="613"/>
      <c r="C9" s="960"/>
      <c r="D9" s="612"/>
      <c r="E9" s="616"/>
      <c r="F9" s="616"/>
      <c r="G9" s="616"/>
      <c r="H9" s="613"/>
      <c r="I9" s="990"/>
      <c r="J9" s="991"/>
      <c r="K9" s="612"/>
      <c r="L9" s="613"/>
      <c r="M9" s="977" t="s">
        <v>69</v>
      </c>
      <c r="N9" s="978"/>
      <c r="O9" s="979" t="s">
        <v>425</v>
      </c>
      <c r="P9" s="980"/>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08" t="s">
        <v>0</v>
      </c>
      <c r="B11" s="609"/>
      <c r="C11" s="949" t="s">
        <v>497</v>
      </c>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1"/>
    </row>
    <row r="12" spans="1:30" ht="15" customHeight="1">
      <c r="A12" s="610"/>
      <c r="B12" s="611"/>
      <c r="C12" s="952"/>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4"/>
    </row>
    <row r="13" spans="1:30" ht="15" customHeight="1" thickBot="1">
      <c r="A13" s="612"/>
      <c r="B13" s="613"/>
      <c r="C13" s="955"/>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7"/>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5" t="s">
        <v>77</v>
      </c>
      <c r="B15" s="646"/>
      <c r="C15" s="940" t="s">
        <v>426</v>
      </c>
      <c r="D15" s="941"/>
      <c r="E15" s="941"/>
      <c r="F15" s="941"/>
      <c r="G15" s="941"/>
      <c r="H15" s="941"/>
      <c r="I15" s="941"/>
      <c r="J15" s="941"/>
      <c r="K15" s="942"/>
      <c r="L15" s="584" t="s">
        <v>73</v>
      </c>
      <c r="M15" s="585"/>
      <c r="N15" s="585"/>
      <c r="O15" s="585"/>
      <c r="P15" s="585"/>
      <c r="Q15" s="586"/>
      <c r="R15" s="962" t="s">
        <v>622</v>
      </c>
      <c r="S15" s="963"/>
      <c r="T15" s="963"/>
      <c r="U15" s="963"/>
      <c r="V15" s="963"/>
      <c r="W15" s="963"/>
      <c r="X15" s="964"/>
      <c r="Y15" s="584" t="s">
        <v>72</v>
      </c>
      <c r="Z15" s="586"/>
      <c r="AA15" s="940" t="s">
        <v>623</v>
      </c>
      <c r="AB15" s="941"/>
      <c r="AC15" s="941"/>
      <c r="AD15" s="942"/>
    </row>
    <row r="16" spans="1:30" ht="9" customHeight="1" thickBot="1">
      <c r="A16" s="257"/>
      <c r="B16" s="252"/>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271"/>
      <c r="AD16" s="272"/>
    </row>
    <row r="17" spans="1:30" s="273" customFormat="1" ht="37.5" customHeight="1" thickBot="1">
      <c r="A17" s="645" t="s">
        <v>79</v>
      </c>
      <c r="B17" s="646"/>
      <c r="C17" s="940" t="s">
        <v>498</v>
      </c>
      <c r="D17" s="941"/>
      <c r="E17" s="941"/>
      <c r="F17" s="941"/>
      <c r="G17" s="941"/>
      <c r="H17" s="941"/>
      <c r="I17" s="941"/>
      <c r="J17" s="941"/>
      <c r="K17" s="941"/>
      <c r="L17" s="941"/>
      <c r="M17" s="941"/>
      <c r="N17" s="941"/>
      <c r="O17" s="941"/>
      <c r="P17" s="941"/>
      <c r="Q17" s="942"/>
      <c r="R17" s="584" t="s">
        <v>374</v>
      </c>
      <c r="S17" s="585"/>
      <c r="T17" s="585"/>
      <c r="U17" s="585"/>
      <c r="V17" s="586"/>
      <c r="W17" s="663"/>
      <c r="X17" s="664"/>
      <c r="Y17" s="585" t="s">
        <v>15</v>
      </c>
      <c r="Z17" s="585"/>
      <c r="AA17" s="585"/>
      <c r="AB17" s="586"/>
      <c r="AC17" s="947">
        <f>+VIGENCIA!D8</f>
        <v>0.13</v>
      </c>
      <c r="AD17" s="94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84" t="s">
        <v>1</v>
      </c>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6"/>
      <c r="AE19" s="275"/>
      <c r="AF19" s="275"/>
    </row>
    <row r="20" spans="1:32" ht="31.5" customHeight="1" thickBot="1">
      <c r="A20" s="276"/>
      <c r="B20" s="258"/>
      <c r="C20" s="745" t="s">
        <v>376</v>
      </c>
      <c r="D20" s="746"/>
      <c r="E20" s="746"/>
      <c r="F20" s="746"/>
      <c r="G20" s="746"/>
      <c r="H20" s="746"/>
      <c r="I20" s="746"/>
      <c r="J20" s="746"/>
      <c r="K20" s="746"/>
      <c r="L20" s="746"/>
      <c r="M20" s="746"/>
      <c r="N20" s="746"/>
      <c r="O20" s="746"/>
      <c r="P20" s="747"/>
      <c r="Q20" s="742" t="s">
        <v>377</v>
      </c>
      <c r="R20" s="938"/>
      <c r="S20" s="938"/>
      <c r="T20" s="938"/>
      <c r="U20" s="938"/>
      <c r="V20" s="938"/>
      <c r="W20" s="938"/>
      <c r="X20" s="938"/>
      <c r="Y20" s="938"/>
      <c r="Z20" s="938"/>
      <c r="AA20" s="938"/>
      <c r="AB20" s="938"/>
      <c r="AC20" s="938"/>
      <c r="AD20" s="74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39" t="s">
        <v>378</v>
      </c>
      <c r="B22" s="878"/>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923" t="s">
        <v>379</v>
      </c>
      <c r="B23" s="882"/>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f>+VIGENCIA!N17</f>
        <v>26780000</v>
      </c>
      <c r="W23" s="191">
        <f>+VIGENCIA!P17</f>
        <v>0</v>
      </c>
      <c r="X23" s="191">
        <f>+VIGENCIA!R17</f>
        <v>0</v>
      </c>
      <c r="Y23" s="191">
        <f>+VIGENCIA!T17</f>
        <v>0</v>
      </c>
      <c r="Z23" s="191"/>
      <c r="AA23" s="191"/>
      <c r="AB23" s="191"/>
      <c r="AC23" s="191">
        <f>SUM(Q23:AB23)</f>
        <v>1472091434</v>
      </c>
      <c r="AD23" s="448">
        <f>_xlfn.IFERROR(AC23/(SUMIF(Q23:AB23,"&gt;0",Q22:AB22))," ")</f>
        <v>0.966060532812725</v>
      </c>
      <c r="AE23" s="4"/>
      <c r="AF23" s="4"/>
    </row>
    <row r="24" spans="1:32" ht="31.5" customHeight="1">
      <c r="A24" s="923" t="s">
        <v>380</v>
      </c>
      <c r="B24" s="882"/>
      <c r="C24" s="192">
        <f>33674667-25434667</f>
        <v>8240000</v>
      </c>
      <c r="D24" s="191">
        <v>-12943667</v>
      </c>
      <c r="E24" s="191">
        <v>2965600</v>
      </c>
      <c r="F24" s="191">
        <v>12943667</v>
      </c>
      <c r="G24" s="191">
        <f>+RESERVA!L15</f>
        <v>0</v>
      </c>
      <c r="H24" s="191">
        <f>+RESERVA!N15</f>
        <v>0</v>
      </c>
      <c r="I24" s="191">
        <f>+RESERVA!P15</f>
        <v>0</v>
      </c>
      <c r="J24" s="191">
        <f>+RESERVA!R15</f>
        <v>0</v>
      </c>
      <c r="K24" s="191">
        <f>+(-RESERVA!T15)</f>
        <v>-2965600</v>
      </c>
      <c r="L24" s="191"/>
      <c r="M24" s="191"/>
      <c r="N24" s="191"/>
      <c r="O24" s="191">
        <f>SUM(C24:N24)</f>
        <v>8240000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48"/>
      <c r="AE24" s="4"/>
      <c r="AF24" s="4"/>
    </row>
    <row r="25" spans="1:32" ht="31.5" customHeight="1" thickBot="1">
      <c r="A25" s="927" t="s">
        <v>381</v>
      </c>
      <c r="B25" s="928"/>
      <c r="C25" s="193">
        <f>+RESERVA!E15</f>
        <v>8240000</v>
      </c>
      <c r="D25" s="194">
        <f>+RESERVA!G15</f>
        <v>0</v>
      </c>
      <c r="E25" s="194">
        <f>+RESERVA!I15</f>
        <v>0</v>
      </c>
      <c r="F25" s="194"/>
      <c r="G25" s="194">
        <f>+RESERVA!M15</f>
        <v>0</v>
      </c>
      <c r="H25" s="194">
        <f>+RESERVA!O15</f>
        <v>0</v>
      </c>
      <c r="I25" s="194">
        <f>+RESERVA!Q15</f>
        <v>0</v>
      </c>
      <c r="J25" s="194">
        <f>+RESERVA!S15</f>
        <v>0</v>
      </c>
      <c r="K25" s="194">
        <f>+RESERVA!U15</f>
        <v>0</v>
      </c>
      <c r="L25" s="194"/>
      <c r="M25" s="194"/>
      <c r="N25" s="194"/>
      <c r="O25" s="194">
        <f>SUM(C25:N25)</f>
        <v>8240000</v>
      </c>
      <c r="P25" s="447">
        <f>+O25/O24</f>
        <v>1</v>
      </c>
      <c r="Q25" s="193">
        <f>+VIGENCIA!E17</f>
        <v>0</v>
      </c>
      <c r="R25" s="194">
        <f>+VIGENCIA!G17</f>
        <v>45917998</v>
      </c>
      <c r="S25" s="194">
        <f>+VIGENCIA!I17</f>
        <v>110000397</v>
      </c>
      <c r="T25" s="194">
        <f>+VIGENCIA!K17</f>
        <v>124259997</v>
      </c>
      <c r="U25" s="194">
        <f>+VIGENCIA!M17</f>
        <v>130302664</v>
      </c>
      <c r="V25" s="194">
        <f>+VIGENCIA!O17</f>
        <v>130302664</v>
      </c>
      <c r="W25" s="194">
        <f>+VIGENCIA!Q17</f>
        <v>136997664</v>
      </c>
      <c r="X25" s="194">
        <f>+VIGENCIA!S17</f>
        <v>136997664</v>
      </c>
      <c r="Y25" s="194">
        <f>+VIGENCIA!U17</f>
        <v>136997664</v>
      </c>
      <c r="Z25" s="194"/>
      <c r="AA25" s="194"/>
      <c r="AB25" s="194"/>
      <c r="AC25" s="194">
        <f>SUM(Q25:AB25)</f>
        <v>951776712</v>
      </c>
      <c r="AD25" s="449">
        <f>_xlfn.IFERROR(AC25/(SUMIF(Q25:AB25,"&gt;0",Q24:AB24))," ")</f>
        <v>0.9463766555728715</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29" t="s">
        <v>76</v>
      </c>
      <c r="B27" s="930"/>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2"/>
    </row>
    <row r="28" spans="1:30" ht="15" customHeight="1">
      <c r="A28" s="933" t="s">
        <v>189</v>
      </c>
      <c r="B28" s="935" t="s">
        <v>6</v>
      </c>
      <c r="C28" s="936"/>
      <c r="D28" s="882" t="s">
        <v>398</v>
      </c>
      <c r="E28" s="883"/>
      <c r="F28" s="883"/>
      <c r="G28" s="883"/>
      <c r="H28" s="883"/>
      <c r="I28" s="883"/>
      <c r="J28" s="883"/>
      <c r="K28" s="883"/>
      <c r="L28" s="883"/>
      <c r="M28" s="883"/>
      <c r="N28" s="883"/>
      <c r="O28" s="937"/>
      <c r="P28" s="924" t="s">
        <v>8</v>
      </c>
      <c r="Q28" s="924" t="s">
        <v>84</v>
      </c>
      <c r="R28" s="924"/>
      <c r="S28" s="924"/>
      <c r="T28" s="924"/>
      <c r="U28" s="924"/>
      <c r="V28" s="924"/>
      <c r="W28" s="924"/>
      <c r="X28" s="924"/>
      <c r="Y28" s="924"/>
      <c r="Z28" s="924"/>
      <c r="AA28" s="924"/>
      <c r="AB28" s="924"/>
      <c r="AC28" s="924"/>
      <c r="AD28" s="926"/>
    </row>
    <row r="29" spans="1:30" ht="27" customHeight="1">
      <c r="A29" s="934"/>
      <c r="B29" s="888"/>
      <c r="C29" s="890"/>
      <c r="D29" s="281" t="s">
        <v>39</v>
      </c>
      <c r="E29" s="281" t="s">
        <v>40</v>
      </c>
      <c r="F29" s="281" t="s">
        <v>41</v>
      </c>
      <c r="G29" s="281" t="s">
        <v>42</v>
      </c>
      <c r="H29" s="281" t="s">
        <v>43</v>
      </c>
      <c r="I29" s="281" t="s">
        <v>44</v>
      </c>
      <c r="J29" s="281" t="s">
        <v>45</v>
      </c>
      <c r="K29" s="281" t="s">
        <v>46</v>
      </c>
      <c r="L29" s="281" t="s">
        <v>47</v>
      </c>
      <c r="M29" s="281" t="s">
        <v>48</v>
      </c>
      <c r="N29" s="281" t="s">
        <v>49</v>
      </c>
      <c r="O29" s="281" t="s">
        <v>50</v>
      </c>
      <c r="P29" s="937"/>
      <c r="Q29" s="924"/>
      <c r="R29" s="924"/>
      <c r="S29" s="924"/>
      <c r="T29" s="924"/>
      <c r="U29" s="924"/>
      <c r="V29" s="924"/>
      <c r="W29" s="924"/>
      <c r="X29" s="924"/>
      <c r="Y29" s="924"/>
      <c r="Z29" s="924"/>
      <c r="AA29" s="924"/>
      <c r="AB29" s="924"/>
      <c r="AC29" s="924"/>
      <c r="AD29" s="926"/>
    </row>
    <row r="30" spans="1:30" ht="57" customHeight="1" thickBot="1">
      <c r="A30" s="282" t="str">
        <f>C17</f>
        <v>Soportar al 100% la implementación de las políticas del Modelo Integrado de Planeación y Gestión</v>
      </c>
      <c r="B30" s="1004" t="s">
        <v>450</v>
      </c>
      <c r="C30" s="1005"/>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18"/>
      <c r="R30" s="918"/>
      <c r="S30" s="918"/>
      <c r="T30" s="918"/>
      <c r="U30" s="918"/>
      <c r="V30" s="918"/>
      <c r="W30" s="918"/>
      <c r="X30" s="918"/>
      <c r="Y30" s="918"/>
      <c r="Z30" s="918"/>
      <c r="AA30" s="918"/>
      <c r="AB30" s="918"/>
      <c r="AC30" s="918"/>
      <c r="AD30" s="919"/>
    </row>
    <row r="31" spans="1:30" ht="45" customHeight="1">
      <c r="A31" s="920" t="s">
        <v>292</v>
      </c>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2"/>
    </row>
    <row r="32" spans="1:41" ht="22.5" customHeight="1">
      <c r="A32" s="923" t="s">
        <v>190</v>
      </c>
      <c r="B32" s="924" t="s">
        <v>62</v>
      </c>
      <c r="C32" s="924" t="s">
        <v>6</v>
      </c>
      <c r="D32" s="924" t="s">
        <v>60</v>
      </c>
      <c r="E32" s="924"/>
      <c r="F32" s="924"/>
      <c r="G32" s="924"/>
      <c r="H32" s="924"/>
      <c r="I32" s="924"/>
      <c r="J32" s="924"/>
      <c r="K32" s="924"/>
      <c r="L32" s="924"/>
      <c r="M32" s="924"/>
      <c r="N32" s="924"/>
      <c r="O32" s="924"/>
      <c r="P32" s="924"/>
      <c r="Q32" s="924" t="s">
        <v>85</v>
      </c>
      <c r="R32" s="924"/>
      <c r="S32" s="924"/>
      <c r="T32" s="924"/>
      <c r="U32" s="924"/>
      <c r="V32" s="924"/>
      <c r="W32" s="924"/>
      <c r="X32" s="924"/>
      <c r="Y32" s="924"/>
      <c r="Z32" s="924"/>
      <c r="AA32" s="924"/>
      <c r="AB32" s="924"/>
      <c r="AC32" s="924"/>
      <c r="AD32" s="926"/>
      <c r="AG32" s="90"/>
      <c r="AH32" s="90"/>
      <c r="AI32" s="90"/>
      <c r="AJ32" s="90"/>
      <c r="AK32" s="90"/>
      <c r="AL32" s="90"/>
      <c r="AM32" s="90"/>
      <c r="AN32" s="90"/>
      <c r="AO32" s="90"/>
    </row>
    <row r="33" spans="1:41" ht="27" customHeight="1">
      <c r="A33" s="923"/>
      <c r="B33" s="924"/>
      <c r="C33" s="925"/>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24" t="s">
        <v>403</v>
      </c>
      <c r="R33" s="924"/>
      <c r="S33" s="924"/>
      <c r="T33" s="924" t="s">
        <v>406</v>
      </c>
      <c r="U33" s="924"/>
      <c r="V33" s="924"/>
      <c r="W33" s="888" t="s">
        <v>81</v>
      </c>
      <c r="X33" s="889"/>
      <c r="Y33" s="889"/>
      <c r="Z33" s="890"/>
      <c r="AA33" s="888" t="s">
        <v>82</v>
      </c>
      <c r="AB33" s="889"/>
      <c r="AC33" s="889"/>
      <c r="AD33" s="891"/>
      <c r="AG33" s="90"/>
      <c r="AH33" s="90"/>
      <c r="AI33" s="90"/>
      <c r="AJ33" s="90"/>
      <c r="AK33" s="90"/>
      <c r="AL33" s="90"/>
      <c r="AM33" s="90"/>
      <c r="AN33" s="90"/>
      <c r="AO33" s="90"/>
    </row>
    <row r="34" spans="1:41" ht="107.25" customHeight="1">
      <c r="A34" s="892" t="s">
        <v>499</v>
      </c>
      <c r="B34" s="1054">
        <f>+AC17</f>
        <v>0.13</v>
      </c>
      <c r="C34" s="284" t="s">
        <v>9</v>
      </c>
      <c r="D34" s="177">
        <f>((D38*($B$38/$B$34))+(D40*($B$40/$B$34))+(D42*($B$42/$B$34)))*$P$34</f>
        <v>0.055384615384615386</v>
      </c>
      <c r="E34" s="177">
        <f aca="true" t="shared" si="0" ref="E34:O34">((E38*($B$38/$B$34))+(E40*($B$40/$B$34))+(E42*($B$42/$B$34)))*$P$34</f>
        <v>0.10538461538461538</v>
      </c>
      <c r="F34" s="177">
        <f t="shared" si="0"/>
        <v>0.08538461538461539</v>
      </c>
      <c r="G34" s="177">
        <f t="shared" si="0"/>
        <v>0.0823076923076923</v>
      </c>
      <c r="H34" s="177">
        <f t="shared" si="0"/>
        <v>0.08692307692307692</v>
      </c>
      <c r="I34" s="177">
        <f t="shared" si="0"/>
        <v>0.06384615384615386</v>
      </c>
      <c r="J34" s="177">
        <f t="shared" si="0"/>
        <v>0.09615384615384616</v>
      </c>
      <c r="K34" s="177">
        <f>((K38*($B$38/$B$34))+(K40*($B$40/$B$34))+(K42*($B$42/$B$34)))*$P$34</f>
        <v>0.0876923076923077</v>
      </c>
      <c r="L34" s="177">
        <f t="shared" si="0"/>
        <v>0.07538461538461538</v>
      </c>
      <c r="M34" s="177">
        <f t="shared" si="0"/>
        <v>0.09307692307692308</v>
      </c>
      <c r="N34" s="177">
        <f t="shared" si="0"/>
        <v>0.08</v>
      </c>
      <c r="O34" s="177">
        <f t="shared" si="0"/>
        <v>0.08846153846153847</v>
      </c>
      <c r="P34" s="177">
        <v>1</v>
      </c>
      <c r="Q34" s="908" t="s">
        <v>858</v>
      </c>
      <c r="R34" s="909"/>
      <c r="S34" s="910"/>
      <c r="T34" s="908" t="s">
        <v>861</v>
      </c>
      <c r="U34" s="909"/>
      <c r="V34" s="910"/>
      <c r="W34" s="908" t="s">
        <v>859</v>
      </c>
      <c r="X34" s="909"/>
      <c r="Y34" s="909"/>
      <c r="Z34" s="910"/>
      <c r="AA34" s="908" t="s">
        <v>860</v>
      </c>
      <c r="AB34" s="909"/>
      <c r="AC34" s="909"/>
      <c r="AD34" s="1056"/>
      <c r="AG34" s="90"/>
      <c r="AH34" s="90"/>
      <c r="AI34" s="90"/>
      <c r="AJ34" s="90"/>
      <c r="AK34" s="90"/>
      <c r="AL34" s="90"/>
      <c r="AM34" s="90"/>
      <c r="AN34" s="90"/>
      <c r="AO34" s="90"/>
    </row>
    <row r="35" spans="1:41" ht="107.25" customHeight="1" thickBot="1">
      <c r="A35" s="893"/>
      <c r="B35" s="1055"/>
      <c r="C35" s="285" t="s">
        <v>10</v>
      </c>
      <c r="D35" s="413">
        <f>((D39*($B$38/$B$34))+(D41*($B$40/$B$34))+(D43*($B$42/$B$34)))*$P$34</f>
        <v>0.062307692307692314</v>
      </c>
      <c r="E35" s="413">
        <f aca="true" t="shared" si="1" ref="E35:L35">((E39*($B$38/$B$34))+(E41*($B$40/$B$34))+(E43*($B$42/$B$34)))*$P$34</f>
        <v>0.09846153846153846</v>
      </c>
      <c r="F35" s="413">
        <f t="shared" si="1"/>
        <v>0.08076923076923077</v>
      </c>
      <c r="G35" s="413">
        <f t="shared" si="1"/>
        <v>0.07846153846153847</v>
      </c>
      <c r="H35" s="413">
        <f t="shared" si="1"/>
        <v>0.08692307692307692</v>
      </c>
      <c r="I35" s="475">
        <f t="shared" si="1"/>
        <v>0.07307692307692308</v>
      </c>
      <c r="J35" s="475">
        <f t="shared" si="1"/>
        <v>0.08923076923076924</v>
      </c>
      <c r="K35" s="475">
        <f t="shared" si="1"/>
        <v>0.0876923076923077</v>
      </c>
      <c r="L35" s="475">
        <f t="shared" si="1"/>
        <v>0.07538461538461538</v>
      </c>
      <c r="M35" s="96"/>
      <c r="N35" s="96"/>
      <c r="O35" s="96"/>
      <c r="P35" s="178">
        <f>SUM(D35:O35)</f>
        <v>0.7323076923076924</v>
      </c>
      <c r="Q35" s="911"/>
      <c r="R35" s="912"/>
      <c r="S35" s="913"/>
      <c r="T35" s="911"/>
      <c r="U35" s="912"/>
      <c r="V35" s="913"/>
      <c r="W35" s="911"/>
      <c r="X35" s="912"/>
      <c r="Y35" s="912"/>
      <c r="Z35" s="913"/>
      <c r="AA35" s="911"/>
      <c r="AB35" s="912"/>
      <c r="AC35" s="912"/>
      <c r="AD35" s="1057"/>
      <c r="AE35" s="50"/>
      <c r="AG35" s="90"/>
      <c r="AH35" s="90"/>
      <c r="AI35" s="90"/>
      <c r="AJ35" s="90"/>
      <c r="AK35" s="90"/>
      <c r="AL35" s="90"/>
      <c r="AM35" s="90"/>
      <c r="AN35" s="90"/>
      <c r="AO35" s="90"/>
    </row>
    <row r="36" spans="1:41" ht="25.5" customHeight="1">
      <c r="A36" s="939" t="s">
        <v>191</v>
      </c>
      <c r="B36" s="876" t="s">
        <v>61</v>
      </c>
      <c r="C36" s="1016" t="s">
        <v>11</v>
      </c>
      <c r="D36" s="1016"/>
      <c r="E36" s="1016"/>
      <c r="F36" s="1016"/>
      <c r="G36" s="1016"/>
      <c r="H36" s="1016"/>
      <c r="I36" s="1016"/>
      <c r="J36" s="1016"/>
      <c r="K36" s="1016"/>
      <c r="L36" s="1016"/>
      <c r="M36" s="1016"/>
      <c r="N36" s="1016"/>
      <c r="O36" s="1016"/>
      <c r="P36" s="1016"/>
      <c r="Q36" s="878" t="s">
        <v>78</v>
      </c>
      <c r="R36" s="879"/>
      <c r="S36" s="879"/>
      <c r="T36" s="879"/>
      <c r="U36" s="879"/>
      <c r="V36" s="879"/>
      <c r="W36" s="879"/>
      <c r="X36" s="879"/>
      <c r="Y36" s="879"/>
      <c r="Z36" s="879"/>
      <c r="AA36" s="879"/>
      <c r="AB36" s="879"/>
      <c r="AC36" s="879"/>
      <c r="AD36" s="881"/>
      <c r="AG36" s="90"/>
      <c r="AH36" s="90"/>
      <c r="AI36" s="90"/>
      <c r="AJ36" s="90"/>
      <c r="AK36" s="90"/>
      <c r="AL36" s="90"/>
      <c r="AM36" s="90"/>
      <c r="AN36" s="90"/>
      <c r="AO36" s="90"/>
    </row>
    <row r="37" spans="1:41" ht="51" customHeight="1">
      <c r="A37" s="923"/>
      <c r="B37" s="87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82" t="s">
        <v>83</v>
      </c>
      <c r="R37" s="883"/>
      <c r="S37" s="883"/>
      <c r="T37" s="883"/>
      <c r="U37" s="883"/>
      <c r="V37" s="883"/>
      <c r="W37" s="883"/>
      <c r="X37" s="883"/>
      <c r="Y37" s="883"/>
      <c r="Z37" s="883"/>
      <c r="AA37" s="883"/>
      <c r="AB37" s="883"/>
      <c r="AC37" s="883"/>
      <c r="AD37" s="884"/>
      <c r="AG37" s="98"/>
      <c r="AH37" s="98"/>
      <c r="AI37" s="98"/>
      <c r="AJ37" s="98"/>
      <c r="AK37" s="98"/>
      <c r="AL37" s="98"/>
      <c r="AM37" s="98"/>
      <c r="AN37" s="98"/>
      <c r="AO37" s="98"/>
    </row>
    <row r="38" spans="1:41" ht="112.5" customHeight="1">
      <c r="A38" s="1040" t="s">
        <v>499</v>
      </c>
      <c r="B38" s="1068">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2" ref="P38:P43">SUM(D38:O38)</f>
        <v>0.9999999999999999</v>
      </c>
      <c r="Q38" s="1052" t="s">
        <v>862</v>
      </c>
      <c r="R38" s="869"/>
      <c r="S38" s="869"/>
      <c r="T38" s="869"/>
      <c r="U38" s="869"/>
      <c r="V38" s="869"/>
      <c r="W38" s="869"/>
      <c r="X38" s="869"/>
      <c r="Y38" s="869"/>
      <c r="Z38" s="869"/>
      <c r="AA38" s="869"/>
      <c r="AB38" s="869"/>
      <c r="AC38" s="869"/>
      <c r="AD38" s="870"/>
      <c r="AE38" s="287"/>
      <c r="AG38" s="102"/>
      <c r="AH38" s="102"/>
      <c r="AI38" s="102"/>
      <c r="AJ38" s="102"/>
      <c r="AK38" s="102"/>
      <c r="AL38" s="102"/>
      <c r="AM38" s="102"/>
      <c r="AN38" s="102"/>
      <c r="AO38" s="102"/>
    </row>
    <row r="39" spans="1:31" ht="112.5" customHeight="1">
      <c r="A39" s="1067"/>
      <c r="B39" s="1042"/>
      <c r="C39" s="288" t="s">
        <v>10</v>
      </c>
      <c r="D39" s="104">
        <v>0.03</v>
      </c>
      <c r="E39" s="104">
        <v>0.08</v>
      </c>
      <c r="F39" s="104">
        <v>0.1</v>
      </c>
      <c r="G39" s="104">
        <v>0.09</v>
      </c>
      <c r="H39" s="104">
        <v>0.08</v>
      </c>
      <c r="I39" s="104">
        <v>0.08</v>
      </c>
      <c r="J39" s="104">
        <v>0.1</v>
      </c>
      <c r="K39" s="104">
        <v>0.1</v>
      </c>
      <c r="L39" s="104">
        <v>0.08</v>
      </c>
      <c r="M39" s="104"/>
      <c r="N39" s="104"/>
      <c r="O39" s="104"/>
      <c r="P39" s="289">
        <f t="shared" si="2"/>
        <v>0.74</v>
      </c>
      <c r="Q39" s="983"/>
      <c r="R39" s="984"/>
      <c r="S39" s="984"/>
      <c r="T39" s="984"/>
      <c r="U39" s="984"/>
      <c r="V39" s="984"/>
      <c r="W39" s="984"/>
      <c r="X39" s="984"/>
      <c r="Y39" s="984"/>
      <c r="Z39" s="984"/>
      <c r="AA39" s="984"/>
      <c r="AB39" s="984"/>
      <c r="AC39" s="984"/>
      <c r="AD39" s="1053"/>
      <c r="AE39" s="287"/>
    </row>
    <row r="40" spans="1:31" ht="69" customHeight="1">
      <c r="A40" s="1039" t="s">
        <v>629</v>
      </c>
      <c r="B40" s="1041">
        <v>0.03</v>
      </c>
      <c r="C40" s="290" t="s">
        <v>9</v>
      </c>
      <c r="D40" s="332">
        <v>0.04</v>
      </c>
      <c r="E40" s="332">
        <v>0.19</v>
      </c>
      <c r="F40" s="332">
        <v>0.07</v>
      </c>
      <c r="G40" s="332">
        <v>0.04</v>
      </c>
      <c r="H40" s="332">
        <v>0.11</v>
      </c>
      <c r="I40" s="489">
        <v>0.01</v>
      </c>
      <c r="J40" s="489">
        <v>0.1</v>
      </c>
      <c r="K40" s="489">
        <v>0.08</v>
      </c>
      <c r="L40" s="489">
        <v>0.06</v>
      </c>
      <c r="M40" s="489">
        <v>0.12</v>
      </c>
      <c r="N40" s="489">
        <v>0.08</v>
      </c>
      <c r="O40" s="489">
        <v>0.1</v>
      </c>
      <c r="P40" s="289">
        <f t="shared" si="2"/>
        <v>0.9999999999999999</v>
      </c>
      <c r="Q40" s="1043" t="s">
        <v>875</v>
      </c>
      <c r="R40" s="1044"/>
      <c r="S40" s="1044"/>
      <c r="T40" s="1044"/>
      <c r="U40" s="1044"/>
      <c r="V40" s="1044"/>
      <c r="W40" s="1044"/>
      <c r="X40" s="1044"/>
      <c r="Y40" s="1044"/>
      <c r="Z40" s="1044"/>
      <c r="AA40" s="1044"/>
      <c r="AB40" s="1044"/>
      <c r="AC40" s="1044"/>
      <c r="AD40" s="1045"/>
      <c r="AE40" s="287"/>
    </row>
    <row r="41" spans="1:31" ht="69" customHeight="1">
      <c r="A41" s="1040"/>
      <c r="B41" s="1042"/>
      <c r="C41" s="288" t="s">
        <v>10</v>
      </c>
      <c r="D41" s="104">
        <v>0.07</v>
      </c>
      <c r="E41" s="104">
        <v>0.16</v>
      </c>
      <c r="F41" s="104">
        <v>0.05</v>
      </c>
      <c r="G41" s="104">
        <v>0.04</v>
      </c>
      <c r="H41" s="104">
        <v>0.11</v>
      </c>
      <c r="I41" s="104">
        <v>0.05</v>
      </c>
      <c r="J41" s="104">
        <v>0.07</v>
      </c>
      <c r="K41" s="104">
        <v>0.08</v>
      </c>
      <c r="L41" s="108">
        <v>0.06</v>
      </c>
      <c r="M41" s="108"/>
      <c r="N41" s="108"/>
      <c r="O41" s="108"/>
      <c r="P41" s="289">
        <f t="shared" si="2"/>
        <v>0.69</v>
      </c>
      <c r="Q41" s="1046"/>
      <c r="R41" s="1047"/>
      <c r="S41" s="1047"/>
      <c r="T41" s="1047"/>
      <c r="U41" s="1047"/>
      <c r="V41" s="1047"/>
      <c r="W41" s="1047"/>
      <c r="X41" s="1047"/>
      <c r="Y41" s="1047"/>
      <c r="Z41" s="1047"/>
      <c r="AA41" s="1047"/>
      <c r="AB41" s="1047"/>
      <c r="AC41" s="1047"/>
      <c r="AD41" s="1048"/>
      <c r="AE41" s="287"/>
    </row>
    <row r="42" spans="1:31" ht="107.25" customHeight="1" thickBot="1">
      <c r="A42" s="1058" t="s">
        <v>630</v>
      </c>
      <c r="B42" s="1060">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2"/>
        <v>0.9999999999999998</v>
      </c>
      <c r="Q42" s="1061" t="s">
        <v>1029</v>
      </c>
      <c r="R42" s="1062"/>
      <c r="S42" s="1062"/>
      <c r="T42" s="1062"/>
      <c r="U42" s="1062"/>
      <c r="V42" s="1062"/>
      <c r="W42" s="1062"/>
      <c r="X42" s="1062"/>
      <c r="Y42" s="1062"/>
      <c r="Z42" s="1062"/>
      <c r="AA42" s="1062"/>
      <c r="AB42" s="1062"/>
      <c r="AC42" s="1062"/>
      <c r="AD42" s="1063"/>
      <c r="AE42" s="287"/>
    </row>
    <row r="43" spans="1:31" ht="107.25" customHeight="1" thickBot="1">
      <c r="A43" s="1059"/>
      <c r="B43" s="867"/>
      <c r="C43" s="334" t="s">
        <v>10</v>
      </c>
      <c r="D43" s="335">
        <v>0.09</v>
      </c>
      <c r="E43" s="335">
        <v>0.08</v>
      </c>
      <c r="F43" s="335">
        <v>0.08</v>
      </c>
      <c r="G43" s="335">
        <v>0.09</v>
      </c>
      <c r="H43" s="335">
        <v>0.08</v>
      </c>
      <c r="I43" s="335">
        <v>0.08</v>
      </c>
      <c r="J43" s="335">
        <v>0.09</v>
      </c>
      <c r="K43" s="335">
        <v>0.08</v>
      </c>
      <c r="L43" s="336">
        <v>0.08</v>
      </c>
      <c r="M43" s="336"/>
      <c r="N43" s="336"/>
      <c r="O43" s="336"/>
      <c r="P43" s="337">
        <f t="shared" si="2"/>
        <v>0.7499999999999999</v>
      </c>
      <c r="Q43" s="1064"/>
      <c r="R43" s="1065"/>
      <c r="S43" s="1065"/>
      <c r="T43" s="1065"/>
      <c r="U43" s="1065"/>
      <c r="V43" s="1065"/>
      <c r="W43" s="1065"/>
      <c r="X43" s="1065"/>
      <c r="Y43" s="1065"/>
      <c r="Z43" s="1065"/>
      <c r="AA43" s="1065"/>
      <c r="AB43" s="1065"/>
      <c r="AC43" s="1065"/>
      <c r="AD43" s="1066"/>
      <c r="AE43" s="287"/>
    </row>
  </sheetData>
  <sheetProtection/>
  <mergeCells count="79">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B2:AD2"/>
    <mergeCell ref="B3:AA4"/>
    <mergeCell ref="AB3:AD3"/>
    <mergeCell ref="O7:P7"/>
    <mergeCell ref="M8:N8"/>
    <mergeCell ref="O8:P8"/>
    <mergeCell ref="AB4:AD4"/>
    <mergeCell ref="A1:A4"/>
    <mergeCell ref="B1:AA1"/>
    <mergeCell ref="AB1:AD1"/>
    <mergeCell ref="A40:A41"/>
    <mergeCell ref="B40:B41"/>
    <mergeCell ref="Q40:AD41"/>
    <mergeCell ref="I7:J9"/>
    <mergeCell ref="K7:L9"/>
    <mergeCell ref="M7:N7"/>
    <mergeCell ref="B2:AA2"/>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O50"/>
  <sheetViews>
    <sheetView showGridLines="0" view="pageBreakPreview" zoomScale="55" zoomScaleNormal="85" zoomScaleSheetLayoutView="55" workbookViewId="0" topLeftCell="S43">
      <selection activeCell="N35" sqref="N35"/>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1" width="31.8515625" style="246" customWidth="1"/>
    <col min="22" max="22" width="36.57421875" style="246" customWidth="1"/>
    <col min="23" max="23" width="26.00390625" style="246" customWidth="1"/>
    <col min="24"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33"/>
      <c r="B1" s="1036" t="s">
        <v>16</v>
      </c>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8"/>
      <c r="AB1" s="1130" t="s">
        <v>18</v>
      </c>
      <c r="AC1" s="1131"/>
      <c r="AD1" s="1132"/>
    </row>
    <row r="2" spans="1:30" ht="30.75" customHeight="1">
      <c r="A2" s="1034"/>
      <c r="B2" s="1049" t="s">
        <v>17</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1"/>
      <c r="AB2" s="1133" t="s">
        <v>631</v>
      </c>
      <c r="AC2" s="1134"/>
      <c r="AD2" s="1135"/>
    </row>
    <row r="3" spans="1:30" ht="24" customHeight="1">
      <c r="A3" s="1034"/>
      <c r="B3" s="952" t="s">
        <v>295</v>
      </c>
      <c r="C3" s="953"/>
      <c r="D3" s="953"/>
      <c r="E3" s="953"/>
      <c r="F3" s="953"/>
      <c r="G3" s="953"/>
      <c r="H3" s="953"/>
      <c r="I3" s="953"/>
      <c r="J3" s="953"/>
      <c r="K3" s="953"/>
      <c r="L3" s="953"/>
      <c r="M3" s="953"/>
      <c r="N3" s="953"/>
      <c r="O3" s="953"/>
      <c r="P3" s="953"/>
      <c r="Q3" s="953"/>
      <c r="R3" s="953"/>
      <c r="S3" s="953"/>
      <c r="T3" s="953"/>
      <c r="U3" s="953"/>
      <c r="V3" s="953"/>
      <c r="W3" s="953"/>
      <c r="X3" s="953"/>
      <c r="Y3" s="953"/>
      <c r="Z3" s="953"/>
      <c r="AA3" s="954"/>
      <c r="AB3" s="1133" t="s">
        <v>632</v>
      </c>
      <c r="AC3" s="1134"/>
      <c r="AD3" s="1135"/>
    </row>
    <row r="4" spans="1:30" ht="21.75" customHeight="1" thickBot="1">
      <c r="A4" s="1035"/>
      <c r="B4" s="955"/>
      <c r="C4" s="956"/>
      <c r="D4" s="956"/>
      <c r="E4" s="956"/>
      <c r="F4" s="956"/>
      <c r="G4" s="956"/>
      <c r="H4" s="956"/>
      <c r="I4" s="956"/>
      <c r="J4" s="956"/>
      <c r="K4" s="956"/>
      <c r="L4" s="956"/>
      <c r="M4" s="956"/>
      <c r="N4" s="956"/>
      <c r="O4" s="956"/>
      <c r="P4" s="956"/>
      <c r="Q4" s="956"/>
      <c r="R4" s="956"/>
      <c r="S4" s="956"/>
      <c r="T4" s="956"/>
      <c r="U4" s="956"/>
      <c r="V4" s="956"/>
      <c r="W4" s="956"/>
      <c r="X4" s="956"/>
      <c r="Y4" s="956"/>
      <c r="Z4" s="956"/>
      <c r="AA4" s="957"/>
      <c r="AB4" s="736" t="s">
        <v>779</v>
      </c>
      <c r="AC4" s="737"/>
      <c r="AD4" s="738"/>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08" t="s">
        <v>293</v>
      </c>
      <c r="B7" s="609"/>
      <c r="C7" s="958" t="s">
        <v>47</v>
      </c>
      <c r="D7" s="608" t="s">
        <v>71</v>
      </c>
      <c r="E7" s="614"/>
      <c r="F7" s="614"/>
      <c r="G7" s="614"/>
      <c r="H7" s="609"/>
      <c r="I7" s="986">
        <v>45205</v>
      </c>
      <c r="J7" s="987"/>
      <c r="K7" s="608" t="s">
        <v>67</v>
      </c>
      <c r="L7" s="609"/>
      <c r="M7" s="992" t="s">
        <v>70</v>
      </c>
      <c r="N7" s="993"/>
      <c r="O7" s="971"/>
      <c r="P7" s="972"/>
      <c r="Q7" s="252"/>
      <c r="R7" s="252"/>
      <c r="S7" s="252"/>
      <c r="T7" s="252"/>
      <c r="U7" s="252"/>
      <c r="V7" s="252"/>
      <c r="W7" s="252"/>
      <c r="X7" s="252"/>
      <c r="Y7" s="252"/>
      <c r="Z7" s="253"/>
      <c r="AA7" s="252"/>
      <c r="AB7" s="252"/>
      <c r="AC7" s="258"/>
      <c r="AD7" s="259"/>
    </row>
    <row r="8" spans="1:30" ht="15" customHeight="1">
      <c r="A8" s="610"/>
      <c r="B8" s="611"/>
      <c r="C8" s="959"/>
      <c r="D8" s="610"/>
      <c r="E8" s="961"/>
      <c r="F8" s="961"/>
      <c r="G8" s="961"/>
      <c r="H8" s="611"/>
      <c r="I8" s="988"/>
      <c r="J8" s="989"/>
      <c r="K8" s="610"/>
      <c r="L8" s="611"/>
      <c r="M8" s="973" t="s">
        <v>68</v>
      </c>
      <c r="N8" s="974"/>
      <c r="O8" s="975"/>
      <c r="P8" s="976"/>
      <c r="Q8" s="252"/>
      <c r="R8" s="252"/>
      <c r="S8" s="252"/>
      <c r="T8" s="252"/>
      <c r="U8" s="252"/>
      <c r="V8" s="252"/>
      <c r="W8" s="252"/>
      <c r="X8" s="252"/>
      <c r="Y8" s="252"/>
      <c r="Z8" s="253"/>
      <c r="AA8" s="252"/>
      <c r="AB8" s="252"/>
      <c r="AC8" s="258"/>
      <c r="AD8" s="259"/>
    </row>
    <row r="9" spans="1:30" ht="15.75" customHeight="1" thickBot="1">
      <c r="A9" s="612"/>
      <c r="B9" s="613"/>
      <c r="C9" s="960"/>
      <c r="D9" s="612"/>
      <c r="E9" s="616"/>
      <c r="F9" s="616"/>
      <c r="G9" s="616"/>
      <c r="H9" s="613"/>
      <c r="I9" s="990"/>
      <c r="J9" s="991"/>
      <c r="K9" s="612"/>
      <c r="L9" s="613"/>
      <c r="M9" s="977" t="s">
        <v>69</v>
      </c>
      <c r="N9" s="978"/>
      <c r="O9" s="979" t="s">
        <v>425</v>
      </c>
      <c r="P9" s="980"/>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08" t="s">
        <v>0</v>
      </c>
      <c r="B11" s="609"/>
      <c r="C11" s="949" t="s">
        <v>497</v>
      </c>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1"/>
    </row>
    <row r="12" spans="1:30" ht="15" customHeight="1">
      <c r="A12" s="610"/>
      <c r="B12" s="611"/>
      <c r="C12" s="952"/>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4"/>
    </row>
    <row r="13" spans="1:30" ht="15" customHeight="1" thickBot="1">
      <c r="A13" s="612"/>
      <c r="B13" s="613"/>
      <c r="C13" s="955"/>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7"/>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5" t="s">
        <v>77</v>
      </c>
      <c r="B15" s="646"/>
      <c r="C15" s="940" t="s">
        <v>426</v>
      </c>
      <c r="D15" s="941"/>
      <c r="E15" s="941"/>
      <c r="F15" s="941"/>
      <c r="G15" s="941"/>
      <c r="H15" s="941"/>
      <c r="I15" s="941"/>
      <c r="J15" s="941"/>
      <c r="K15" s="942"/>
      <c r="L15" s="584" t="s">
        <v>73</v>
      </c>
      <c r="M15" s="585"/>
      <c r="N15" s="585"/>
      <c r="O15" s="585"/>
      <c r="P15" s="585"/>
      <c r="Q15" s="586"/>
      <c r="R15" s="940" t="s">
        <v>622</v>
      </c>
      <c r="S15" s="941"/>
      <c r="T15" s="941"/>
      <c r="U15" s="941"/>
      <c r="V15" s="941"/>
      <c r="W15" s="941"/>
      <c r="X15" s="942"/>
      <c r="Y15" s="584" t="s">
        <v>72</v>
      </c>
      <c r="Z15" s="586"/>
      <c r="AA15" s="940" t="s">
        <v>623</v>
      </c>
      <c r="AB15" s="941"/>
      <c r="AC15" s="941"/>
      <c r="AD15" s="942"/>
    </row>
    <row r="16" spans="1:30" ht="9" customHeight="1" thickBot="1">
      <c r="A16" s="257"/>
      <c r="B16" s="252"/>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271"/>
      <c r="AD16" s="272"/>
    </row>
    <row r="17" spans="1:33" s="273" customFormat="1" ht="37.5" customHeight="1" thickBot="1">
      <c r="A17" s="645" t="s">
        <v>79</v>
      </c>
      <c r="B17" s="646"/>
      <c r="C17" s="944" t="s">
        <v>633</v>
      </c>
      <c r="D17" s="945"/>
      <c r="E17" s="945"/>
      <c r="F17" s="945"/>
      <c r="G17" s="945"/>
      <c r="H17" s="945"/>
      <c r="I17" s="945"/>
      <c r="J17" s="945"/>
      <c r="K17" s="945"/>
      <c r="L17" s="945"/>
      <c r="M17" s="945"/>
      <c r="N17" s="945"/>
      <c r="O17" s="945"/>
      <c r="P17" s="945"/>
      <c r="Q17" s="946"/>
      <c r="R17" s="584" t="s">
        <v>374</v>
      </c>
      <c r="S17" s="585"/>
      <c r="T17" s="585"/>
      <c r="U17" s="585"/>
      <c r="V17" s="586"/>
      <c r="W17" s="663">
        <v>0.6</v>
      </c>
      <c r="X17" s="664"/>
      <c r="Y17" s="585" t="s">
        <v>15</v>
      </c>
      <c r="Z17" s="585"/>
      <c r="AA17" s="585"/>
      <c r="AB17" s="586"/>
      <c r="AC17" s="947">
        <f>+VIGENCIA!D9</f>
        <v>0.08</v>
      </c>
      <c r="AD17" s="948"/>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84" t="s">
        <v>1</v>
      </c>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6"/>
      <c r="AE19" s="275"/>
      <c r="AF19" s="341"/>
    </row>
    <row r="20" spans="1:32" ht="31.5" customHeight="1" thickBot="1">
      <c r="A20" s="276"/>
      <c r="B20" s="258"/>
      <c r="C20" s="745" t="s">
        <v>376</v>
      </c>
      <c r="D20" s="746"/>
      <c r="E20" s="746"/>
      <c r="F20" s="746"/>
      <c r="G20" s="746"/>
      <c r="H20" s="746"/>
      <c r="I20" s="746"/>
      <c r="J20" s="746"/>
      <c r="K20" s="746"/>
      <c r="L20" s="746"/>
      <c r="M20" s="746"/>
      <c r="N20" s="746"/>
      <c r="O20" s="746"/>
      <c r="P20" s="747"/>
      <c r="Q20" s="742" t="s">
        <v>377</v>
      </c>
      <c r="R20" s="938"/>
      <c r="S20" s="938"/>
      <c r="T20" s="938"/>
      <c r="U20" s="938"/>
      <c r="V20" s="938"/>
      <c r="W20" s="938"/>
      <c r="X20" s="938"/>
      <c r="Y20" s="938"/>
      <c r="Z20" s="938"/>
      <c r="AA20" s="938"/>
      <c r="AB20" s="938"/>
      <c r="AC20" s="938"/>
      <c r="AD20" s="744"/>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939" t="s">
        <v>378</v>
      </c>
      <c r="B22" s="878"/>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923" t="s">
        <v>379</v>
      </c>
      <c r="B23" s="882"/>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f>+VIGENCIA!N18</f>
        <v>73360000</v>
      </c>
      <c r="W23" s="191">
        <f>+VIGENCIA!P18</f>
        <v>0</v>
      </c>
      <c r="X23" s="191">
        <f>+VIGENCIA!R18</f>
        <v>0</v>
      </c>
      <c r="Y23" s="191">
        <f>+VIGENCIA!T18</f>
        <v>26932783</v>
      </c>
      <c r="Z23" s="191"/>
      <c r="AA23" s="191"/>
      <c r="AB23" s="344"/>
      <c r="AC23" s="195">
        <f>SUM(Q23:AB23)</f>
        <v>796319899</v>
      </c>
      <c r="AD23" s="200">
        <f>+AC23/AC22</f>
        <v>0.8491505964657753</v>
      </c>
      <c r="AE23" s="4"/>
      <c r="AF23" s="341"/>
    </row>
    <row r="24" spans="1:32" ht="31.5" customHeight="1">
      <c r="A24" s="923" t="s">
        <v>380</v>
      </c>
      <c r="B24" s="882"/>
      <c r="C24" s="192">
        <v>10423312</v>
      </c>
      <c r="D24" s="191">
        <f>8615673-22323</f>
        <v>8593350</v>
      </c>
      <c r="E24" s="191">
        <v>1744323</v>
      </c>
      <c r="F24" s="191">
        <v>0</v>
      </c>
      <c r="G24" s="191"/>
      <c r="H24" s="191">
        <f>-RESERVA!N16</f>
        <v>-1722000</v>
      </c>
      <c r="I24" s="191">
        <f>+RESERVA!P16</f>
        <v>0</v>
      </c>
      <c r="J24" s="191">
        <f>+RESERVA!R16</f>
        <v>0</v>
      </c>
      <c r="K24" s="191">
        <f>+(-RESERVA!T16)</f>
        <v>-2126673</v>
      </c>
      <c r="L24" s="191"/>
      <c r="M24" s="191"/>
      <c r="N24" s="191"/>
      <c r="O24" s="191">
        <f>SUM(C24:N24)</f>
        <v>16912312</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927" t="s">
        <v>381</v>
      </c>
      <c r="B25" s="928"/>
      <c r="C25" s="193">
        <f>+RESERVA!E16</f>
        <v>10423312</v>
      </c>
      <c r="D25" s="194">
        <f>+RESERVA!G16</f>
        <v>0</v>
      </c>
      <c r="E25" s="194">
        <f>+RESERVA!I16</f>
        <v>0</v>
      </c>
      <c r="F25" s="194">
        <v>0</v>
      </c>
      <c r="G25" s="194">
        <f>+RESERVA!M16</f>
        <v>6489000</v>
      </c>
      <c r="H25" s="194">
        <f>+RESERVA!O16</f>
        <v>0</v>
      </c>
      <c r="I25" s="194">
        <f>+RESERVA!Q16</f>
        <v>0</v>
      </c>
      <c r="J25" s="194">
        <f>+RESERVA!S16</f>
        <v>0</v>
      </c>
      <c r="K25" s="194">
        <f>+RESERVA!U16</f>
        <v>0</v>
      </c>
      <c r="L25" s="194"/>
      <c r="M25" s="194"/>
      <c r="N25" s="194"/>
      <c r="O25" s="194">
        <f>SUM(C25:N25)</f>
        <v>16912312</v>
      </c>
      <c r="P25" s="447">
        <f>+O25/O24</f>
        <v>1</v>
      </c>
      <c r="Q25" s="193">
        <f>+VIGENCIA!E18</f>
        <v>0</v>
      </c>
      <c r="R25" s="345">
        <f>+VIGENCIA!G18</f>
        <v>24978180</v>
      </c>
      <c r="S25" s="345">
        <f>+VIGENCIA!I18</f>
        <v>60172312</v>
      </c>
      <c r="T25" s="194">
        <f>+VIGENCIA!K18</f>
        <v>65752312</v>
      </c>
      <c r="U25" s="194">
        <f>+VIGENCIA!M18</f>
        <v>70632312</v>
      </c>
      <c r="V25" s="345">
        <f>+VIGENCIA!O18</f>
        <v>67789000</v>
      </c>
      <c r="W25" s="194">
        <f>+VIGENCIA!Q18</f>
        <v>67789000</v>
      </c>
      <c r="X25" s="194">
        <f>+VIGENCIA!S18</f>
        <v>61300000</v>
      </c>
      <c r="Y25" s="194">
        <f>+VIGENCIA!U18</f>
        <v>74278000</v>
      </c>
      <c r="Z25" s="194"/>
      <c r="AA25" s="194"/>
      <c r="AB25" s="345"/>
      <c r="AC25" s="194">
        <f>SUM(Q25:AB25)</f>
        <v>492691116</v>
      </c>
      <c r="AD25" s="201">
        <f>+AC25/AC24</f>
        <v>0.5253779989049207</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29" t="s">
        <v>76</v>
      </c>
      <c r="B27" s="930"/>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2"/>
    </row>
    <row r="28" spans="1:30" ht="15" customHeight="1">
      <c r="A28" s="933" t="s">
        <v>189</v>
      </c>
      <c r="B28" s="935" t="s">
        <v>6</v>
      </c>
      <c r="C28" s="936"/>
      <c r="D28" s="882" t="s">
        <v>398</v>
      </c>
      <c r="E28" s="883"/>
      <c r="F28" s="883"/>
      <c r="G28" s="883"/>
      <c r="H28" s="883"/>
      <c r="I28" s="883"/>
      <c r="J28" s="883"/>
      <c r="K28" s="883"/>
      <c r="L28" s="883"/>
      <c r="M28" s="883"/>
      <c r="N28" s="883"/>
      <c r="O28" s="937"/>
      <c r="P28" s="924" t="s">
        <v>8</v>
      </c>
      <c r="Q28" s="924" t="s">
        <v>84</v>
      </c>
      <c r="R28" s="924"/>
      <c r="S28" s="924"/>
      <c r="T28" s="924"/>
      <c r="U28" s="924"/>
      <c r="V28" s="924"/>
      <c r="W28" s="924"/>
      <c r="X28" s="924"/>
      <c r="Y28" s="924"/>
      <c r="Z28" s="924"/>
      <c r="AA28" s="924"/>
      <c r="AB28" s="924"/>
      <c r="AC28" s="924"/>
      <c r="AD28" s="926"/>
    </row>
    <row r="29" spans="1:30" ht="27" customHeight="1">
      <c r="A29" s="934"/>
      <c r="B29" s="888"/>
      <c r="C29" s="890"/>
      <c r="D29" s="281" t="s">
        <v>39</v>
      </c>
      <c r="E29" s="281" t="s">
        <v>40</v>
      </c>
      <c r="F29" s="281" t="s">
        <v>41</v>
      </c>
      <c r="G29" s="281" t="s">
        <v>42</v>
      </c>
      <c r="H29" s="281" t="s">
        <v>43</v>
      </c>
      <c r="I29" s="281" t="s">
        <v>44</v>
      </c>
      <c r="J29" s="281" t="s">
        <v>45</v>
      </c>
      <c r="K29" s="281" t="s">
        <v>46</v>
      </c>
      <c r="L29" s="281" t="s">
        <v>47</v>
      </c>
      <c r="M29" s="281" t="s">
        <v>48</v>
      </c>
      <c r="N29" s="281" t="s">
        <v>49</v>
      </c>
      <c r="O29" s="281" t="s">
        <v>50</v>
      </c>
      <c r="P29" s="937"/>
      <c r="Q29" s="924"/>
      <c r="R29" s="924"/>
      <c r="S29" s="924"/>
      <c r="T29" s="924"/>
      <c r="U29" s="924"/>
      <c r="V29" s="924"/>
      <c r="W29" s="924"/>
      <c r="X29" s="924"/>
      <c r="Y29" s="924"/>
      <c r="Z29" s="924"/>
      <c r="AA29" s="924"/>
      <c r="AB29" s="924"/>
      <c r="AC29" s="924"/>
      <c r="AD29" s="926"/>
    </row>
    <row r="30" spans="1:30" ht="61.5" customHeight="1" thickBot="1">
      <c r="A30" s="330" t="str">
        <f>C17</f>
        <v>Ejecutar al 90% la implementación de la Política de Gestión Documental institucional</v>
      </c>
      <c r="B30" s="916" t="s">
        <v>450</v>
      </c>
      <c r="C30" s="917"/>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18"/>
      <c r="R30" s="918"/>
      <c r="S30" s="918"/>
      <c r="T30" s="918"/>
      <c r="U30" s="918"/>
      <c r="V30" s="918"/>
      <c r="W30" s="918"/>
      <c r="X30" s="918"/>
      <c r="Y30" s="918"/>
      <c r="Z30" s="918"/>
      <c r="AA30" s="918"/>
      <c r="AB30" s="918"/>
      <c r="AC30" s="918"/>
      <c r="AD30" s="919"/>
    </row>
    <row r="31" spans="1:30" ht="45" customHeight="1">
      <c r="A31" s="920" t="s">
        <v>292</v>
      </c>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2"/>
    </row>
    <row r="32" spans="1:41" ht="22.5" customHeight="1">
      <c r="A32" s="923" t="s">
        <v>190</v>
      </c>
      <c r="B32" s="924" t="s">
        <v>62</v>
      </c>
      <c r="C32" s="924" t="s">
        <v>6</v>
      </c>
      <c r="D32" s="924" t="s">
        <v>60</v>
      </c>
      <c r="E32" s="924"/>
      <c r="F32" s="924"/>
      <c r="G32" s="924"/>
      <c r="H32" s="924"/>
      <c r="I32" s="924"/>
      <c r="J32" s="924"/>
      <c r="K32" s="924"/>
      <c r="L32" s="924"/>
      <c r="M32" s="924"/>
      <c r="N32" s="924"/>
      <c r="O32" s="924"/>
      <c r="P32" s="924"/>
      <c r="Q32" s="924" t="s">
        <v>85</v>
      </c>
      <c r="R32" s="924"/>
      <c r="S32" s="924"/>
      <c r="T32" s="924"/>
      <c r="U32" s="924"/>
      <c r="V32" s="924"/>
      <c r="W32" s="924"/>
      <c r="X32" s="924"/>
      <c r="Y32" s="924"/>
      <c r="Z32" s="924"/>
      <c r="AA32" s="924"/>
      <c r="AB32" s="924"/>
      <c r="AC32" s="924"/>
      <c r="AD32" s="926"/>
      <c r="AH32" s="90"/>
      <c r="AI32" s="90"/>
      <c r="AJ32" s="90"/>
      <c r="AK32" s="90"/>
      <c r="AL32" s="90"/>
      <c r="AM32" s="90"/>
      <c r="AN32" s="90"/>
      <c r="AO32" s="90"/>
    </row>
    <row r="33" spans="1:41" ht="35.25" customHeight="1">
      <c r="A33" s="923"/>
      <c r="B33" s="924"/>
      <c r="C33" s="925"/>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82" t="s">
        <v>80</v>
      </c>
      <c r="R33" s="883"/>
      <c r="S33" s="937"/>
      <c r="T33" s="924" t="s">
        <v>406</v>
      </c>
      <c r="U33" s="924"/>
      <c r="V33" s="924"/>
      <c r="W33" s="888" t="s">
        <v>81</v>
      </c>
      <c r="X33" s="889"/>
      <c r="Y33" s="889"/>
      <c r="Z33" s="890"/>
      <c r="AA33" s="888" t="s">
        <v>82</v>
      </c>
      <c r="AB33" s="889"/>
      <c r="AC33" s="889"/>
      <c r="AD33" s="891"/>
      <c r="AH33" s="90"/>
      <c r="AI33" s="90"/>
      <c r="AJ33" s="90"/>
      <c r="AK33" s="90"/>
      <c r="AL33" s="90"/>
      <c r="AM33" s="90"/>
      <c r="AN33" s="90"/>
      <c r="AO33" s="90"/>
    </row>
    <row r="34" spans="1:41" ht="152.25" customHeight="1">
      <c r="A34" s="892" t="str">
        <f>A30</f>
        <v>Ejecutar al 90% la implementación de la Política de Gestión Documental institucional</v>
      </c>
      <c r="B34" s="1008">
        <f>+AC17</f>
        <v>0.08</v>
      </c>
      <c r="C34" s="284" t="s">
        <v>9</v>
      </c>
      <c r="D34" s="177">
        <v>0.6</v>
      </c>
      <c r="E34" s="177">
        <f>(((E38*($B$38/$B$34))+(E40*($B$40/$B$34))+(E42*($B$42/$B$34))+(E44*($B$44/$B$34))+(E46*($B$46/$B$34))))*($P$34-$D$34)</f>
        <v>0.012500000000000002</v>
      </c>
      <c r="F34" s="177">
        <f aca="true" t="shared" si="0" ref="F34:O34">(((F38*($B$38/$B$34))+(F40*($B$40/$B$34))+(F42*($B$42/$B$34))+(F44*($B$44/$B$34))+(F46*($B$46/$B$34))))*($P$34-$D$34)</f>
        <v>0.025000000000000005</v>
      </c>
      <c r="G34" s="177">
        <f t="shared" si="0"/>
        <v>0.025000000000000005</v>
      </c>
      <c r="H34" s="177">
        <f t="shared" si="0"/>
        <v>0.025000000000000005</v>
      </c>
      <c r="I34" s="177">
        <f t="shared" si="0"/>
        <v>0.025000000000000005</v>
      </c>
      <c r="J34" s="177">
        <f t="shared" si="0"/>
        <v>0.025000000000000005</v>
      </c>
      <c r="K34" s="177">
        <f t="shared" si="0"/>
        <v>0.025000000000000005</v>
      </c>
      <c r="L34" s="177">
        <f>(((L38*($B$38/$B$34))+(L40*($B$40/$B$34))+(L42*($B$42/$B$34))+(L44*($B$44/$B$34))+(L46*($B$46/$B$34))))*($P$34-$D$34)</f>
        <v>0.027500000000000004</v>
      </c>
      <c r="M34" s="177">
        <f t="shared" si="0"/>
        <v>0.025000000000000005</v>
      </c>
      <c r="N34" s="177">
        <f t="shared" si="0"/>
        <v>0.022500000000000003</v>
      </c>
      <c r="O34" s="177">
        <f t="shared" si="0"/>
        <v>0.012500000000000002</v>
      </c>
      <c r="P34" s="177">
        <v>0.85</v>
      </c>
      <c r="Q34" s="1120" t="s">
        <v>887</v>
      </c>
      <c r="R34" s="1121"/>
      <c r="S34" s="1122"/>
      <c r="T34" s="1126" t="s">
        <v>884</v>
      </c>
      <c r="U34" s="1115"/>
      <c r="V34" s="1127"/>
      <c r="W34" s="1108" t="s">
        <v>885</v>
      </c>
      <c r="X34" s="1109"/>
      <c r="Y34" s="1109"/>
      <c r="Z34" s="1110"/>
      <c r="AA34" s="1114" t="s">
        <v>886</v>
      </c>
      <c r="AB34" s="1115"/>
      <c r="AC34" s="1115"/>
      <c r="AD34" s="1116"/>
      <c r="AE34" s="346"/>
      <c r="AH34" s="90"/>
      <c r="AI34" s="90"/>
      <c r="AJ34" s="90"/>
      <c r="AK34" s="90"/>
      <c r="AL34" s="90"/>
      <c r="AM34" s="90"/>
      <c r="AN34" s="90"/>
      <c r="AO34" s="90"/>
    </row>
    <row r="35" spans="1:41" ht="152.25" customHeight="1" thickBot="1">
      <c r="A35" s="893"/>
      <c r="B35" s="1009"/>
      <c r="C35" s="285" t="s">
        <v>10</v>
      </c>
      <c r="D35" s="347">
        <v>0.6</v>
      </c>
      <c r="E35" s="347">
        <f aca="true" t="shared" si="1" ref="E35:L35">(((E39*($B$38/$B$34))+(E41*($B$40/$B$34))+(E43*($B$42/$B$34))+(E45*($B$44/$B$34))+(E47*($B$46/$B$34))))*($P$34-$D$35)</f>
        <v>0.012500000000000002</v>
      </c>
      <c r="F35" s="347">
        <f t="shared" si="1"/>
        <v>0.020500000000000004</v>
      </c>
      <c r="G35" s="347">
        <f t="shared" si="1"/>
        <v>0.025000000000000005</v>
      </c>
      <c r="H35" s="347">
        <f t="shared" si="1"/>
        <v>0.029500000000000005</v>
      </c>
      <c r="I35" s="347">
        <f t="shared" si="1"/>
        <v>0.025000000000000005</v>
      </c>
      <c r="J35" s="347">
        <f t="shared" si="1"/>
        <v>0.025000000000000005</v>
      </c>
      <c r="K35" s="347">
        <f t="shared" si="1"/>
        <v>0.025000000000000005</v>
      </c>
      <c r="L35" s="347">
        <f t="shared" si="1"/>
        <v>0.027500000000000004</v>
      </c>
      <c r="M35" s="347"/>
      <c r="N35" s="347"/>
      <c r="O35" s="347"/>
      <c r="P35" s="178">
        <f>SUM(D35:O35)</f>
        <v>0.7899999999999999</v>
      </c>
      <c r="Q35" s="1123"/>
      <c r="R35" s="1124"/>
      <c r="S35" s="1125"/>
      <c r="T35" s="1128"/>
      <c r="U35" s="1118"/>
      <c r="V35" s="1129"/>
      <c r="W35" s="1111"/>
      <c r="X35" s="1112"/>
      <c r="Y35" s="1112"/>
      <c r="Z35" s="1113"/>
      <c r="AA35" s="1117"/>
      <c r="AB35" s="1118"/>
      <c r="AC35" s="1118"/>
      <c r="AD35" s="1119"/>
      <c r="AE35" s="348"/>
      <c r="AF35" s="343"/>
      <c r="AH35" s="90"/>
      <c r="AI35" s="90"/>
      <c r="AJ35" s="90"/>
      <c r="AK35" s="90"/>
      <c r="AL35" s="90"/>
      <c r="AM35" s="90"/>
      <c r="AN35" s="90"/>
      <c r="AO35" s="90"/>
    </row>
    <row r="36" spans="1:41" ht="25.5" customHeight="1">
      <c r="A36" s="939" t="s">
        <v>191</v>
      </c>
      <c r="B36" s="876" t="s">
        <v>61</v>
      </c>
      <c r="C36" s="1016" t="s">
        <v>11</v>
      </c>
      <c r="D36" s="1016"/>
      <c r="E36" s="1016"/>
      <c r="F36" s="1016"/>
      <c r="G36" s="1016"/>
      <c r="H36" s="1016"/>
      <c r="I36" s="1016"/>
      <c r="J36" s="1016"/>
      <c r="K36" s="1016"/>
      <c r="L36" s="1016"/>
      <c r="M36" s="1016"/>
      <c r="N36" s="1016"/>
      <c r="O36" s="1016"/>
      <c r="P36" s="1016"/>
      <c r="Q36" s="878" t="s">
        <v>78</v>
      </c>
      <c r="R36" s="879"/>
      <c r="S36" s="879"/>
      <c r="T36" s="879"/>
      <c r="U36" s="879"/>
      <c r="V36" s="879"/>
      <c r="W36" s="879"/>
      <c r="X36" s="879"/>
      <c r="Y36" s="879"/>
      <c r="Z36" s="879"/>
      <c r="AA36" s="879"/>
      <c r="AB36" s="879"/>
      <c r="AC36" s="879"/>
      <c r="AD36" s="881"/>
      <c r="AH36" s="90"/>
      <c r="AI36" s="90"/>
      <c r="AJ36" s="90"/>
      <c r="AK36" s="90"/>
      <c r="AL36" s="90"/>
      <c r="AM36" s="90"/>
      <c r="AN36" s="90"/>
      <c r="AO36" s="90"/>
    </row>
    <row r="37" spans="1:41" ht="25.5" customHeight="1">
      <c r="A37" s="923"/>
      <c r="B37" s="87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82" t="s">
        <v>83</v>
      </c>
      <c r="R37" s="883"/>
      <c r="S37" s="883"/>
      <c r="T37" s="883"/>
      <c r="U37" s="883"/>
      <c r="V37" s="883"/>
      <c r="W37" s="883"/>
      <c r="X37" s="883"/>
      <c r="Y37" s="883"/>
      <c r="Z37" s="883"/>
      <c r="AA37" s="883"/>
      <c r="AB37" s="883"/>
      <c r="AC37" s="883"/>
      <c r="AD37" s="884"/>
      <c r="AG37" s="349"/>
      <c r="AH37" s="98"/>
      <c r="AI37" s="98"/>
      <c r="AJ37" s="98"/>
      <c r="AK37" s="98"/>
      <c r="AL37" s="98"/>
      <c r="AM37" s="98"/>
      <c r="AN37" s="98"/>
      <c r="AO37" s="98"/>
    </row>
    <row r="38" spans="1:41" ht="48" customHeight="1">
      <c r="A38" s="1040" t="s">
        <v>646</v>
      </c>
      <c r="B38" s="1090">
        <f>+$B$34/5</f>
        <v>0.016</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2" ref="P38:P47">SUM(D38:O38)</f>
        <v>0.9999999999999999</v>
      </c>
      <c r="Q38" s="1092" t="s">
        <v>879</v>
      </c>
      <c r="R38" s="1093"/>
      <c r="S38" s="1093"/>
      <c r="T38" s="1093"/>
      <c r="U38" s="1093"/>
      <c r="V38" s="1093"/>
      <c r="W38" s="1093"/>
      <c r="X38" s="1093"/>
      <c r="Y38" s="1093"/>
      <c r="Z38" s="1093"/>
      <c r="AA38" s="1093"/>
      <c r="AB38" s="1093"/>
      <c r="AC38" s="1093"/>
      <c r="AD38" s="1094"/>
      <c r="AE38" s="287"/>
      <c r="AG38" s="349"/>
      <c r="AH38" s="102"/>
      <c r="AI38" s="102"/>
      <c r="AJ38" s="102"/>
      <c r="AK38" s="102"/>
      <c r="AL38" s="102"/>
      <c r="AM38" s="102"/>
      <c r="AN38" s="102"/>
      <c r="AO38" s="102"/>
    </row>
    <row r="39" spans="1:31" ht="48" customHeight="1">
      <c r="A39" s="1067"/>
      <c r="B39" s="1091"/>
      <c r="C39" s="288" t="s">
        <v>10</v>
      </c>
      <c r="D39" s="104">
        <v>0</v>
      </c>
      <c r="E39" s="104">
        <v>0.05</v>
      </c>
      <c r="F39" s="104">
        <v>0.01</v>
      </c>
      <c r="G39" s="104">
        <v>0.1</v>
      </c>
      <c r="H39" s="104">
        <v>0.19</v>
      </c>
      <c r="I39" s="104">
        <v>0.1</v>
      </c>
      <c r="J39" s="104">
        <v>0.1</v>
      </c>
      <c r="K39" s="104">
        <v>0.1</v>
      </c>
      <c r="L39" s="104">
        <v>0.1</v>
      </c>
      <c r="M39" s="104"/>
      <c r="N39" s="104"/>
      <c r="O39" s="104"/>
      <c r="P39" s="289">
        <f t="shared" si="2"/>
        <v>0.7499999999999999</v>
      </c>
      <c r="Q39" s="1105"/>
      <c r="R39" s="1106"/>
      <c r="S39" s="1106"/>
      <c r="T39" s="1106"/>
      <c r="U39" s="1106"/>
      <c r="V39" s="1106"/>
      <c r="W39" s="1106"/>
      <c r="X39" s="1106"/>
      <c r="Y39" s="1106"/>
      <c r="Z39" s="1106"/>
      <c r="AA39" s="1106"/>
      <c r="AB39" s="1106"/>
      <c r="AC39" s="1106"/>
      <c r="AD39" s="1107"/>
      <c r="AE39" s="287"/>
    </row>
    <row r="40" spans="1:31" ht="48" customHeight="1">
      <c r="A40" s="1067" t="s">
        <v>634</v>
      </c>
      <c r="B40" s="1090">
        <f>+$B$34/5</f>
        <v>0.016</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2"/>
        <v>1</v>
      </c>
      <c r="Q40" s="1092" t="s">
        <v>880</v>
      </c>
      <c r="R40" s="1093"/>
      <c r="S40" s="1093"/>
      <c r="T40" s="1093"/>
      <c r="U40" s="1093"/>
      <c r="V40" s="1093"/>
      <c r="W40" s="1093"/>
      <c r="X40" s="1093"/>
      <c r="Y40" s="1093"/>
      <c r="Z40" s="1093"/>
      <c r="AA40" s="1093"/>
      <c r="AB40" s="1093"/>
      <c r="AC40" s="1093"/>
      <c r="AD40" s="1094"/>
      <c r="AE40" s="287"/>
    </row>
    <row r="41" spans="1:31" ht="48" customHeight="1">
      <c r="A41" s="1067"/>
      <c r="B41" s="1091"/>
      <c r="C41" s="288" t="s">
        <v>10</v>
      </c>
      <c r="D41" s="104">
        <v>0</v>
      </c>
      <c r="E41" s="104">
        <v>0.05</v>
      </c>
      <c r="F41" s="104">
        <v>0.1</v>
      </c>
      <c r="G41" s="104">
        <v>0.1</v>
      </c>
      <c r="H41" s="104">
        <v>0.1</v>
      </c>
      <c r="I41" s="104">
        <v>0.1</v>
      </c>
      <c r="J41" s="104">
        <v>0.1</v>
      </c>
      <c r="K41" s="104">
        <v>0.1</v>
      </c>
      <c r="L41" s="104">
        <v>0.15</v>
      </c>
      <c r="M41" s="108"/>
      <c r="N41" s="108"/>
      <c r="O41" s="108"/>
      <c r="P41" s="289">
        <f t="shared" si="2"/>
        <v>0.7999999999999999</v>
      </c>
      <c r="Q41" s="1105"/>
      <c r="R41" s="1106"/>
      <c r="S41" s="1106"/>
      <c r="T41" s="1106"/>
      <c r="U41" s="1106"/>
      <c r="V41" s="1106"/>
      <c r="W41" s="1106"/>
      <c r="X41" s="1106"/>
      <c r="Y41" s="1106"/>
      <c r="Z41" s="1106"/>
      <c r="AA41" s="1106"/>
      <c r="AB41" s="1106"/>
      <c r="AC41" s="1106"/>
      <c r="AD41" s="1107"/>
      <c r="AE41" s="287"/>
    </row>
    <row r="42" spans="1:31" ht="48" customHeight="1">
      <c r="A42" s="1039" t="s">
        <v>635</v>
      </c>
      <c r="B42" s="1090">
        <f>+$B$34/5</f>
        <v>0.016</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092" t="s">
        <v>881</v>
      </c>
      <c r="R42" s="1093"/>
      <c r="S42" s="1093"/>
      <c r="T42" s="1093"/>
      <c r="U42" s="1093"/>
      <c r="V42" s="1093"/>
      <c r="W42" s="1093"/>
      <c r="X42" s="1093"/>
      <c r="Y42" s="1093"/>
      <c r="Z42" s="1093"/>
      <c r="AA42" s="1093"/>
      <c r="AB42" s="1093"/>
      <c r="AC42" s="1093"/>
      <c r="AD42" s="1094"/>
      <c r="AE42" s="287"/>
    </row>
    <row r="43" spans="1:31" ht="48" customHeight="1">
      <c r="A43" s="1040"/>
      <c r="B43" s="1091"/>
      <c r="C43" s="288" t="s">
        <v>10</v>
      </c>
      <c r="D43" s="104">
        <v>0</v>
      </c>
      <c r="E43" s="104">
        <v>0.05</v>
      </c>
      <c r="F43" s="104">
        <v>0.1</v>
      </c>
      <c r="G43" s="104">
        <v>0.1</v>
      </c>
      <c r="H43" s="104">
        <v>0.1</v>
      </c>
      <c r="I43" s="104">
        <v>0.1</v>
      </c>
      <c r="J43" s="104">
        <v>0.1</v>
      </c>
      <c r="K43" s="104">
        <v>0.1</v>
      </c>
      <c r="L43" s="104">
        <v>0.1</v>
      </c>
      <c r="M43" s="108"/>
      <c r="N43" s="108"/>
      <c r="O43" s="108"/>
      <c r="P43" s="289">
        <f>SUM(D43:O43)</f>
        <v>0.7499999999999999</v>
      </c>
      <c r="Q43" s="1105"/>
      <c r="R43" s="1106"/>
      <c r="S43" s="1106"/>
      <c r="T43" s="1106"/>
      <c r="U43" s="1106"/>
      <c r="V43" s="1106"/>
      <c r="W43" s="1106"/>
      <c r="X43" s="1106"/>
      <c r="Y43" s="1106"/>
      <c r="Z43" s="1106"/>
      <c r="AA43" s="1106"/>
      <c r="AB43" s="1106"/>
      <c r="AC43" s="1106"/>
      <c r="AD43" s="1107"/>
      <c r="AE43" s="287"/>
    </row>
    <row r="44" spans="1:31" ht="48" customHeight="1">
      <c r="A44" s="1039" t="s">
        <v>636</v>
      </c>
      <c r="B44" s="1090">
        <f>+$B$34/5</f>
        <v>0.016</v>
      </c>
      <c r="C44" s="290" t="s">
        <v>9</v>
      </c>
      <c r="D44" s="357">
        <v>0</v>
      </c>
      <c r="E44" s="357">
        <v>0.05</v>
      </c>
      <c r="F44" s="357">
        <v>0.1</v>
      </c>
      <c r="G44" s="357">
        <v>0.1</v>
      </c>
      <c r="H44" s="357">
        <v>0.1</v>
      </c>
      <c r="I44" s="357">
        <v>0.1</v>
      </c>
      <c r="J44" s="357">
        <v>0.1</v>
      </c>
      <c r="K44" s="357">
        <v>0.1</v>
      </c>
      <c r="L44" s="357">
        <v>0.1</v>
      </c>
      <c r="M44" s="357">
        <v>0.1</v>
      </c>
      <c r="N44" s="357">
        <v>0.1</v>
      </c>
      <c r="O44" s="357">
        <v>0.05</v>
      </c>
      <c r="P44" s="289">
        <f t="shared" si="2"/>
        <v>0.9999999999999999</v>
      </c>
      <c r="Q44" s="1092" t="s">
        <v>882</v>
      </c>
      <c r="R44" s="1093"/>
      <c r="S44" s="1093"/>
      <c r="T44" s="1093"/>
      <c r="U44" s="1093"/>
      <c r="V44" s="1093"/>
      <c r="W44" s="1093"/>
      <c r="X44" s="1093"/>
      <c r="Y44" s="1093"/>
      <c r="Z44" s="1093"/>
      <c r="AA44" s="1093"/>
      <c r="AB44" s="1093"/>
      <c r="AC44" s="1093"/>
      <c r="AD44" s="1094"/>
      <c r="AE44" s="287"/>
    </row>
    <row r="45" spans="1:31" ht="48" customHeight="1">
      <c r="A45" s="1089"/>
      <c r="B45" s="1091"/>
      <c r="C45" s="288" t="s">
        <v>10</v>
      </c>
      <c r="D45" s="104">
        <v>0</v>
      </c>
      <c r="E45" s="104">
        <v>0.05</v>
      </c>
      <c r="F45" s="104">
        <v>0.1</v>
      </c>
      <c r="G45" s="104">
        <v>0.1</v>
      </c>
      <c r="H45" s="104">
        <v>0.1</v>
      </c>
      <c r="I45" s="104">
        <v>0.1</v>
      </c>
      <c r="J45" s="104">
        <v>0.1</v>
      </c>
      <c r="K45" s="104">
        <v>0.1</v>
      </c>
      <c r="L45" s="104">
        <v>0.1</v>
      </c>
      <c r="M45" s="108"/>
      <c r="N45" s="108"/>
      <c r="O45" s="104"/>
      <c r="P45" s="289">
        <f t="shared" si="2"/>
        <v>0.7499999999999999</v>
      </c>
      <c r="Q45" s="1095"/>
      <c r="R45" s="1096"/>
      <c r="S45" s="1096"/>
      <c r="T45" s="1096"/>
      <c r="U45" s="1096"/>
      <c r="V45" s="1096"/>
      <c r="W45" s="1096"/>
      <c r="X45" s="1096"/>
      <c r="Y45" s="1096"/>
      <c r="Z45" s="1096"/>
      <c r="AA45" s="1096"/>
      <c r="AB45" s="1096"/>
      <c r="AC45" s="1096"/>
      <c r="AD45" s="1097"/>
      <c r="AE45" s="287"/>
    </row>
    <row r="46" spans="1:31" ht="48" customHeight="1">
      <c r="A46" s="1098" t="s">
        <v>637</v>
      </c>
      <c r="B46" s="1100">
        <f>+$B$34/5</f>
        <v>0.016</v>
      </c>
      <c r="C46" s="290" t="s">
        <v>9</v>
      </c>
      <c r="D46" s="357">
        <v>0</v>
      </c>
      <c r="E46" s="357">
        <v>0.05</v>
      </c>
      <c r="F46" s="357">
        <v>0.1</v>
      </c>
      <c r="G46" s="357">
        <v>0.1</v>
      </c>
      <c r="H46" s="357">
        <v>0.1</v>
      </c>
      <c r="I46" s="357">
        <v>0.1</v>
      </c>
      <c r="J46" s="357">
        <v>0.1</v>
      </c>
      <c r="K46" s="357">
        <v>0.1</v>
      </c>
      <c r="L46" s="357">
        <v>0.1</v>
      </c>
      <c r="M46" s="357">
        <v>0.1</v>
      </c>
      <c r="N46" s="357">
        <v>0.1</v>
      </c>
      <c r="O46" s="357">
        <v>0.05</v>
      </c>
      <c r="P46" s="289">
        <f t="shared" si="2"/>
        <v>0.9999999999999999</v>
      </c>
      <c r="Q46" s="1092" t="s">
        <v>883</v>
      </c>
      <c r="R46" s="1093"/>
      <c r="S46" s="1093"/>
      <c r="T46" s="1093"/>
      <c r="U46" s="1093"/>
      <c r="V46" s="1093"/>
      <c r="W46" s="1093"/>
      <c r="X46" s="1093"/>
      <c r="Y46" s="1093"/>
      <c r="Z46" s="1093"/>
      <c r="AA46" s="1093"/>
      <c r="AB46" s="1093"/>
      <c r="AC46" s="1093"/>
      <c r="AD46" s="1094"/>
      <c r="AE46" s="287"/>
    </row>
    <row r="47" spans="1:31" ht="48" customHeight="1" thickBot="1">
      <c r="A47" s="1099"/>
      <c r="B47" s="1101"/>
      <c r="C47" s="285" t="s">
        <v>10</v>
      </c>
      <c r="D47" s="110">
        <v>0</v>
      </c>
      <c r="E47" s="110">
        <v>0.05</v>
      </c>
      <c r="F47" s="110">
        <v>0.1</v>
      </c>
      <c r="G47" s="110">
        <v>0.1</v>
      </c>
      <c r="H47" s="110">
        <v>0.1</v>
      </c>
      <c r="I47" s="110">
        <v>0.1</v>
      </c>
      <c r="J47" s="110">
        <v>0.1</v>
      </c>
      <c r="K47" s="110">
        <v>0.1</v>
      </c>
      <c r="L47" s="110">
        <v>0.1</v>
      </c>
      <c r="M47" s="111"/>
      <c r="N47" s="111"/>
      <c r="O47" s="111"/>
      <c r="P47" s="291">
        <f t="shared" si="2"/>
        <v>0.7499999999999999</v>
      </c>
      <c r="Q47" s="1102"/>
      <c r="R47" s="1103"/>
      <c r="S47" s="1103"/>
      <c r="T47" s="1103"/>
      <c r="U47" s="1103"/>
      <c r="V47" s="1103"/>
      <c r="W47" s="1103"/>
      <c r="X47" s="1103"/>
      <c r="Y47" s="1103"/>
      <c r="Z47" s="1103"/>
      <c r="AA47" s="1103"/>
      <c r="AB47" s="1103"/>
      <c r="AC47" s="1103"/>
      <c r="AD47" s="1104"/>
      <c r="AE47" s="287"/>
    </row>
    <row r="48" spans="1:33" s="355" customFormat="1" ht="45.75" customHeight="1">
      <c r="A48" s="949" t="s">
        <v>64</v>
      </c>
      <c r="B48" s="950"/>
      <c r="C48" s="350" t="s">
        <v>638</v>
      </c>
      <c r="D48" s="351"/>
      <c r="E48" s="351"/>
      <c r="F48" s="351"/>
      <c r="G48" s="351"/>
      <c r="H48" s="352"/>
      <c r="I48" s="353"/>
      <c r="J48" s="1069" t="s">
        <v>639</v>
      </c>
      <c r="K48" s="1070"/>
      <c r="L48" s="1071"/>
      <c r="M48" s="350" t="s">
        <v>640</v>
      </c>
      <c r="N48" s="351"/>
      <c r="O48" s="351"/>
      <c r="P48" s="351"/>
      <c r="Q48" s="351"/>
      <c r="R48" s="352"/>
      <c r="S48" s="353"/>
      <c r="T48" s="1078" t="s">
        <v>641</v>
      </c>
      <c r="U48" s="1078"/>
      <c r="V48" s="1078"/>
      <c r="W48" s="1078"/>
      <c r="X48" s="350" t="s">
        <v>642</v>
      </c>
      <c r="Y48" s="351"/>
      <c r="Z48" s="351"/>
      <c r="AA48" s="351"/>
      <c r="AB48" s="351"/>
      <c r="AC48" s="352"/>
      <c r="AD48" s="354"/>
      <c r="AF48" s="356"/>
      <c r="AG48" s="356"/>
    </row>
    <row r="49" spans="1:33" s="355" customFormat="1" ht="22.5" customHeight="1">
      <c r="A49" s="952"/>
      <c r="B49" s="953"/>
      <c r="C49" s="1081" t="s">
        <v>643</v>
      </c>
      <c r="D49" s="1082"/>
      <c r="E49" s="1082"/>
      <c r="F49" s="1082"/>
      <c r="G49" s="1082"/>
      <c r="H49" s="1082"/>
      <c r="I49" s="1083"/>
      <c r="J49" s="1072"/>
      <c r="K49" s="1073"/>
      <c r="L49" s="1074"/>
      <c r="M49" s="1081" t="s">
        <v>771</v>
      </c>
      <c r="N49" s="1082"/>
      <c r="O49" s="1082"/>
      <c r="P49" s="1082"/>
      <c r="Q49" s="1082"/>
      <c r="R49" s="1082"/>
      <c r="S49" s="1083"/>
      <c r="T49" s="1079"/>
      <c r="U49" s="1079"/>
      <c r="V49" s="1079"/>
      <c r="W49" s="1079"/>
      <c r="X49" s="1081" t="s">
        <v>771</v>
      </c>
      <c r="Y49" s="1082"/>
      <c r="Z49" s="1082"/>
      <c r="AA49" s="1082"/>
      <c r="AB49" s="1082"/>
      <c r="AC49" s="1082"/>
      <c r="AD49" s="1084"/>
      <c r="AF49" s="356"/>
      <c r="AG49" s="356"/>
    </row>
    <row r="50" spans="1:33" s="355" customFormat="1" ht="22.5" customHeight="1" thickBot="1">
      <c r="A50" s="955"/>
      <c r="B50" s="956"/>
      <c r="C50" s="1085" t="s">
        <v>644</v>
      </c>
      <c r="D50" s="1086"/>
      <c r="E50" s="1086"/>
      <c r="F50" s="1086"/>
      <c r="G50" s="1086"/>
      <c r="H50" s="1086"/>
      <c r="I50" s="1087"/>
      <c r="J50" s="1075"/>
      <c r="K50" s="1076"/>
      <c r="L50" s="1077"/>
      <c r="M50" s="1085" t="s">
        <v>645</v>
      </c>
      <c r="N50" s="1086"/>
      <c r="O50" s="1086"/>
      <c r="P50" s="1086"/>
      <c r="Q50" s="1086"/>
      <c r="R50" s="1086"/>
      <c r="S50" s="1087"/>
      <c r="T50" s="1080"/>
      <c r="U50" s="1080"/>
      <c r="V50" s="1080"/>
      <c r="W50" s="1080"/>
      <c r="X50" s="1085" t="s">
        <v>75</v>
      </c>
      <c r="Y50" s="1086"/>
      <c r="Z50" s="1086"/>
      <c r="AA50" s="1086"/>
      <c r="AB50" s="1086"/>
      <c r="AC50" s="1086"/>
      <c r="AD50" s="1088"/>
      <c r="AF50" s="356"/>
      <c r="AG50" s="356"/>
    </row>
  </sheetData>
  <sheetProtection/>
  <mergeCells count="9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4:S35"/>
    <mergeCell ref="Q33:S33"/>
    <mergeCell ref="T33:V33"/>
    <mergeCell ref="T34:V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4:A45"/>
    <mergeCell ref="B44:B45"/>
    <mergeCell ref="Q44:AD45"/>
    <mergeCell ref="A46:A47"/>
    <mergeCell ref="B46:B47"/>
    <mergeCell ref="Q46:AD47"/>
    <mergeCell ref="A48:B50"/>
    <mergeCell ref="J48:L50"/>
    <mergeCell ref="T48:W50"/>
    <mergeCell ref="C49:I49"/>
    <mergeCell ref="M49:S49"/>
    <mergeCell ref="X49:AD49"/>
    <mergeCell ref="C50:I50"/>
    <mergeCell ref="M50:S50"/>
    <mergeCell ref="X50:AD50"/>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7030A0"/>
  </sheetPr>
  <dimension ref="A4:K31"/>
  <sheetViews>
    <sheetView zoomScale="120" zoomScaleNormal="120" zoomScalePageLayoutView="0" workbookViewId="0" topLeftCell="B1">
      <selection activeCell="F12" sqref="F12:H12"/>
    </sheetView>
  </sheetViews>
  <sheetFormatPr defaultColWidth="11.421875" defaultRowHeight="15"/>
  <cols>
    <col min="1" max="4" width="14.8515625" style="0" customWidth="1"/>
    <col min="5" max="5" width="25.28125" style="0" customWidth="1"/>
    <col min="6" max="10" width="15.7109375" style="0" customWidth="1"/>
    <col min="11" max="11" width="11.421875" style="524" customWidth="1"/>
  </cols>
  <sheetData>
    <row r="4" spans="1:4" s="442" customFormat="1" ht="15">
      <c r="A4" s="513"/>
      <c r="B4" s="513"/>
      <c r="C4" s="513"/>
      <c r="D4" s="513"/>
    </row>
    <row r="5" spans="1:10" s="442" customFormat="1" ht="15">
      <c r="A5" s="513"/>
      <c r="B5" s="513"/>
      <c r="C5" s="513"/>
      <c r="D5" s="422" t="s">
        <v>876</v>
      </c>
      <c r="E5" s="422"/>
      <c r="F5" s="422" t="s">
        <v>41</v>
      </c>
      <c r="G5" s="422" t="s">
        <v>44</v>
      </c>
      <c r="H5" s="422" t="s">
        <v>47</v>
      </c>
      <c r="I5" s="422" t="s">
        <v>50</v>
      </c>
      <c r="J5" s="421" t="s">
        <v>8</v>
      </c>
    </row>
    <row r="6" spans="1:10" s="442" customFormat="1" ht="15">
      <c r="A6" s="513"/>
      <c r="B6" s="513"/>
      <c r="C6" s="513"/>
      <c r="D6" s="1136">
        <v>1</v>
      </c>
      <c r="E6" s="514" t="s">
        <v>9</v>
      </c>
      <c r="F6" s="526">
        <v>0.7846666666666667</v>
      </c>
      <c r="G6" s="526">
        <v>0.7361666666666666</v>
      </c>
      <c r="H6" s="526">
        <v>0.7475</v>
      </c>
      <c r="I6" s="526">
        <v>0.7316666666666667</v>
      </c>
      <c r="J6" s="515">
        <f>SUM(F6:I6)</f>
        <v>3</v>
      </c>
    </row>
    <row r="7" spans="1:11" s="442" customFormat="1" ht="15">
      <c r="A7" s="513"/>
      <c r="B7" s="513"/>
      <c r="C7" s="513"/>
      <c r="D7" s="1136"/>
      <c r="E7" s="422" t="s">
        <v>10</v>
      </c>
      <c r="F7" s="527">
        <f>+F6*F19</f>
        <v>0.777663125542093</v>
      </c>
      <c r="G7" s="527">
        <f>+G6*G19</f>
        <v>0.7364424935900101</v>
      </c>
      <c r="H7" s="527">
        <f>+H6*H19</f>
        <v>0.7402463312492626</v>
      </c>
      <c r="I7" s="528"/>
      <c r="J7" s="422"/>
      <c r="K7" s="442">
        <v>2</v>
      </c>
    </row>
    <row r="8" spans="1:11" s="442" customFormat="1" ht="15">
      <c r="A8" s="513"/>
      <c r="B8" s="513"/>
      <c r="C8" s="516"/>
      <c r="D8" s="517"/>
      <c r="E8" s="518"/>
      <c r="F8" s="519"/>
      <c r="G8" s="519"/>
      <c r="H8" s="519"/>
      <c r="I8" s="519"/>
      <c r="J8" s="518"/>
      <c r="K8" s="442">
        <v>24</v>
      </c>
    </row>
    <row r="9" spans="1:11" s="442" customFormat="1" ht="15">
      <c r="A9" s="1137"/>
      <c r="B9" s="520"/>
      <c r="C9" s="1138" t="s">
        <v>24</v>
      </c>
      <c r="D9" s="1139">
        <f>D6/3</f>
        <v>0.3333333333333333</v>
      </c>
      <c r="E9" s="514" t="s">
        <v>9</v>
      </c>
      <c r="F9" s="521">
        <f>SUM('Meta 1'!D34:F34)</f>
        <v>0.0425</v>
      </c>
      <c r="G9" s="521">
        <f>SUM('Meta 1'!G34:I34)</f>
        <v>0.0425</v>
      </c>
      <c r="H9" s="521">
        <f>SUM('Meta 1'!J34:L34)</f>
        <v>0.0425</v>
      </c>
      <c r="I9" s="521">
        <f>SUM('[2]Meta 1'!M34:O34)</f>
        <v>0.04256146207656443</v>
      </c>
      <c r="J9" s="521">
        <f>SUM(F9:I9)</f>
        <v>0.17006146207656442</v>
      </c>
      <c r="K9" s="442">
        <v>16</v>
      </c>
    </row>
    <row r="10" spans="1:11" s="442" customFormat="1" ht="15">
      <c r="A10" s="1137"/>
      <c r="B10" s="520"/>
      <c r="C10" s="1138"/>
      <c r="D10" s="1140"/>
      <c r="E10" s="422" t="s">
        <v>10</v>
      </c>
      <c r="F10" s="522">
        <f>SUM('Meta 1'!D35:F35)</f>
        <v>0.036995238095238095</v>
      </c>
      <c r="G10" s="522">
        <f>SUM('Meta 1'!G35:I35)</f>
        <v>0.03731904761904763</v>
      </c>
      <c r="H10" s="522">
        <f>SUM('Meta 1'!J35:L35)</f>
        <v>0.0425</v>
      </c>
      <c r="I10" s="522"/>
      <c r="J10" s="522"/>
      <c r="K10" s="442">
        <v>17</v>
      </c>
    </row>
    <row r="11" spans="1:11" s="442" customFormat="1" ht="15">
      <c r="A11" s="1137"/>
      <c r="B11" s="520"/>
      <c r="C11" s="1141" t="s">
        <v>25</v>
      </c>
      <c r="D11" s="1139">
        <f>+D6/3</f>
        <v>0.3333333333333333</v>
      </c>
      <c r="E11" s="514" t="s">
        <v>9</v>
      </c>
      <c r="F11" s="521">
        <f>SUM('Metas 2'!D34:F34)</f>
        <v>0.28500000000000003</v>
      </c>
      <c r="G11" s="521">
        <f>SUM('Metas 2'!G34:I34)</f>
        <v>0.23833333333333337</v>
      </c>
      <c r="H11" s="521">
        <f>SUM('Metas 2'!J34:L34)</f>
        <v>0.2416666666666667</v>
      </c>
      <c r="I11" s="521">
        <f>SUM('[2]Metas 2'!M34:O34)</f>
        <v>0.23500000000000001</v>
      </c>
      <c r="J11" s="521">
        <f>SUM(F11:I11)</f>
        <v>1.0000000000000002</v>
      </c>
      <c r="K11" s="442">
        <v>21</v>
      </c>
    </row>
    <row r="12" spans="1:11" s="442" customFormat="1" ht="15">
      <c r="A12" s="1137"/>
      <c r="B12" s="520"/>
      <c r="C12" s="1142"/>
      <c r="D12" s="1140"/>
      <c r="E12" s="422" t="s">
        <v>10</v>
      </c>
      <c r="F12" s="522">
        <v>0.29</v>
      </c>
      <c r="G12" s="522">
        <f>SUM('Metas 2'!G35:I35)</f>
        <v>0.2383222222222222</v>
      </c>
      <c r="H12" s="522">
        <f>SUM('Metas 2'!J35:L35)</f>
        <v>0.24331666666666668</v>
      </c>
      <c r="I12" s="522"/>
      <c r="J12" s="522"/>
      <c r="K12" s="442">
        <f>SUM(K7:K11)</f>
        <v>80</v>
      </c>
    </row>
    <row r="13" spans="1:10" s="442" customFormat="1" ht="15">
      <c r="A13" s="1137"/>
      <c r="B13" s="520"/>
      <c r="C13" s="1141" t="s">
        <v>26</v>
      </c>
      <c r="D13" s="1139">
        <f>+D6/3</f>
        <v>0.3333333333333333</v>
      </c>
      <c r="E13" s="514" t="s">
        <v>9</v>
      </c>
      <c r="F13" s="521">
        <f>SUM('Meta 3'!D34:F34)</f>
        <v>0.24615384615384617</v>
      </c>
      <c r="G13" s="521">
        <f>SUM('Meta 3'!G34:I34)</f>
        <v>0.2330769230769231</v>
      </c>
      <c r="H13" s="521">
        <f>SUM('Meta 3'!J34:L34)</f>
        <v>0.25923076923076926</v>
      </c>
      <c r="I13" s="521">
        <f>SUM('Meta 3'!M34:O34)</f>
        <v>0.26153846153846155</v>
      </c>
      <c r="J13" s="521">
        <f>SUM(F13:I13)</f>
        <v>1</v>
      </c>
    </row>
    <row r="14" spans="1:10" s="442" customFormat="1" ht="15">
      <c r="A14" s="1137"/>
      <c r="B14" s="520"/>
      <c r="C14" s="1142"/>
      <c r="D14" s="1140"/>
      <c r="E14" s="422" t="s">
        <v>10</v>
      </c>
      <c r="F14" s="522">
        <f>SUM('Meta 3'!D35:F35)</f>
        <v>0.24153846153846154</v>
      </c>
      <c r="G14" s="522">
        <f>SUM('Meta 3'!G35:I35)</f>
        <v>0.2384615384615385</v>
      </c>
      <c r="H14" s="522">
        <f>SUM('Meta 3'!J35:L35)</f>
        <v>0.25230769230769234</v>
      </c>
      <c r="I14" s="522"/>
      <c r="J14" s="522"/>
    </row>
    <row r="16" spans="6:11" ht="15">
      <c r="F16" s="523">
        <f aca="true" t="shared" si="0" ref="F16:I17">SUM(F9+F11+F13)</f>
        <v>0.5736538461538462</v>
      </c>
      <c r="G16" s="523">
        <f t="shared" si="0"/>
        <v>0.5139102564102564</v>
      </c>
      <c r="H16" s="523">
        <f t="shared" si="0"/>
        <v>0.5433974358974359</v>
      </c>
      <c r="I16" s="523">
        <f t="shared" si="0"/>
        <v>0.539099923615026</v>
      </c>
      <c r="K16" s="442"/>
    </row>
    <row r="17" spans="6:9" ht="15">
      <c r="F17" s="523">
        <f t="shared" si="0"/>
        <v>0.5685336996336996</v>
      </c>
      <c r="G17" s="523">
        <f t="shared" si="0"/>
        <v>0.5141028083028083</v>
      </c>
      <c r="H17" s="523">
        <f t="shared" si="0"/>
        <v>0.538124358974359</v>
      </c>
      <c r="I17" s="523">
        <f t="shared" si="0"/>
        <v>0</v>
      </c>
    </row>
    <row r="19" spans="6:9" ht="15">
      <c r="F19" s="389">
        <f>+F17/F16</f>
        <v>0.9910745015404753</v>
      </c>
      <c r="G19" s="389">
        <f>+G17/G16</f>
        <v>1.0003746799954858</v>
      </c>
      <c r="H19" s="389">
        <f>+H17/H16</f>
        <v>0.9902960953167392</v>
      </c>
      <c r="I19" s="389">
        <f>+I17/I16</f>
        <v>0</v>
      </c>
    </row>
    <row r="23" ht="15">
      <c r="F23" t="s">
        <v>877</v>
      </c>
    </row>
    <row r="24" ht="15">
      <c r="F24" t="s">
        <v>878</v>
      </c>
    </row>
    <row r="30" spans="6:8" ht="15">
      <c r="F30" s="525">
        <v>0.0788888888888889</v>
      </c>
      <c r="G30" s="525">
        <v>0.11388888888888891</v>
      </c>
      <c r="H30" s="525">
        <v>0.09222222222222223</v>
      </c>
    </row>
    <row r="31" spans="6:8" ht="15">
      <c r="F31" s="525">
        <v>0.07888333333333336</v>
      </c>
      <c r="G31" s="525">
        <v>0.11388333333333335</v>
      </c>
      <c r="H31" s="525">
        <v>0.09221666666666667</v>
      </c>
    </row>
  </sheetData>
  <sheetProtection/>
  <mergeCells count="8">
    <mergeCell ref="D6:D7"/>
    <mergeCell ref="A9:A14"/>
    <mergeCell ref="C9:C10"/>
    <mergeCell ref="D9:D10"/>
    <mergeCell ref="C11:C12"/>
    <mergeCell ref="D11:D12"/>
    <mergeCell ref="C13:C14"/>
    <mergeCell ref="D13:D1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Y20"/>
  <sheetViews>
    <sheetView tabSelected="1" view="pageBreakPreview" zoomScale="61" zoomScaleNormal="61" zoomScaleSheetLayoutView="61" zoomScalePageLayoutView="0" workbookViewId="0" topLeftCell="A16">
      <selection activeCell="O16" sqref="O16"/>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9" width="111.28125" style="113" customWidth="1"/>
    <col min="50" max="50" width="70.421875" style="113" customWidth="1"/>
    <col min="51" max="51" width="38.14062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764" t="s">
        <v>423</v>
      </c>
      <c r="AY1" s="765"/>
    </row>
    <row r="2" spans="1:51" ht="15.75" customHeight="1">
      <c r="A2" s="825" t="s">
        <v>17</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7"/>
      <c r="AX2" s="816" t="s">
        <v>418</v>
      </c>
      <c r="AY2" s="817"/>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816" t="s">
        <v>424</v>
      </c>
      <c r="AY3" s="817"/>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780</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795" t="s">
        <v>70</v>
      </c>
      <c r="I6" s="795"/>
      <c r="J6" s="128"/>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807"/>
      <c r="AJ6" s="807"/>
      <c r="AK6" s="807"/>
      <c r="AL6" s="807"/>
      <c r="AM6" s="807"/>
      <c r="AN6" s="807"/>
      <c r="AO6" s="807"/>
      <c r="AP6" s="807"/>
      <c r="AQ6" s="807"/>
      <c r="AR6" s="807"/>
      <c r="AS6" s="807"/>
      <c r="AT6" s="807"/>
      <c r="AU6" s="792"/>
      <c r="AV6" s="782"/>
      <c r="AW6" s="782"/>
      <c r="AX6" s="782"/>
      <c r="AY6" s="782"/>
    </row>
    <row r="7" spans="1:51" ht="15" customHeight="1">
      <c r="A7" s="787"/>
      <c r="B7" s="787"/>
      <c r="C7" s="787"/>
      <c r="D7" s="788"/>
      <c r="E7" s="788"/>
      <c r="F7" s="791"/>
      <c r="G7" s="792"/>
      <c r="H7" s="795" t="s">
        <v>68</v>
      </c>
      <c r="I7" s="795"/>
      <c r="J7" s="128"/>
      <c r="K7" s="791"/>
      <c r="L7" s="807"/>
      <c r="M7" s="807"/>
      <c r="N7" s="807"/>
      <c r="O7" s="807"/>
      <c r="P7" s="807"/>
      <c r="Q7" s="807"/>
      <c r="R7" s="807"/>
      <c r="S7" s="807"/>
      <c r="T7" s="807"/>
      <c r="U7" s="807"/>
      <c r="V7" s="116"/>
      <c r="W7" s="116"/>
      <c r="X7" s="116"/>
      <c r="Y7" s="116"/>
      <c r="Z7" s="116"/>
      <c r="AA7" s="116"/>
      <c r="AB7" s="116"/>
      <c r="AC7" s="116"/>
      <c r="AD7" s="116"/>
      <c r="AE7" s="116"/>
      <c r="AF7" s="116"/>
      <c r="AG7" s="117"/>
      <c r="AH7" s="791"/>
      <c r="AI7" s="807"/>
      <c r="AJ7" s="807"/>
      <c r="AK7" s="807"/>
      <c r="AL7" s="807"/>
      <c r="AM7" s="807"/>
      <c r="AN7" s="807"/>
      <c r="AO7" s="807"/>
      <c r="AP7" s="807"/>
      <c r="AQ7" s="807"/>
      <c r="AR7" s="807"/>
      <c r="AS7" s="807"/>
      <c r="AT7" s="807"/>
      <c r="AU7" s="792"/>
      <c r="AV7" s="782"/>
      <c r="AW7" s="782"/>
      <c r="AX7" s="782"/>
      <c r="AY7" s="782"/>
    </row>
    <row r="8" spans="1:51" ht="15" customHeight="1">
      <c r="A8" s="787"/>
      <c r="B8" s="787"/>
      <c r="C8" s="787"/>
      <c r="D8" s="788"/>
      <c r="E8" s="788"/>
      <c r="F8" s="793"/>
      <c r="G8" s="794"/>
      <c r="H8" s="795" t="s">
        <v>69</v>
      </c>
      <c r="I8" s="795"/>
      <c r="J8" s="128"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807"/>
      <c r="AJ8" s="807"/>
      <c r="AK8" s="807"/>
      <c r="AL8" s="807"/>
      <c r="AM8" s="807"/>
      <c r="AN8" s="807"/>
      <c r="AO8" s="807"/>
      <c r="AP8" s="807"/>
      <c r="AQ8" s="807"/>
      <c r="AR8" s="807"/>
      <c r="AS8" s="807"/>
      <c r="AT8" s="807"/>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807"/>
      <c r="AJ9" s="807"/>
      <c r="AK9" s="807"/>
      <c r="AL9" s="807"/>
      <c r="AM9" s="807"/>
      <c r="AN9" s="807"/>
      <c r="AO9" s="807"/>
      <c r="AP9" s="807"/>
      <c r="AQ9" s="807"/>
      <c r="AR9" s="807"/>
      <c r="AS9" s="807"/>
      <c r="AT9" s="807"/>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292" t="s">
        <v>169</v>
      </c>
      <c r="B12" s="292" t="s">
        <v>170</v>
      </c>
      <c r="C12" s="292" t="s">
        <v>171</v>
      </c>
      <c r="D12" s="292" t="s">
        <v>178</v>
      </c>
      <c r="E12" s="292" t="s">
        <v>185</v>
      </c>
      <c r="F12" s="292" t="s">
        <v>186</v>
      </c>
      <c r="G12" s="292" t="s">
        <v>277</v>
      </c>
      <c r="H12" s="292" t="s">
        <v>184</v>
      </c>
      <c r="I12" s="783"/>
      <c r="J12" s="783"/>
      <c r="K12" s="783"/>
      <c r="L12" s="783"/>
      <c r="M12" s="783"/>
      <c r="N12" s="783"/>
      <c r="O12" s="292">
        <v>2020</v>
      </c>
      <c r="P12" s="292">
        <v>2021</v>
      </c>
      <c r="Q12" s="292">
        <v>2022</v>
      </c>
      <c r="R12" s="292">
        <v>2023</v>
      </c>
      <c r="S12" s="292">
        <v>2024</v>
      </c>
      <c r="T12" s="783"/>
      <c r="U12" s="78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83"/>
      <c r="AW12" s="783"/>
      <c r="AX12" s="783"/>
      <c r="AY12" s="783"/>
    </row>
    <row r="13" spans="1:51" ht="409.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492"/>
      <c r="AC13" s="492"/>
      <c r="AD13" s="359">
        <f>(('[1]Meta 1'!J34+'[1]Meta 1'!K34+'[1]Meta 1'!L34)/'[1]Meta 1'!P34)+(('[1]Meta 2'!J34+'[1]Meta 2'!K34+'[1]Meta 2'!L34)/'[1]Meta 2'!P34)+(('[1]Meta 3'!J34+'[1]Meta 3'!K34+'[1]Meta 3'!L34)/'[1]Meta 3'!P34)</f>
        <v>0.7475</v>
      </c>
      <c r="AE13" s="492"/>
      <c r="AF13" s="492"/>
      <c r="AG13" s="359">
        <f>(('[1]Meta 1'!M34+'[1]Meta 1'!N34+'[1]Meta 1'!O34)/'[1]Meta 1'!P34)+(('[1]Meta 2'!M34+'[1]Meta 2'!N34+'[1]Meta 2'!O34)/'[1]Meta 2'!P34)+(('[1]Meta 3'!M34+'[1]Meta 3'!N34+'[1]Meta 3'!O34)/'[1]Meta 3'!P34)</f>
        <v>0.7316666666666667</v>
      </c>
      <c r="AH13" s="505"/>
      <c r="AI13" s="505"/>
      <c r="AJ13" s="471">
        <v>0.78</v>
      </c>
      <c r="AK13" s="505"/>
      <c r="AL13" s="505"/>
      <c r="AM13" s="471">
        <v>0.74</v>
      </c>
      <c r="AN13" s="471"/>
      <c r="AO13" s="471"/>
      <c r="AP13" s="471">
        <v>0.75</v>
      </c>
      <c r="AQ13" s="124"/>
      <c r="AR13" s="124"/>
      <c r="AS13" s="124"/>
      <c r="AT13" s="440">
        <f>SUM(AH13:AS13)</f>
        <v>2.27</v>
      </c>
      <c r="AU13" s="127">
        <f>+AT13/R13</f>
        <v>0.7566666666666667</v>
      </c>
      <c r="AV13" s="473" t="s">
        <v>865</v>
      </c>
      <c r="AW13" s="473" t="s">
        <v>864</v>
      </c>
      <c r="AX13" s="467" t="s">
        <v>896</v>
      </c>
      <c r="AY13" s="467" t="s">
        <v>450</v>
      </c>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492"/>
      <c r="AC14" s="492"/>
      <c r="AD14" s="359"/>
      <c r="AE14" s="492"/>
      <c r="AF14" s="492"/>
      <c r="AG14" s="359"/>
      <c r="AH14" s="471">
        <v>11</v>
      </c>
      <c r="AI14" s="471"/>
      <c r="AJ14" s="471"/>
      <c r="AK14" s="471"/>
      <c r="AL14" s="471"/>
      <c r="AM14" s="471"/>
      <c r="AN14" s="471"/>
      <c r="AO14" s="471"/>
      <c r="AP14" s="471"/>
      <c r="AQ14" s="124"/>
      <c r="AR14" s="124"/>
      <c r="AS14" s="124"/>
      <c r="AT14" s="124">
        <f>SUM(AH14:AS14)</f>
        <v>11</v>
      </c>
      <c r="AU14" s="127">
        <f>+AT14/R14</f>
        <v>1</v>
      </c>
      <c r="AV14" s="473" t="s">
        <v>897</v>
      </c>
      <c r="AW14" s="490" t="s">
        <v>898</v>
      </c>
      <c r="AX14" s="412" t="s">
        <v>450</v>
      </c>
      <c r="AY14" s="412" t="s">
        <v>450</v>
      </c>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18">
        <v>11</v>
      </c>
      <c r="W15" s="418">
        <v>11</v>
      </c>
      <c r="X15" s="418">
        <v>11</v>
      </c>
      <c r="Y15" s="418">
        <v>11</v>
      </c>
      <c r="Z15" s="418">
        <v>11</v>
      </c>
      <c r="AA15" s="418">
        <v>11</v>
      </c>
      <c r="AB15" s="418">
        <v>11</v>
      </c>
      <c r="AC15" s="418">
        <v>11</v>
      </c>
      <c r="AD15" s="418">
        <v>11</v>
      </c>
      <c r="AE15" s="418">
        <v>11</v>
      </c>
      <c r="AF15" s="418">
        <v>11</v>
      </c>
      <c r="AG15" s="418">
        <v>11</v>
      </c>
      <c r="AH15" s="465">
        <v>11</v>
      </c>
      <c r="AI15" s="471">
        <v>11</v>
      </c>
      <c r="AJ15" s="471">
        <v>11</v>
      </c>
      <c r="AK15" s="471">
        <v>11</v>
      </c>
      <c r="AL15" s="471">
        <v>11</v>
      </c>
      <c r="AM15" s="471">
        <v>11</v>
      </c>
      <c r="AN15" s="471">
        <v>11</v>
      </c>
      <c r="AO15" s="471">
        <v>11</v>
      </c>
      <c r="AP15" s="471">
        <v>11</v>
      </c>
      <c r="AQ15" s="124"/>
      <c r="AR15" s="124"/>
      <c r="AS15" s="124"/>
      <c r="AT15" s="124">
        <f>SUM(AH15:AS15)</f>
        <v>99</v>
      </c>
      <c r="AU15" s="127">
        <f>+AT15/R15</f>
        <v>0.75</v>
      </c>
      <c r="AV15" s="474" t="s">
        <v>899</v>
      </c>
      <c r="AW15" s="474" t="s">
        <v>900</v>
      </c>
      <c r="AX15" s="467" t="s">
        <v>896</v>
      </c>
      <c r="AY15" s="467" t="s">
        <v>450</v>
      </c>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817</v>
      </c>
      <c r="O16" s="238"/>
      <c r="P16" s="238"/>
      <c r="Q16" s="238"/>
      <c r="R16" s="238">
        <v>2</v>
      </c>
      <c r="S16" s="238"/>
      <c r="T16" s="235" t="s">
        <v>455</v>
      </c>
      <c r="U16" s="235" t="s">
        <v>663</v>
      </c>
      <c r="V16" s="418">
        <v>1</v>
      </c>
      <c r="W16" s="418"/>
      <c r="X16" s="418"/>
      <c r="Y16" s="418"/>
      <c r="Z16" s="418"/>
      <c r="AA16" s="418"/>
      <c r="AB16" s="418">
        <v>1</v>
      </c>
      <c r="AC16" s="506"/>
      <c r="AD16" s="419"/>
      <c r="AE16" s="506"/>
      <c r="AF16" s="506"/>
      <c r="AG16" s="419"/>
      <c r="AH16" s="465">
        <v>1</v>
      </c>
      <c r="AI16" s="471"/>
      <c r="AJ16" s="471"/>
      <c r="AK16" s="471"/>
      <c r="AL16" s="471"/>
      <c r="AM16" s="471"/>
      <c r="AN16" s="471">
        <v>1</v>
      </c>
      <c r="AO16" s="471"/>
      <c r="AP16" s="471"/>
      <c r="AQ16" s="124"/>
      <c r="AR16" s="124"/>
      <c r="AS16" s="124"/>
      <c r="AT16" s="124">
        <f>SUM(AH16:AS16)</f>
        <v>2</v>
      </c>
      <c r="AU16" s="127">
        <f>+AT16/R16</f>
        <v>1</v>
      </c>
      <c r="AV16" s="473" t="s">
        <v>897</v>
      </c>
      <c r="AW16" s="474" t="s">
        <v>901</v>
      </c>
      <c r="AX16" s="412" t="s">
        <v>450</v>
      </c>
      <c r="AY16" s="467" t="s">
        <v>450</v>
      </c>
    </row>
    <row r="17" spans="1:51" ht="210">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492"/>
      <c r="AC17" s="492"/>
      <c r="AD17" s="361">
        <v>1</v>
      </c>
      <c r="AE17" s="492"/>
      <c r="AF17" s="492"/>
      <c r="AG17" s="359"/>
      <c r="AH17" s="471"/>
      <c r="AI17" s="471"/>
      <c r="AJ17" s="471"/>
      <c r="AK17" s="471"/>
      <c r="AL17" s="471"/>
      <c r="AM17" s="471"/>
      <c r="AN17" s="471"/>
      <c r="AO17" s="471"/>
      <c r="AP17" s="471">
        <v>1</v>
      </c>
      <c r="AQ17" s="124"/>
      <c r="AR17" s="124"/>
      <c r="AS17" s="124"/>
      <c r="AT17" s="124">
        <f>SUM(AH17:AS17)</f>
        <v>1</v>
      </c>
      <c r="AU17" s="127">
        <f>+AT17/R17</f>
        <v>1</v>
      </c>
      <c r="AV17" s="473" t="s">
        <v>1031</v>
      </c>
      <c r="AW17" s="473" t="s">
        <v>1031</v>
      </c>
      <c r="AX17" s="467" t="s">
        <v>896</v>
      </c>
      <c r="AY17" s="467" t="s">
        <v>450</v>
      </c>
    </row>
    <row r="18" spans="1:51" ht="54" customHeight="1">
      <c r="A18" s="809" t="s">
        <v>64</v>
      </c>
      <c r="B18" s="809"/>
      <c r="C18" s="809"/>
      <c r="D18" s="805" t="s">
        <v>640</v>
      </c>
      <c r="E18" s="805"/>
      <c r="F18" s="805"/>
      <c r="G18" s="805"/>
      <c r="H18" s="805"/>
      <c r="I18" s="805"/>
      <c r="J18" s="804" t="s">
        <v>300</v>
      </c>
      <c r="K18" s="804"/>
      <c r="L18" s="804"/>
      <c r="M18" s="804"/>
      <c r="N18" s="804"/>
      <c r="O18" s="804"/>
      <c r="P18" s="805" t="s">
        <v>66</v>
      </c>
      <c r="Q18" s="805"/>
      <c r="R18" s="805"/>
      <c r="S18" s="805"/>
      <c r="T18" s="805"/>
      <c r="U18" s="805"/>
      <c r="V18" s="805" t="s">
        <v>66</v>
      </c>
      <c r="W18" s="805"/>
      <c r="X18" s="805"/>
      <c r="Y18" s="805"/>
      <c r="Z18" s="805"/>
      <c r="AA18" s="805"/>
      <c r="AB18" s="805"/>
      <c r="AC18" s="805"/>
      <c r="AD18" s="805" t="s">
        <v>66</v>
      </c>
      <c r="AE18" s="805"/>
      <c r="AF18" s="805"/>
      <c r="AG18" s="805"/>
      <c r="AH18" s="805"/>
      <c r="AI18" s="805"/>
      <c r="AJ18" s="805"/>
      <c r="AK18" s="805"/>
      <c r="AL18" s="805"/>
      <c r="AM18" s="805"/>
      <c r="AN18" s="805"/>
      <c r="AO18" s="805"/>
      <c r="AP18" s="804" t="s">
        <v>318</v>
      </c>
      <c r="AQ18" s="804"/>
      <c r="AR18" s="804"/>
      <c r="AS18" s="804"/>
      <c r="AT18" s="805" t="s">
        <v>13</v>
      </c>
      <c r="AU18" s="805"/>
      <c r="AV18" s="805"/>
      <c r="AW18" s="805"/>
      <c r="AX18" s="805"/>
      <c r="AY18" s="805"/>
    </row>
    <row r="19" spans="1:51" ht="30" customHeight="1">
      <c r="A19" s="809"/>
      <c r="B19" s="809"/>
      <c r="C19" s="809"/>
      <c r="D19" s="805" t="s">
        <v>848</v>
      </c>
      <c r="E19" s="805"/>
      <c r="F19" s="805"/>
      <c r="G19" s="805"/>
      <c r="H19" s="805"/>
      <c r="I19" s="805"/>
      <c r="J19" s="804"/>
      <c r="K19" s="804"/>
      <c r="L19" s="804"/>
      <c r="M19" s="804"/>
      <c r="N19" s="804"/>
      <c r="O19" s="804"/>
      <c r="P19" s="805" t="s">
        <v>643</v>
      </c>
      <c r="Q19" s="805"/>
      <c r="R19" s="805"/>
      <c r="S19" s="805"/>
      <c r="T19" s="805"/>
      <c r="U19" s="805"/>
      <c r="V19" s="805" t="s">
        <v>771</v>
      </c>
      <c r="W19" s="805"/>
      <c r="X19" s="805"/>
      <c r="Y19" s="805"/>
      <c r="Z19" s="805"/>
      <c r="AA19" s="805"/>
      <c r="AB19" s="805"/>
      <c r="AC19" s="805"/>
      <c r="AD19" s="805" t="s">
        <v>65</v>
      </c>
      <c r="AE19" s="805"/>
      <c r="AF19" s="805"/>
      <c r="AG19" s="805"/>
      <c r="AH19" s="805"/>
      <c r="AI19" s="805"/>
      <c r="AJ19" s="805"/>
      <c r="AK19" s="805"/>
      <c r="AL19" s="805"/>
      <c r="AM19" s="805"/>
      <c r="AN19" s="805"/>
      <c r="AO19" s="805"/>
      <c r="AP19" s="804"/>
      <c r="AQ19" s="804"/>
      <c r="AR19" s="804"/>
      <c r="AS19" s="804"/>
      <c r="AT19" s="805" t="s">
        <v>771</v>
      </c>
      <c r="AU19" s="805"/>
      <c r="AV19" s="805"/>
      <c r="AW19" s="805"/>
      <c r="AX19" s="805"/>
      <c r="AY19" s="805"/>
    </row>
    <row r="20" spans="1:51" ht="30" customHeight="1">
      <c r="A20" s="809"/>
      <c r="B20" s="809"/>
      <c r="C20" s="809"/>
      <c r="D20" s="805" t="s">
        <v>849</v>
      </c>
      <c r="E20" s="805"/>
      <c r="F20" s="805"/>
      <c r="G20" s="805"/>
      <c r="H20" s="805"/>
      <c r="I20" s="805"/>
      <c r="J20" s="804"/>
      <c r="K20" s="804"/>
      <c r="L20" s="804"/>
      <c r="M20" s="804"/>
      <c r="N20" s="804"/>
      <c r="O20" s="804"/>
      <c r="P20" s="805" t="s">
        <v>774</v>
      </c>
      <c r="Q20" s="805"/>
      <c r="R20" s="805"/>
      <c r="S20" s="805"/>
      <c r="T20" s="805"/>
      <c r="U20" s="805"/>
      <c r="V20" s="805" t="s">
        <v>645</v>
      </c>
      <c r="W20" s="805"/>
      <c r="X20" s="805"/>
      <c r="Y20" s="805"/>
      <c r="Z20" s="805"/>
      <c r="AA20" s="805"/>
      <c r="AB20" s="805"/>
      <c r="AC20" s="805"/>
      <c r="AD20" s="805" t="s">
        <v>297</v>
      </c>
      <c r="AE20" s="805"/>
      <c r="AF20" s="805"/>
      <c r="AG20" s="805"/>
      <c r="AH20" s="805"/>
      <c r="AI20" s="805"/>
      <c r="AJ20" s="805"/>
      <c r="AK20" s="805"/>
      <c r="AL20" s="805"/>
      <c r="AM20" s="805"/>
      <c r="AN20" s="805"/>
      <c r="AO20" s="805"/>
      <c r="AP20" s="804"/>
      <c r="AQ20" s="804"/>
      <c r="AR20" s="804"/>
      <c r="AS20" s="804"/>
      <c r="AT20" s="805" t="s">
        <v>75</v>
      </c>
      <c r="AU20" s="805"/>
      <c r="AV20" s="805"/>
      <c r="AW20" s="805"/>
      <c r="AX20" s="805"/>
      <c r="AY20" s="805"/>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4" r:id="rId4"/>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Y23"/>
  <sheetViews>
    <sheetView view="pageBreakPreview" zoomScale="60" zoomScaleNormal="80" zoomScalePageLayoutView="0" workbookViewId="0" topLeftCell="AS19">
      <selection activeCell="AY14" sqref="AY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23" width="7.421875" style="113" customWidth="1"/>
    <col min="24" max="24" width="8.57421875" style="113" customWidth="1"/>
    <col min="25" max="35" width="7.421875" style="113" customWidth="1"/>
    <col min="36" max="36" width="8.57421875" style="113" customWidth="1"/>
    <col min="37" max="45" width="7.421875" style="113" customWidth="1"/>
    <col min="46" max="46" width="17.140625" style="113" customWidth="1"/>
    <col min="47" max="47" width="15.8515625" style="217" customWidth="1"/>
    <col min="48" max="48" width="63.57421875" style="113" customWidth="1"/>
    <col min="49" max="49" width="73.00390625" style="113" customWidth="1"/>
    <col min="50" max="50" width="57.57421875" style="113" customWidth="1"/>
    <col min="51" max="51" width="42.5742187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46" t="s">
        <v>418</v>
      </c>
      <c r="AY2" s="1133"/>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46" t="s">
        <v>424</v>
      </c>
      <c r="AY3" s="1133"/>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1144" t="s">
        <v>781</v>
      </c>
      <c r="AY4" s="1145"/>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9" t="s">
        <v>71</v>
      </c>
      <c r="B6" s="806"/>
      <c r="C6" s="790"/>
      <c r="D6" s="1143">
        <v>45205</v>
      </c>
      <c r="E6" s="788"/>
      <c r="F6" s="789" t="s">
        <v>67</v>
      </c>
      <c r="G6" s="790"/>
      <c r="H6" s="1168" t="s">
        <v>70</v>
      </c>
      <c r="I6" s="1169"/>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807"/>
      <c r="AJ6" s="807"/>
      <c r="AK6" s="807"/>
      <c r="AL6" s="807"/>
      <c r="AM6" s="807"/>
      <c r="AN6" s="807"/>
      <c r="AO6" s="807"/>
      <c r="AP6" s="807"/>
      <c r="AQ6" s="807"/>
      <c r="AR6" s="807"/>
      <c r="AS6" s="807"/>
      <c r="AT6" s="807"/>
      <c r="AU6" s="792"/>
      <c r="AV6" s="782"/>
      <c r="AW6" s="782"/>
      <c r="AX6" s="782"/>
      <c r="AY6" s="782"/>
    </row>
    <row r="7" spans="1:51" ht="15" customHeight="1">
      <c r="A7" s="791"/>
      <c r="B7" s="807"/>
      <c r="C7" s="792"/>
      <c r="D7" s="788"/>
      <c r="E7" s="788"/>
      <c r="F7" s="791"/>
      <c r="G7" s="792"/>
      <c r="H7" s="1168" t="s">
        <v>68</v>
      </c>
      <c r="I7" s="1169"/>
      <c r="J7" s="121"/>
      <c r="K7" s="791"/>
      <c r="L7" s="807"/>
      <c r="M7" s="807"/>
      <c r="N7" s="807"/>
      <c r="O7" s="807"/>
      <c r="P7" s="807"/>
      <c r="Q7" s="807"/>
      <c r="R7" s="807"/>
      <c r="S7" s="807"/>
      <c r="T7" s="807"/>
      <c r="U7" s="807"/>
      <c r="V7" s="231"/>
      <c r="W7" s="231"/>
      <c r="X7" s="231"/>
      <c r="Y7" s="231"/>
      <c r="Z7" s="231"/>
      <c r="AA7" s="231"/>
      <c r="AB7" s="231"/>
      <c r="AC7" s="231"/>
      <c r="AD7" s="231"/>
      <c r="AE7" s="231"/>
      <c r="AF7" s="231"/>
      <c r="AG7" s="117"/>
      <c r="AH7" s="791"/>
      <c r="AI7" s="807"/>
      <c r="AJ7" s="807"/>
      <c r="AK7" s="807"/>
      <c r="AL7" s="807"/>
      <c r="AM7" s="807"/>
      <c r="AN7" s="807"/>
      <c r="AO7" s="807"/>
      <c r="AP7" s="807"/>
      <c r="AQ7" s="807"/>
      <c r="AR7" s="807"/>
      <c r="AS7" s="807"/>
      <c r="AT7" s="807"/>
      <c r="AU7" s="792"/>
      <c r="AV7" s="782"/>
      <c r="AW7" s="782"/>
      <c r="AX7" s="782"/>
      <c r="AY7" s="782"/>
    </row>
    <row r="8" spans="1:51" ht="15" customHeight="1">
      <c r="A8" s="793"/>
      <c r="B8" s="808"/>
      <c r="C8" s="794"/>
      <c r="D8" s="788"/>
      <c r="E8" s="788"/>
      <c r="F8" s="793"/>
      <c r="G8" s="794"/>
      <c r="H8" s="1168" t="s">
        <v>69</v>
      </c>
      <c r="I8" s="1169"/>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807"/>
      <c r="AJ8" s="807"/>
      <c r="AK8" s="807"/>
      <c r="AL8" s="807"/>
      <c r="AM8" s="807"/>
      <c r="AN8" s="807"/>
      <c r="AO8" s="807"/>
      <c r="AP8" s="807"/>
      <c r="AQ8" s="807"/>
      <c r="AR8" s="807"/>
      <c r="AS8" s="807"/>
      <c r="AT8" s="807"/>
      <c r="AU8" s="792"/>
      <c r="AV8" s="782"/>
      <c r="AW8" s="782"/>
      <c r="AX8" s="782"/>
      <c r="AY8" s="782"/>
    </row>
    <row r="9" spans="1:51" ht="15" customHeight="1">
      <c r="A9" s="796" t="s">
        <v>399</v>
      </c>
      <c r="B9" s="797"/>
      <c r="C9" s="798"/>
      <c r="D9" s="803"/>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807"/>
      <c r="AJ9" s="807"/>
      <c r="AK9" s="807"/>
      <c r="AL9" s="807"/>
      <c r="AM9" s="807"/>
      <c r="AN9" s="807"/>
      <c r="AO9" s="807"/>
      <c r="AP9" s="807"/>
      <c r="AQ9" s="807"/>
      <c r="AR9" s="807"/>
      <c r="AS9" s="807"/>
      <c r="AT9" s="807"/>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70.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409" t="s">
        <v>169</v>
      </c>
      <c r="B12" s="409" t="s">
        <v>170</v>
      </c>
      <c r="C12" s="409" t="s">
        <v>171</v>
      </c>
      <c r="D12" s="409" t="s">
        <v>178</v>
      </c>
      <c r="E12" s="409" t="s">
        <v>185</v>
      </c>
      <c r="F12" s="409" t="s">
        <v>186</v>
      </c>
      <c r="G12" s="409" t="s">
        <v>277</v>
      </c>
      <c r="H12" s="409" t="s">
        <v>184</v>
      </c>
      <c r="I12" s="783"/>
      <c r="J12" s="783"/>
      <c r="K12" s="783"/>
      <c r="L12" s="783"/>
      <c r="M12" s="783"/>
      <c r="N12" s="783"/>
      <c r="O12" s="409">
        <v>2020</v>
      </c>
      <c r="P12" s="409">
        <v>2021</v>
      </c>
      <c r="Q12" s="409">
        <v>2022</v>
      </c>
      <c r="R12" s="409">
        <v>2023</v>
      </c>
      <c r="S12" s="409">
        <v>2024</v>
      </c>
      <c r="T12" s="783"/>
      <c r="U12" s="783"/>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83"/>
      <c r="AW12" s="783"/>
      <c r="AX12" s="783"/>
      <c r="AY12" s="783"/>
    </row>
    <row r="13" spans="1:51" ht="409.5">
      <c r="A13" s="121"/>
      <c r="B13" s="121"/>
      <c r="C13" s="121"/>
      <c r="D13" s="121"/>
      <c r="E13" s="121" t="s">
        <v>425</v>
      </c>
      <c r="F13" s="121"/>
      <c r="G13" s="122" t="s">
        <v>668</v>
      </c>
      <c r="H13" s="122" t="s">
        <v>839</v>
      </c>
      <c r="I13" s="364" t="s">
        <v>902</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492"/>
      <c r="AC13" s="492"/>
      <c r="AD13" s="492">
        <v>0.2</v>
      </c>
      <c r="AE13" s="492"/>
      <c r="AF13" s="492"/>
      <c r="AG13" s="492">
        <v>0.25</v>
      </c>
      <c r="AH13" s="471"/>
      <c r="AI13" s="471"/>
      <c r="AJ13" s="469">
        <v>0</v>
      </c>
      <c r="AK13" s="471"/>
      <c r="AL13" s="471"/>
      <c r="AM13" s="469">
        <v>0</v>
      </c>
      <c r="AN13" s="471"/>
      <c r="AO13" s="471"/>
      <c r="AP13" s="470">
        <v>0.4</v>
      </c>
      <c r="AQ13" s="124"/>
      <c r="AR13" s="124"/>
      <c r="AS13" s="124"/>
      <c r="AT13" s="464">
        <f>SUM(AH13:AS13)</f>
        <v>0.4</v>
      </c>
      <c r="AU13" s="127">
        <f>+AT13/R13</f>
        <v>0.4705882352941177</v>
      </c>
      <c r="AV13" s="491" t="s">
        <v>903</v>
      </c>
      <c r="AW13" s="529" t="s">
        <v>904</v>
      </c>
      <c r="AX13" s="412" t="s">
        <v>450</v>
      </c>
      <c r="AY13" s="412" t="s">
        <v>450</v>
      </c>
    </row>
    <row r="14" spans="1:51" ht="250.5" customHeight="1">
      <c r="A14" s="121"/>
      <c r="B14" s="121"/>
      <c r="C14" s="121"/>
      <c r="D14" s="121"/>
      <c r="E14" s="451" t="s">
        <v>425</v>
      </c>
      <c r="F14" s="121"/>
      <c r="G14" s="122" t="s">
        <v>668</v>
      </c>
      <c r="H14" s="122" t="s">
        <v>840</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492"/>
      <c r="AC14" s="492"/>
      <c r="AD14" s="492"/>
      <c r="AE14" s="492"/>
      <c r="AF14" s="492"/>
      <c r="AG14" s="492">
        <v>0.45</v>
      </c>
      <c r="AH14" s="471"/>
      <c r="AI14" s="471"/>
      <c r="AJ14" s="471"/>
      <c r="AK14" s="471"/>
      <c r="AL14" s="471"/>
      <c r="AM14" s="492">
        <v>0</v>
      </c>
      <c r="AN14" s="471"/>
      <c r="AO14" s="471"/>
      <c r="AP14" s="470"/>
      <c r="AQ14" s="124"/>
      <c r="AR14" s="124"/>
      <c r="AS14" s="124"/>
      <c r="AT14" s="464">
        <f aca="true" t="shared" si="0" ref="AT14:AT20">SUM(AH14:AS14)</f>
        <v>0</v>
      </c>
      <c r="AU14" s="127">
        <f aca="true" t="shared" si="1" ref="AU14:AU20">+AT14/R14</f>
        <v>0</v>
      </c>
      <c r="AV14" s="491" t="s">
        <v>931</v>
      </c>
      <c r="AW14" s="491" t="s">
        <v>916</v>
      </c>
      <c r="AX14" s="493" t="s">
        <v>918</v>
      </c>
      <c r="AY14" s="493" t="s">
        <v>917</v>
      </c>
    </row>
    <row r="15" spans="1:51" ht="168.75" customHeight="1">
      <c r="A15" s="121"/>
      <c r="B15" s="121"/>
      <c r="C15" s="121"/>
      <c r="D15" s="121"/>
      <c r="E15" s="451" t="s">
        <v>425</v>
      </c>
      <c r="F15" s="121"/>
      <c r="G15" s="122" t="s">
        <v>668</v>
      </c>
      <c r="H15" s="122" t="s">
        <v>839</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492"/>
      <c r="AC15" s="492"/>
      <c r="AD15" s="492">
        <v>1</v>
      </c>
      <c r="AE15" s="492"/>
      <c r="AF15" s="492"/>
      <c r="AG15" s="492">
        <v>1</v>
      </c>
      <c r="AH15" s="471"/>
      <c r="AI15" s="471"/>
      <c r="AJ15" s="469">
        <v>1</v>
      </c>
      <c r="AK15" s="471"/>
      <c r="AL15" s="471"/>
      <c r="AM15" s="469">
        <v>1</v>
      </c>
      <c r="AN15" s="471"/>
      <c r="AO15" s="471"/>
      <c r="AP15" s="470">
        <v>1</v>
      </c>
      <c r="AQ15" s="124"/>
      <c r="AR15" s="124"/>
      <c r="AS15" s="124"/>
      <c r="AT15" s="127">
        <f>+AM15</f>
        <v>1</v>
      </c>
      <c r="AU15" s="127">
        <f>+(SUM(AH15:AS15)/+SUM(V15:AG15))</f>
        <v>0.75</v>
      </c>
      <c r="AV15" s="491" t="s">
        <v>905</v>
      </c>
      <c r="AW15" s="507" t="s">
        <v>906</v>
      </c>
      <c r="AX15" s="412" t="s">
        <v>450</v>
      </c>
      <c r="AY15" s="412" t="s">
        <v>450</v>
      </c>
    </row>
    <row r="16" spans="1:51" ht="255" customHeight="1">
      <c r="A16" s="121"/>
      <c r="B16" s="121"/>
      <c r="C16" s="121"/>
      <c r="D16" s="121"/>
      <c r="E16" s="451" t="s">
        <v>425</v>
      </c>
      <c r="F16" s="121"/>
      <c r="G16" s="122" t="s">
        <v>668</v>
      </c>
      <c r="H16" s="122" t="s">
        <v>839</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492"/>
      <c r="AC16" s="492"/>
      <c r="AD16" s="492">
        <v>0.25</v>
      </c>
      <c r="AE16" s="492"/>
      <c r="AF16" s="492"/>
      <c r="AG16" s="492">
        <v>0.25</v>
      </c>
      <c r="AH16" s="471"/>
      <c r="AI16" s="471"/>
      <c r="AJ16" s="469">
        <v>0.25</v>
      </c>
      <c r="AK16" s="471"/>
      <c r="AL16" s="471"/>
      <c r="AM16" s="469">
        <v>0.25</v>
      </c>
      <c r="AN16" s="471"/>
      <c r="AO16" s="471"/>
      <c r="AP16" s="470">
        <v>0.25</v>
      </c>
      <c r="AQ16" s="124"/>
      <c r="AR16" s="124"/>
      <c r="AS16" s="124"/>
      <c r="AT16" s="127">
        <f t="shared" si="0"/>
        <v>0.75</v>
      </c>
      <c r="AU16" s="127">
        <f>+AT16/R16</f>
        <v>0.75</v>
      </c>
      <c r="AV16" s="491" t="s">
        <v>907</v>
      </c>
      <c r="AW16" s="530" t="s">
        <v>908</v>
      </c>
      <c r="AX16" s="412" t="s">
        <v>450</v>
      </c>
      <c r="AY16" s="412" t="s">
        <v>450</v>
      </c>
    </row>
    <row r="17" spans="1:51" ht="168.75" customHeight="1">
      <c r="A17" s="121"/>
      <c r="B17" s="121"/>
      <c r="C17" s="121"/>
      <c r="D17" s="121"/>
      <c r="E17" s="451" t="s">
        <v>425</v>
      </c>
      <c r="F17" s="121"/>
      <c r="G17" s="122" t="s">
        <v>668</v>
      </c>
      <c r="H17" s="122" t="s">
        <v>839</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492">
        <f t="shared" si="2"/>
        <v>1</v>
      </c>
      <c r="AC17" s="492">
        <f t="shared" si="2"/>
        <v>1</v>
      </c>
      <c r="AD17" s="492">
        <f t="shared" si="2"/>
        <v>1</v>
      </c>
      <c r="AE17" s="492">
        <f t="shared" si="2"/>
        <v>1</v>
      </c>
      <c r="AF17" s="492">
        <f t="shared" si="2"/>
        <v>1</v>
      </c>
      <c r="AG17" s="492">
        <f t="shared" si="2"/>
        <v>1</v>
      </c>
      <c r="AH17" s="469">
        <v>0.71</v>
      </c>
      <c r="AI17" s="469">
        <v>0.8212634822804314</v>
      </c>
      <c r="AJ17" s="469">
        <v>0.823394495412844</v>
      </c>
      <c r="AK17" s="469">
        <v>0.84</v>
      </c>
      <c r="AL17" s="469">
        <v>0.7701149425287356</v>
      </c>
      <c r="AM17" s="469">
        <v>0.8154859967051071</v>
      </c>
      <c r="AN17" s="469">
        <v>0.7202680067001676</v>
      </c>
      <c r="AO17" s="469">
        <v>0.87</v>
      </c>
      <c r="AP17" s="469">
        <f>570/692</f>
        <v>0.8236994219653179</v>
      </c>
      <c r="AQ17" s="124"/>
      <c r="AR17" s="124"/>
      <c r="AS17" s="124"/>
      <c r="AT17" s="127">
        <f>AVERAGE(AH17:AS17)</f>
        <v>0.7993584828436225</v>
      </c>
      <c r="AU17" s="127">
        <f>+(SUM(AH17:AS17)/+SUM(V17:AG17))</f>
        <v>0.5995188621327169</v>
      </c>
      <c r="AV17" s="474" t="s">
        <v>909</v>
      </c>
      <c r="AW17" s="507" t="s">
        <v>910</v>
      </c>
      <c r="AX17" s="508" t="s">
        <v>911</v>
      </c>
      <c r="AY17" s="509" t="s">
        <v>912</v>
      </c>
    </row>
    <row r="18" spans="1:51" ht="168.75" customHeight="1">
      <c r="A18" s="121"/>
      <c r="B18" s="121"/>
      <c r="C18" s="121"/>
      <c r="D18" s="121"/>
      <c r="E18" s="451" t="s">
        <v>425</v>
      </c>
      <c r="F18" s="121"/>
      <c r="G18" s="122" t="s">
        <v>668</v>
      </c>
      <c r="H18" s="122" t="s">
        <v>839</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492"/>
      <c r="AC18" s="492"/>
      <c r="AD18" s="492"/>
      <c r="AE18" s="492"/>
      <c r="AF18" s="492"/>
      <c r="AG18" s="492">
        <v>0.5</v>
      </c>
      <c r="AH18" s="471"/>
      <c r="AI18" s="471"/>
      <c r="AJ18" s="471"/>
      <c r="AK18" s="471"/>
      <c r="AL18" s="471"/>
      <c r="AM18" s="492">
        <v>0.5</v>
      </c>
      <c r="AN18" s="471"/>
      <c r="AO18" s="471"/>
      <c r="AP18" s="471"/>
      <c r="AQ18" s="124"/>
      <c r="AR18" s="124"/>
      <c r="AS18" s="124"/>
      <c r="AT18" s="464">
        <f t="shared" si="0"/>
        <v>0.5</v>
      </c>
      <c r="AU18" s="127">
        <f t="shared" si="1"/>
        <v>0.5</v>
      </c>
      <c r="AV18" s="473" t="s">
        <v>897</v>
      </c>
      <c r="AW18" s="491" t="s">
        <v>913</v>
      </c>
      <c r="AX18" s="412" t="s">
        <v>450</v>
      </c>
      <c r="AY18" s="412" t="s">
        <v>450</v>
      </c>
    </row>
    <row r="19" spans="1:51" ht="168.75" customHeight="1">
      <c r="A19" s="121"/>
      <c r="B19" s="121"/>
      <c r="C19" s="121"/>
      <c r="D19" s="121"/>
      <c r="E19" s="451" t="s">
        <v>425</v>
      </c>
      <c r="F19" s="121"/>
      <c r="G19" s="122" t="s">
        <v>668</v>
      </c>
      <c r="H19" s="122" t="s">
        <v>839</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492"/>
      <c r="AC19" s="492"/>
      <c r="AD19" s="492"/>
      <c r="AE19" s="492"/>
      <c r="AF19" s="492"/>
      <c r="AG19" s="492">
        <v>0.5</v>
      </c>
      <c r="AH19" s="471"/>
      <c r="AI19" s="471"/>
      <c r="AJ19" s="471"/>
      <c r="AK19" s="471"/>
      <c r="AL19" s="471"/>
      <c r="AM19" s="492">
        <v>0.5</v>
      </c>
      <c r="AN19" s="471"/>
      <c r="AO19" s="471"/>
      <c r="AP19" s="471"/>
      <c r="AQ19" s="124"/>
      <c r="AR19" s="124"/>
      <c r="AS19" s="124"/>
      <c r="AT19" s="464">
        <f t="shared" si="0"/>
        <v>0.5</v>
      </c>
      <c r="AU19" s="127">
        <f t="shared" si="1"/>
        <v>0.5</v>
      </c>
      <c r="AV19" s="473" t="s">
        <v>897</v>
      </c>
      <c r="AW19" s="473" t="s">
        <v>914</v>
      </c>
      <c r="AX19" s="412" t="s">
        <v>450</v>
      </c>
      <c r="AY19" s="412" t="s">
        <v>450</v>
      </c>
    </row>
    <row r="20" spans="1:51" ht="168.75" customHeight="1">
      <c r="A20" s="121"/>
      <c r="B20" s="121"/>
      <c r="C20" s="121"/>
      <c r="D20" s="121"/>
      <c r="E20" s="451" t="s">
        <v>425</v>
      </c>
      <c r="F20" s="121"/>
      <c r="G20" s="122" t="s">
        <v>668</v>
      </c>
      <c r="H20" s="122" t="s">
        <v>839</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492"/>
      <c r="AC20" s="492"/>
      <c r="AD20" s="492"/>
      <c r="AE20" s="492"/>
      <c r="AF20" s="492"/>
      <c r="AG20" s="492">
        <v>1</v>
      </c>
      <c r="AH20" s="471"/>
      <c r="AI20" s="471"/>
      <c r="AJ20" s="471"/>
      <c r="AK20" s="471"/>
      <c r="AL20" s="471"/>
      <c r="AM20" s="492">
        <v>1</v>
      </c>
      <c r="AN20" s="471"/>
      <c r="AO20" s="471"/>
      <c r="AP20" s="471"/>
      <c r="AQ20" s="124"/>
      <c r="AR20" s="124"/>
      <c r="AS20" s="124"/>
      <c r="AT20" s="464">
        <f t="shared" si="0"/>
        <v>1</v>
      </c>
      <c r="AU20" s="127">
        <f t="shared" si="1"/>
        <v>1</v>
      </c>
      <c r="AV20" s="473" t="s">
        <v>897</v>
      </c>
      <c r="AW20" s="473" t="s">
        <v>915</v>
      </c>
      <c r="AX20" s="412" t="s">
        <v>450</v>
      </c>
      <c r="AY20" s="412" t="s">
        <v>450</v>
      </c>
    </row>
    <row r="21" spans="1:51" ht="54" customHeight="1">
      <c r="A21" s="1150" t="s">
        <v>64</v>
      </c>
      <c r="B21" s="1151"/>
      <c r="C21" s="1152"/>
      <c r="D21" s="1081" t="s">
        <v>66</v>
      </c>
      <c r="E21" s="1082"/>
      <c r="F21" s="1082"/>
      <c r="G21" s="1082"/>
      <c r="H21" s="1082"/>
      <c r="I21" s="1083"/>
      <c r="J21" s="1159" t="s">
        <v>300</v>
      </c>
      <c r="K21" s="1160"/>
      <c r="L21" s="1160"/>
      <c r="M21" s="1160"/>
      <c r="N21" s="1160"/>
      <c r="O21" s="1161"/>
      <c r="P21" s="1081" t="s">
        <v>66</v>
      </c>
      <c r="Q21" s="1082"/>
      <c r="R21" s="1082"/>
      <c r="S21" s="1082"/>
      <c r="T21" s="1082"/>
      <c r="U21" s="1083"/>
      <c r="V21" s="1081" t="s">
        <v>66</v>
      </c>
      <c r="W21" s="1082"/>
      <c r="X21" s="1082"/>
      <c r="Y21" s="1082"/>
      <c r="Z21" s="1082"/>
      <c r="AA21" s="1082"/>
      <c r="AB21" s="1082"/>
      <c r="AC21" s="1083"/>
      <c r="AD21" s="1081" t="s">
        <v>66</v>
      </c>
      <c r="AE21" s="1082"/>
      <c r="AF21" s="1082"/>
      <c r="AG21" s="1082"/>
      <c r="AH21" s="1082"/>
      <c r="AI21" s="1082"/>
      <c r="AJ21" s="1082"/>
      <c r="AK21" s="1082"/>
      <c r="AL21" s="1082"/>
      <c r="AM21" s="1082"/>
      <c r="AN21" s="1082"/>
      <c r="AO21" s="1083"/>
      <c r="AP21" s="1159" t="s">
        <v>318</v>
      </c>
      <c r="AQ21" s="1160"/>
      <c r="AR21" s="1160"/>
      <c r="AS21" s="1161"/>
      <c r="AT21" s="1081" t="s">
        <v>13</v>
      </c>
      <c r="AU21" s="1082"/>
      <c r="AV21" s="1082"/>
      <c r="AW21" s="1082"/>
      <c r="AX21" s="1082"/>
      <c r="AY21" s="1083"/>
    </row>
    <row r="22" spans="1:51" ht="30" customHeight="1">
      <c r="A22" s="1153"/>
      <c r="B22" s="1154"/>
      <c r="C22" s="1155"/>
      <c r="D22" s="1081" t="s">
        <v>772</v>
      </c>
      <c r="E22" s="1082"/>
      <c r="F22" s="1082"/>
      <c r="G22" s="1082"/>
      <c r="H22" s="1082"/>
      <c r="I22" s="1083"/>
      <c r="J22" s="1162"/>
      <c r="K22" s="1163"/>
      <c r="L22" s="1163"/>
      <c r="M22" s="1163"/>
      <c r="N22" s="1163"/>
      <c r="O22" s="1164"/>
      <c r="P22" s="1081" t="s">
        <v>771</v>
      </c>
      <c r="Q22" s="1082"/>
      <c r="R22" s="1082"/>
      <c r="S22" s="1082"/>
      <c r="T22" s="1082"/>
      <c r="U22" s="1083"/>
      <c r="V22" s="1081" t="s">
        <v>65</v>
      </c>
      <c r="W22" s="1082"/>
      <c r="X22" s="1082"/>
      <c r="Y22" s="1082"/>
      <c r="Z22" s="1082"/>
      <c r="AA22" s="1082"/>
      <c r="AB22" s="1082"/>
      <c r="AC22" s="1083"/>
      <c r="AD22" s="1081" t="s">
        <v>65</v>
      </c>
      <c r="AE22" s="1082"/>
      <c r="AF22" s="1082"/>
      <c r="AG22" s="1082"/>
      <c r="AH22" s="1082"/>
      <c r="AI22" s="1082"/>
      <c r="AJ22" s="1082"/>
      <c r="AK22" s="1082"/>
      <c r="AL22" s="1082"/>
      <c r="AM22" s="1082"/>
      <c r="AN22" s="1082"/>
      <c r="AO22" s="1083"/>
      <c r="AP22" s="1162"/>
      <c r="AQ22" s="1163"/>
      <c r="AR22" s="1163"/>
      <c r="AS22" s="1164"/>
      <c r="AT22" s="1081" t="s">
        <v>771</v>
      </c>
      <c r="AU22" s="1082"/>
      <c r="AV22" s="1082"/>
      <c r="AW22" s="1082"/>
      <c r="AX22" s="1082"/>
      <c r="AY22" s="1083"/>
    </row>
    <row r="23" spans="1:51" ht="30" customHeight="1">
      <c r="A23" s="1156"/>
      <c r="B23" s="1157"/>
      <c r="C23" s="1158"/>
      <c r="D23" s="1081" t="s">
        <v>773</v>
      </c>
      <c r="E23" s="1082"/>
      <c r="F23" s="1082"/>
      <c r="G23" s="1082"/>
      <c r="H23" s="1082"/>
      <c r="I23" s="1083"/>
      <c r="J23" s="1165"/>
      <c r="K23" s="1166"/>
      <c r="L23" s="1166"/>
      <c r="M23" s="1166"/>
      <c r="N23" s="1166"/>
      <c r="O23" s="1167"/>
      <c r="P23" s="1081" t="s">
        <v>775</v>
      </c>
      <c r="Q23" s="1082"/>
      <c r="R23" s="1082"/>
      <c r="S23" s="1082"/>
      <c r="T23" s="1082"/>
      <c r="U23" s="1083"/>
      <c r="V23" s="1081" t="s">
        <v>297</v>
      </c>
      <c r="W23" s="1082"/>
      <c r="X23" s="1082"/>
      <c r="Y23" s="1082"/>
      <c r="Z23" s="1082"/>
      <c r="AA23" s="1082"/>
      <c r="AB23" s="1082"/>
      <c r="AC23" s="1083"/>
      <c r="AD23" s="1081" t="s">
        <v>297</v>
      </c>
      <c r="AE23" s="1082"/>
      <c r="AF23" s="1082"/>
      <c r="AG23" s="1082"/>
      <c r="AH23" s="1082"/>
      <c r="AI23" s="1082"/>
      <c r="AJ23" s="1082"/>
      <c r="AK23" s="1082"/>
      <c r="AL23" s="1082"/>
      <c r="AM23" s="1082"/>
      <c r="AN23" s="1082"/>
      <c r="AO23" s="1083"/>
      <c r="AP23" s="1165"/>
      <c r="AQ23" s="1166"/>
      <c r="AR23" s="1166"/>
      <c r="AS23" s="1167"/>
      <c r="AT23" s="1081" t="s">
        <v>75</v>
      </c>
      <c r="AU23" s="1082"/>
      <c r="AV23" s="1082"/>
      <c r="AW23" s="1082"/>
      <c r="AX23" s="1082"/>
      <c r="AY23" s="1083"/>
    </row>
  </sheetData>
  <sheetProtection/>
  <mergeCells count="56">
    <mergeCell ref="A1:AW1"/>
    <mergeCell ref="AX1:AY1"/>
    <mergeCell ref="A5:AG5"/>
    <mergeCell ref="AH5:AU10"/>
    <mergeCell ref="AV5:AV12"/>
    <mergeCell ref="AW5:AW12"/>
    <mergeCell ref="AX5:AX12"/>
    <mergeCell ref="AY5:AY12"/>
    <mergeCell ref="A6:C8"/>
    <mergeCell ref="D6:E8"/>
    <mergeCell ref="F6:G8"/>
    <mergeCell ref="H6:I6"/>
    <mergeCell ref="L11:L12"/>
    <mergeCell ref="K6:U8"/>
    <mergeCell ref="H7:I7"/>
    <mergeCell ref="H8:I8"/>
    <mergeCell ref="G11:H11"/>
    <mergeCell ref="I11:I12"/>
    <mergeCell ref="J11:J12"/>
    <mergeCell ref="K11:K12"/>
    <mergeCell ref="A9:C9"/>
    <mergeCell ref="D9:AG9"/>
    <mergeCell ref="A10:C10"/>
    <mergeCell ref="D10:AG10"/>
    <mergeCell ref="N11:N12"/>
    <mergeCell ref="O11:S11"/>
    <mergeCell ref="T11:T12"/>
    <mergeCell ref="U11:U12"/>
    <mergeCell ref="V11:AG11"/>
    <mergeCell ref="A11:F11"/>
    <mergeCell ref="AH11:AS11"/>
    <mergeCell ref="AT11:AU11"/>
    <mergeCell ref="A21:C23"/>
    <mergeCell ref="D21:I21"/>
    <mergeCell ref="J21:O23"/>
    <mergeCell ref="P21:U21"/>
    <mergeCell ref="V21:AC21"/>
    <mergeCell ref="AD21:AO21"/>
    <mergeCell ref="AP21:AS23"/>
    <mergeCell ref="M11:M12"/>
    <mergeCell ref="AT21:AY21"/>
    <mergeCell ref="D22:I22"/>
    <mergeCell ref="P22:U22"/>
    <mergeCell ref="V22:AC22"/>
    <mergeCell ref="AD22:AO22"/>
    <mergeCell ref="AT22:AY22"/>
    <mergeCell ref="AX4:AY4"/>
    <mergeCell ref="AX3:AY3"/>
    <mergeCell ref="A3:AW4"/>
    <mergeCell ref="AX2:AY2"/>
    <mergeCell ref="A2:AW2"/>
    <mergeCell ref="D23:I23"/>
    <mergeCell ref="P23:U23"/>
    <mergeCell ref="V23:AC23"/>
    <mergeCell ref="AD23:AO23"/>
    <mergeCell ref="AT23:AY23"/>
  </mergeCells>
  <printOptions/>
  <pageMargins left="0.7" right="0.7" top="0.75" bottom="0.75" header="0.3" footer="0.3"/>
  <pageSetup fitToHeight="1" fitToWidth="1" horizontalDpi="600" verticalDpi="600" orientation="landscape" scale="15" r:id="rId4"/>
  <drawing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21"/>
  <sheetViews>
    <sheetView view="pageBreakPreview" zoomScale="55" zoomScaleNormal="55" zoomScaleSheetLayoutView="55" zoomScalePageLayoutView="0" workbookViewId="0" topLeftCell="AO17">
      <selection activeCell="AW16" sqref="AW16:AW17"/>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7109375" style="113" customWidth="1"/>
    <col min="24" max="24" width="7.7109375" style="305" customWidth="1"/>
    <col min="25" max="26" width="7.7109375" style="131" customWidth="1"/>
    <col min="27" max="27" width="7.7109375" style="305" customWidth="1"/>
    <col min="28" max="29" width="7.7109375" style="131" customWidth="1"/>
    <col min="30" max="30" width="7.7109375" style="305" customWidth="1"/>
    <col min="31" max="32" width="7.7109375" style="131" customWidth="1"/>
    <col min="33" max="33" width="7.7109375" style="305" customWidth="1"/>
    <col min="34" max="38" width="7.7109375" style="113" customWidth="1"/>
    <col min="39" max="39" width="7.7109375" style="131" customWidth="1"/>
    <col min="40" max="45" width="7.7109375" style="113" customWidth="1"/>
    <col min="46" max="46" width="17.7109375" style="113" customWidth="1"/>
    <col min="47" max="47" width="14.140625" style="217" bestFit="1" customWidth="1"/>
    <col min="48" max="48" width="93.8515625" style="113" customWidth="1"/>
    <col min="49" max="49" width="107.7109375" style="113" customWidth="1"/>
    <col min="50" max="51" width="36.14062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782</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295"/>
      <c r="Y6" s="226"/>
      <c r="Z6" s="226"/>
      <c r="AA6" s="295"/>
      <c r="AB6" s="226"/>
      <c r="AC6" s="226"/>
      <c r="AD6" s="295"/>
      <c r="AE6" s="226"/>
      <c r="AF6" s="226"/>
      <c r="AG6" s="296"/>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97"/>
      <c r="Y7" s="298"/>
      <c r="Z7" s="298"/>
      <c r="AA7" s="297"/>
      <c r="AB7" s="298"/>
      <c r="AC7" s="298"/>
      <c r="AD7" s="297"/>
      <c r="AE7" s="298"/>
      <c r="AF7" s="298"/>
      <c r="AG7" s="299"/>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300"/>
      <c r="Y8" s="227"/>
      <c r="Z8" s="227"/>
      <c r="AA8" s="300"/>
      <c r="AB8" s="227"/>
      <c r="AC8" s="227"/>
      <c r="AD8" s="300"/>
      <c r="AE8" s="227"/>
      <c r="AF8" s="227"/>
      <c r="AG8" s="301"/>
      <c r="AH8" s="791"/>
      <c r="AI8" s="1170"/>
      <c r="AJ8" s="1170"/>
      <c r="AK8" s="1170"/>
      <c r="AL8" s="1170"/>
      <c r="AM8" s="1170"/>
      <c r="AN8" s="1170"/>
      <c r="AO8" s="1170"/>
      <c r="AP8" s="1170"/>
      <c r="AQ8" s="1170"/>
      <c r="AR8" s="1170"/>
      <c r="AS8" s="1170"/>
      <c r="AT8" s="1170"/>
      <c r="AU8" s="792"/>
      <c r="AV8" s="782"/>
      <c r="AW8" s="782"/>
      <c r="AX8" s="782"/>
      <c r="AY8" s="782"/>
    </row>
    <row r="9" spans="1:51" ht="15" customHeight="1">
      <c r="A9" s="796" t="s">
        <v>399</v>
      </c>
      <c r="B9" s="797"/>
      <c r="C9" s="798"/>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37.5" customHeight="1">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62" t="s">
        <v>44</v>
      </c>
      <c r="AN12" s="229" t="s">
        <v>45</v>
      </c>
      <c r="AO12" s="229" t="s">
        <v>46</v>
      </c>
      <c r="AP12" s="229" t="s">
        <v>47</v>
      </c>
      <c r="AQ12" s="229" t="s">
        <v>48</v>
      </c>
      <c r="AR12" s="229" t="s">
        <v>49</v>
      </c>
      <c r="AS12" s="229" t="s">
        <v>50</v>
      </c>
      <c r="AT12" s="120" t="s">
        <v>413</v>
      </c>
      <c r="AU12" s="216" t="s">
        <v>88</v>
      </c>
      <c r="AV12" s="783"/>
      <c r="AW12" s="783"/>
      <c r="AX12" s="783"/>
      <c r="AY12" s="783"/>
    </row>
    <row r="13" spans="1:51" ht="409.5" customHeight="1">
      <c r="A13" s="121"/>
      <c r="B13" s="121"/>
      <c r="C13" s="121"/>
      <c r="D13" s="121"/>
      <c r="E13" s="121" t="s">
        <v>425</v>
      </c>
      <c r="F13" s="121"/>
      <c r="G13" s="122" t="s">
        <v>534</v>
      </c>
      <c r="H13" s="122" t="s">
        <v>841</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465"/>
      <c r="AD13" s="244">
        <v>0.3</v>
      </c>
      <c r="AE13" s="465"/>
      <c r="AF13" s="465"/>
      <c r="AG13" s="244">
        <v>0.27</v>
      </c>
      <c r="AH13" s="471"/>
      <c r="AI13" s="471"/>
      <c r="AJ13" s="244">
        <v>0.07</v>
      </c>
      <c r="AK13" s="471"/>
      <c r="AL13" s="471"/>
      <c r="AM13" s="244">
        <v>0.26</v>
      </c>
      <c r="AN13" s="471"/>
      <c r="AO13" s="471"/>
      <c r="AP13" s="452">
        <v>0.29</v>
      </c>
      <c r="AQ13" s="124"/>
      <c r="AR13" s="124"/>
      <c r="AS13" s="124"/>
      <c r="AT13" s="452">
        <f>SUM(AH13:AS13)</f>
        <v>0.62</v>
      </c>
      <c r="AU13" s="304">
        <f>+AT13/R13</f>
        <v>0.6888888888888889</v>
      </c>
      <c r="AV13" s="491" t="s">
        <v>919</v>
      </c>
      <c r="AW13" s="531" t="s">
        <v>920</v>
      </c>
      <c r="AX13" s="493" t="s">
        <v>921</v>
      </c>
      <c r="AY13" s="493" t="s">
        <v>922</v>
      </c>
    </row>
    <row r="14" spans="1:51" ht="277.5" customHeight="1">
      <c r="A14" s="1180"/>
      <c r="B14" s="1180"/>
      <c r="C14" s="1180"/>
      <c r="D14" s="1180"/>
      <c r="E14" s="1180" t="s">
        <v>425</v>
      </c>
      <c r="F14" s="1180"/>
      <c r="G14" s="1180" t="s">
        <v>534</v>
      </c>
      <c r="H14" s="1180" t="s">
        <v>540</v>
      </c>
      <c r="I14" s="1180" t="s">
        <v>541</v>
      </c>
      <c r="J14" s="1180" t="s">
        <v>542</v>
      </c>
      <c r="K14" s="1180" t="s">
        <v>522</v>
      </c>
      <c r="L14" s="1180" t="s">
        <v>480</v>
      </c>
      <c r="M14" s="1180" t="s">
        <v>431</v>
      </c>
      <c r="N14" s="1180" t="s">
        <v>543</v>
      </c>
      <c r="O14" s="1180"/>
      <c r="P14" s="1180"/>
      <c r="Q14" s="1180"/>
      <c r="R14" s="1182">
        <v>0.9</v>
      </c>
      <c r="S14" s="1180"/>
      <c r="T14" s="1180" t="s">
        <v>538</v>
      </c>
      <c r="U14" s="1180" t="s">
        <v>539</v>
      </c>
      <c r="V14" s="1176"/>
      <c r="W14" s="1176"/>
      <c r="X14" s="1176">
        <v>0.2</v>
      </c>
      <c r="Y14" s="1176"/>
      <c r="Z14" s="1176"/>
      <c r="AA14" s="1176">
        <v>0.35</v>
      </c>
      <c r="AB14" s="1176"/>
      <c r="AC14" s="1178"/>
      <c r="AD14" s="1178">
        <v>0.25</v>
      </c>
      <c r="AE14" s="1178"/>
      <c r="AF14" s="1178"/>
      <c r="AG14" s="1178">
        <v>0.1</v>
      </c>
      <c r="AH14" s="1178"/>
      <c r="AI14" s="1178"/>
      <c r="AJ14" s="1178">
        <v>0.2</v>
      </c>
      <c r="AK14" s="1178"/>
      <c r="AL14" s="1178"/>
      <c r="AM14" s="1178">
        <v>0.34</v>
      </c>
      <c r="AN14" s="1178"/>
      <c r="AO14" s="1178"/>
      <c r="AP14" s="1178">
        <v>0.26</v>
      </c>
      <c r="AQ14" s="1176"/>
      <c r="AR14" s="1176"/>
      <c r="AS14" s="1176"/>
      <c r="AT14" s="1176">
        <f>SUM(AH14:AS14)</f>
        <v>0.8</v>
      </c>
      <c r="AU14" s="1176">
        <f>+AT14/R14</f>
        <v>0.888888888888889</v>
      </c>
      <c r="AV14" s="1172" t="s">
        <v>923</v>
      </c>
      <c r="AW14" s="1172" t="s">
        <v>924</v>
      </c>
      <c r="AX14" s="1174" t="s">
        <v>925</v>
      </c>
      <c r="AY14" s="1174" t="s">
        <v>926</v>
      </c>
    </row>
    <row r="15" spans="1:51" ht="409.5" customHeight="1">
      <c r="A15" s="1181"/>
      <c r="B15" s="1181"/>
      <c r="C15" s="1181"/>
      <c r="D15" s="1181"/>
      <c r="E15" s="1181"/>
      <c r="F15" s="1181"/>
      <c r="G15" s="1181"/>
      <c r="H15" s="1181"/>
      <c r="I15" s="1181"/>
      <c r="J15" s="1181"/>
      <c r="K15" s="1181"/>
      <c r="L15" s="1181"/>
      <c r="M15" s="1181"/>
      <c r="N15" s="1181"/>
      <c r="O15" s="1181"/>
      <c r="P15" s="1181"/>
      <c r="Q15" s="1181"/>
      <c r="R15" s="1183"/>
      <c r="S15" s="1181"/>
      <c r="T15" s="1181"/>
      <c r="U15" s="1181"/>
      <c r="V15" s="1177"/>
      <c r="W15" s="1177"/>
      <c r="X15" s="1177"/>
      <c r="Y15" s="1177"/>
      <c r="Z15" s="1177"/>
      <c r="AA15" s="1177"/>
      <c r="AB15" s="1177"/>
      <c r="AC15" s="1179"/>
      <c r="AD15" s="1179"/>
      <c r="AE15" s="1179"/>
      <c r="AF15" s="1179"/>
      <c r="AG15" s="1179"/>
      <c r="AH15" s="1179"/>
      <c r="AI15" s="1179"/>
      <c r="AJ15" s="1179"/>
      <c r="AK15" s="1179"/>
      <c r="AL15" s="1179"/>
      <c r="AM15" s="1179"/>
      <c r="AN15" s="1179"/>
      <c r="AO15" s="1179"/>
      <c r="AP15" s="1179"/>
      <c r="AQ15" s="1177"/>
      <c r="AR15" s="1177"/>
      <c r="AS15" s="1177"/>
      <c r="AT15" s="1177"/>
      <c r="AU15" s="1177"/>
      <c r="AV15" s="1173"/>
      <c r="AW15" s="1173"/>
      <c r="AX15" s="1175"/>
      <c r="AY15" s="1175"/>
    </row>
    <row r="16" spans="1:51" ht="264.75" customHeight="1">
      <c r="A16" s="1180"/>
      <c r="B16" s="1180"/>
      <c r="C16" s="1180"/>
      <c r="D16" s="1180"/>
      <c r="E16" s="1180" t="s">
        <v>425</v>
      </c>
      <c r="F16" s="1180"/>
      <c r="G16" s="1180" t="s">
        <v>534</v>
      </c>
      <c r="H16" s="1180" t="s">
        <v>544</v>
      </c>
      <c r="I16" s="1180" t="s">
        <v>545</v>
      </c>
      <c r="J16" s="1180" t="s">
        <v>546</v>
      </c>
      <c r="K16" s="1180" t="s">
        <v>522</v>
      </c>
      <c r="L16" s="1180" t="s">
        <v>480</v>
      </c>
      <c r="M16" s="1180" t="s">
        <v>431</v>
      </c>
      <c r="N16" s="1180" t="s">
        <v>547</v>
      </c>
      <c r="O16" s="1180"/>
      <c r="P16" s="1180"/>
      <c r="Q16" s="1180"/>
      <c r="R16" s="1182">
        <v>0.9</v>
      </c>
      <c r="S16" s="1180"/>
      <c r="T16" s="1185" t="s">
        <v>538</v>
      </c>
      <c r="U16" s="1180" t="s">
        <v>539</v>
      </c>
      <c r="V16" s="1176"/>
      <c r="W16" s="1176"/>
      <c r="X16" s="1176">
        <v>0.17</v>
      </c>
      <c r="Y16" s="1176"/>
      <c r="Z16" s="1176"/>
      <c r="AA16" s="1176">
        <v>0.25</v>
      </c>
      <c r="AB16" s="1176"/>
      <c r="AC16" s="1178"/>
      <c r="AD16" s="1178">
        <v>0.28</v>
      </c>
      <c r="AE16" s="1178"/>
      <c r="AF16" s="1178"/>
      <c r="AG16" s="1178">
        <v>0.2</v>
      </c>
      <c r="AH16" s="1178"/>
      <c r="AI16" s="1178"/>
      <c r="AJ16" s="1178">
        <v>0.16</v>
      </c>
      <c r="AK16" s="1178"/>
      <c r="AL16" s="1178"/>
      <c r="AM16" s="1178">
        <v>0.24</v>
      </c>
      <c r="AN16" s="1178"/>
      <c r="AO16" s="1178"/>
      <c r="AP16" s="1176">
        <v>0.27</v>
      </c>
      <c r="AQ16" s="1176"/>
      <c r="AR16" s="1176"/>
      <c r="AS16" s="1176"/>
      <c r="AT16" s="1176">
        <f>SUM(AH16:AS16)</f>
        <v>0.67</v>
      </c>
      <c r="AU16" s="1176">
        <f>+AT16/R16</f>
        <v>0.7444444444444445</v>
      </c>
      <c r="AV16" s="1172" t="s">
        <v>927</v>
      </c>
      <c r="AW16" s="1172" t="s">
        <v>928</v>
      </c>
      <c r="AX16" s="1174" t="s">
        <v>929</v>
      </c>
      <c r="AY16" s="1174" t="s">
        <v>930</v>
      </c>
    </row>
    <row r="17" spans="1:51" ht="303.75" customHeight="1">
      <c r="A17" s="1181"/>
      <c r="B17" s="1181"/>
      <c r="C17" s="1181"/>
      <c r="D17" s="1181"/>
      <c r="E17" s="1181"/>
      <c r="F17" s="1181"/>
      <c r="G17" s="1181"/>
      <c r="H17" s="1181"/>
      <c r="I17" s="1181"/>
      <c r="J17" s="1181"/>
      <c r="K17" s="1181"/>
      <c r="L17" s="1181"/>
      <c r="M17" s="1181"/>
      <c r="N17" s="1181"/>
      <c r="O17" s="1181"/>
      <c r="P17" s="1181"/>
      <c r="Q17" s="1181"/>
      <c r="R17" s="1183"/>
      <c r="S17" s="1181"/>
      <c r="T17" s="1186"/>
      <c r="U17" s="1181"/>
      <c r="V17" s="1177"/>
      <c r="W17" s="1177"/>
      <c r="X17" s="1177"/>
      <c r="Y17" s="1177"/>
      <c r="Z17" s="1177"/>
      <c r="AA17" s="1177"/>
      <c r="AB17" s="1177"/>
      <c r="AC17" s="1179"/>
      <c r="AD17" s="1179"/>
      <c r="AE17" s="1179"/>
      <c r="AF17" s="1179"/>
      <c r="AG17" s="1179"/>
      <c r="AH17" s="1179"/>
      <c r="AI17" s="1179"/>
      <c r="AJ17" s="1179"/>
      <c r="AK17" s="1179"/>
      <c r="AL17" s="1179"/>
      <c r="AM17" s="1179"/>
      <c r="AN17" s="1179"/>
      <c r="AO17" s="1179"/>
      <c r="AP17" s="1177"/>
      <c r="AQ17" s="1177"/>
      <c r="AR17" s="1177"/>
      <c r="AS17" s="1177"/>
      <c r="AT17" s="1177"/>
      <c r="AU17" s="1177"/>
      <c r="AV17" s="1173"/>
      <c r="AW17" s="1173"/>
      <c r="AX17" s="1184"/>
      <c r="AY17" s="1184"/>
    </row>
    <row r="18" spans="1:51" ht="409.5" customHeight="1">
      <c r="A18" s="121"/>
      <c r="B18" s="121"/>
      <c r="C18" s="121"/>
      <c r="D18" s="121"/>
      <c r="E18" s="451" t="s">
        <v>425</v>
      </c>
      <c r="F18" s="121"/>
      <c r="G18" s="122" t="s">
        <v>534</v>
      </c>
      <c r="H18" s="122" t="s">
        <v>842</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244">
        <v>0.2</v>
      </c>
      <c r="AD18" s="244"/>
      <c r="AE18" s="244"/>
      <c r="AF18" s="244"/>
      <c r="AG18" s="244">
        <v>0.5</v>
      </c>
      <c r="AH18" s="244"/>
      <c r="AI18" s="244"/>
      <c r="AJ18" s="244"/>
      <c r="AK18" s="244">
        <v>0.3</v>
      </c>
      <c r="AL18" s="244"/>
      <c r="AM18" s="244"/>
      <c r="AN18" s="244"/>
      <c r="AO18" s="244">
        <v>0.2</v>
      </c>
      <c r="AP18" s="452"/>
      <c r="AQ18" s="304"/>
      <c r="AR18" s="304"/>
      <c r="AS18" s="124"/>
      <c r="AT18" s="452">
        <f>SUM(AH18:AS18)</f>
        <v>0.5</v>
      </c>
      <c r="AU18" s="304">
        <f>+AT18/R18</f>
        <v>0.5</v>
      </c>
      <c r="AV18" s="491" t="s">
        <v>931</v>
      </c>
      <c r="AW18" s="491" t="s">
        <v>932</v>
      </c>
      <c r="AX18" s="494" t="s">
        <v>896</v>
      </c>
      <c r="AY18" s="494" t="s">
        <v>885</v>
      </c>
    </row>
    <row r="19" spans="1:51" ht="54" customHeight="1">
      <c r="A19" s="809" t="s">
        <v>64</v>
      </c>
      <c r="B19" s="809"/>
      <c r="C19" s="809"/>
      <c r="D19" s="805" t="s">
        <v>66</v>
      </c>
      <c r="E19" s="805"/>
      <c r="F19" s="805"/>
      <c r="G19" s="805"/>
      <c r="H19" s="805"/>
      <c r="I19" s="805"/>
      <c r="J19" s="804" t="s">
        <v>300</v>
      </c>
      <c r="K19" s="804"/>
      <c r="L19" s="804"/>
      <c r="M19" s="804"/>
      <c r="N19" s="804"/>
      <c r="O19" s="804"/>
      <c r="P19" s="805" t="s">
        <v>66</v>
      </c>
      <c r="Q19" s="805"/>
      <c r="R19" s="805"/>
      <c r="S19" s="805"/>
      <c r="T19" s="805"/>
      <c r="U19" s="805"/>
      <c r="V19" s="805" t="s">
        <v>66</v>
      </c>
      <c r="W19" s="805"/>
      <c r="X19" s="805"/>
      <c r="Y19" s="805"/>
      <c r="Z19" s="805"/>
      <c r="AA19" s="805"/>
      <c r="AB19" s="805"/>
      <c r="AC19" s="805"/>
      <c r="AD19" s="805" t="s">
        <v>66</v>
      </c>
      <c r="AE19" s="805"/>
      <c r="AF19" s="805"/>
      <c r="AG19" s="805"/>
      <c r="AH19" s="805"/>
      <c r="AI19" s="805"/>
      <c r="AJ19" s="805"/>
      <c r="AK19" s="805"/>
      <c r="AL19" s="805"/>
      <c r="AM19" s="805"/>
      <c r="AN19" s="805"/>
      <c r="AO19" s="805"/>
      <c r="AP19" s="804" t="s">
        <v>318</v>
      </c>
      <c r="AQ19" s="804"/>
      <c r="AR19" s="804"/>
      <c r="AS19" s="804"/>
      <c r="AT19" s="805" t="s">
        <v>13</v>
      </c>
      <c r="AU19" s="805"/>
      <c r="AV19" s="805"/>
      <c r="AW19" s="805"/>
      <c r="AX19" s="805"/>
      <c r="AY19" s="805"/>
    </row>
    <row r="20" spans="1:51" ht="30" customHeight="1">
      <c r="A20" s="809"/>
      <c r="B20" s="809"/>
      <c r="C20" s="809"/>
      <c r="D20" s="805" t="s">
        <v>845</v>
      </c>
      <c r="E20" s="805"/>
      <c r="F20" s="805"/>
      <c r="G20" s="805"/>
      <c r="H20" s="805"/>
      <c r="I20" s="805"/>
      <c r="J20" s="804"/>
      <c r="K20" s="804"/>
      <c r="L20" s="804"/>
      <c r="M20" s="804"/>
      <c r="N20" s="804"/>
      <c r="O20" s="804"/>
      <c r="P20" s="805" t="s">
        <v>812</v>
      </c>
      <c r="Q20" s="805"/>
      <c r="R20" s="805"/>
      <c r="S20" s="805"/>
      <c r="T20" s="805"/>
      <c r="U20" s="805"/>
      <c r="V20" s="805" t="s">
        <v>65</v>
      </c>
      <c r="W20" s="805"/>
      <c r="X20" s="805"/>
      <c r="Y20" s="805"/>
      <c r="Z20" s="805"/>
      <c r="AA20" s="805"/>
      <c r="AB20" s="805"/>
      <c r="AC20" s="805"/>
      <c r="AD20" s="805" t="s">
        <v>65</v>
      </c>
      <c r="AE20" s="805"/>
      <c r="AF20" s="805"/>
      <c r="AG20" s="805"/>
      <c r="AH20" s="805"/>
      <c r="AI20" s="805"/>
      <c r="AJ20" s="805"/>
      <c r="AK20" s="805"/>
      <c r="AL20" s="805"/>
      <c r="AM20" s="805"/>
      <c r="AN20" s="805"/>
      <c r="AO20" s="805"/>
      <c r="AP20" s="804"/>
      <c r="AQ20" s="804"/>
      <c r="AR20" s="804"/>
      <c r="AS20" s="804"/>
      <c r="AT20" s="805" t="s">
        <v>771</v>
      </c>
      <c r="AU20" s="805"/>
      <c r="AV20" s="805"/>
      <c r="AW20" s="805"/>
      <c r="AX20" s="805"/>
      <c r="AY20" s="805"/>
    </row>
    <row r="21" spans="1:51" ht="30" customHeight="1">
      <c r="A21" s="809"/>
      <c r="B21" s="809"/>
      <c r="C21" s="809"/>
      <c r="D21" s="805" t="s">
        <v>846</v>
      </c>
      <c r="E21" s="805"/>
      <c r="F21" s="805"/>
      <c r="G21" s="805"/>
      <c r="H21" s="805"/>
      <c r="I21" s="805"/>
      <c r="J21" s="804"/>
      <c r="K21" s="804"/>
      <c r="L21" s="804"/>
      <c r="M21" s="804"/>
      <c r="N21" s="804"/>
      <c r="O21" s="804"/>
      <c r="P21" s="805" t="s">
        <v>813</v>
      </c>
      <c r="Q21" s="805"/>
      <c r="R21" s="805"/>
      <c r="S21" s="805"/>
      <c r="T21" s="805"/>
      <c r="U21" s="805"/>
      <c r="V21" s="805" t="s">
        <v>297</v>
      </c>
      <c r="W21" s="805"/>
      <c r="X21" s="805"/>
      <c r="Y21" s="805"/>
      <c r="Z21" s="805"/>
      <c r="AA21" s="805"/>
      <c r="AB21" s="805"/>
      <c r="AC21" s="805"/>
      <c r="AD21" s="805" t="s">
        <v>297</v>
      </c>
      <c r="AE21" s="805"/>
      <c r="AF21" s="805"/>
      <c r="AG21" s="805"/>
      <c r="AH21" s="805"/>
      <c r="AI21" s="805"/>
      <c r="AJ21" s="805"/>
      <c r="AK21" s="805"/>
      <c r="AL21" s="805"/>
      <c r="AM21" s="805"/>
      <c r="AN21" s="805"/>
      <c r="AO21" s="805"/>
      <c r="AP21" s="804"/>
      <c r="AQ21" s="804"/>
      <c r="AR21" s="804"/>
      <c r="AS21" s="804"/>
      <c r="AT21" s="805" t="s">
        <v>75</v>
      </c>
      <c r="AU21" s="805"/>
      <c r="AV21" s="805"/>
      <c r="AW21" s="805"/>
      <c r="AX21" s="805"/>
      <c r="AY21" s="805"/>
    </row>
  </sheetData>
  <sheetProtection/>
  <mergeCells count="158">
    <mergeCell ref="S16:S17"/>
    <mergeCell ref="T16:T17"/>
    <mergeCell ref="M16:M17"/>
    <mergeCell ref="N16:N17"/>
    <mergeCell ref="O16:O17"/>
    <mergeCell ref="P16:P17"/>
    <mergeCell ref="Q16:Q17"/>
    <mergeCell ref="R16:R17"/>
    <mergeCell ref="G16:G17"/>
    <mergeCell ref="H16:H17"/>
    <mergeCell ref="I16:I17"/>
    <mergeCell ref="J16:J17"/>
    <mergeCell ref="K16:K17"/>
    <mergeCell ref="L16:L17"/>
    <mergeCell ref="AR16:AR17"/>
    <mergeCell ref="AS16:AS17"/>
    <mergeCell ref="AT16:AT17"/>
    <mergeCell ref="U16:U17"/>
    <mergeCell ref="A16:A17"/>
    <mergeCell ref="B16:B17"/>
    <mergeCell ref="C16:C17"/>
    <mergeCell ref="D16:D17"/>
    <mergeCell ref="E16:E17"/>
    <mergeCell ref="F16:F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4:T15"/>
    <mergeCell ref="AW16:AW17"/>
    <mergeCell ref="AV16:AV17"/>
    <mergeCell ref="AX16:AX17"/>
    <mergeCell ref="AY16:AY17"/>
    <mergeCell ref="AU16:AU17"/>
    <mergeCell ref="V16:V17"/>
    <mergeCell ref="W16:W17"/>
    <mergeCell ref="X16:X17"/>
    <mergeCell ref="Y16:Y17"/>
    <mergeCell ref="N14:N15"/>
    <mergeCell ref="O14:O15"/>
    <mergeCell ref="P14:P15"/>
    <mergeCell ref="Q14:Q15"/>
    <mergeCell ref="R14:R15"/>
    <mergeCell ref="S14:S15"/>
    <mergeCell ref="H14:H15"/>
    <mergeCell ref="I14:I15"/>
    <mergeCell ref="J14:J15"/>
    <mergeCell ref="K14:K15"/>
    <mergeCell ref="L14:L15"/>
    <mergeCell ref="M14:M15"/>
    <mergeCell ref="AS14:AS15"/>
    <mergeCell ref="AT14:AT15"/>
    <mergeCell ref="U14:U15"/>
    <mergeCell ref="A14:A15"/>
    <mergeCell ref="B14:B15"/>
    <mergeCell ref="C14:C15"/>
    <mergeCell ref="D14:D15"/>
    <mergeCell ref="E14:E15"/>
    <mergeCell ref="F14:F15"/>
    <mergeCell ref="G14:G15"/>
    <mergeCell ref="AM14:AM15"/>
    <mergeCell ref="AN14:AN15"/>
    <mergeCell ref="AO14:AO15"/>
    <mergeCell ref="AP14:AP15"/>
    <mergeCell ref="AQ14:AQ15"/>
    <mergeCell ref="AR14:AR15"/>
    <mergeCell ref="AG14:AG15"/>
    <mergeCell ref="AH14:AH15"/>
    <mergeCell ref="AI14:AI15"/>
    <mergeCell ref="AJ14:AJ15"/>
    <mergeCell ref="AK14:AK15"/>
    <mergeCell ref="AL14:AL15"/>
    <mergeCell ref="AA14:AA15"/>
    <mergeCell ref="AB14:AB15"/>
    <mergeCell ref="AC14:AC15"/>
    <mergeCell ref="AD14:AD15"/>
    <mergeCell ref="AE14:AE15"/>
    <mergeCell ref="AF14:AF15"/>
    <mergeCell ref="AW14:AW15"/>
    <mergeCell ref="AV14:AV15"/>
    <mergeCell ref="AX14:AX15"/>
    <mergeCell ref="AY14:AY15"/>
    <mergeCell ref="AU14:AU15"/>
    <mergeCell ref="V14:V15"/>
    <mergeCell ref="W14:W15"/>
    <mergeCell ref="X14:X15"/>
    <mergeCell ref="Y14:Y15"/>
    <mergeCell ref="Z14:Z15"/>
    <mergeCell ref="D21:I21"/>
    <mergeCell ref="P21:U21"/>
    <mergeCell ref="V21:AC21"/>
    <mergeCell ref="AD21:AO21"/>
    <mergeCell ref="AT21:AY21"/>
    <mergeCell ref="AT19:AY19"/>
    <mergeCell ref="D20:I20"/>
    <mergeCell ref="P20:U20"/>
    <mergeCell ref="V20:AC20"/>
    <mergeCell ref="AD20:AO20"/>
    <mergeCell ref="AT20:AY20"/>
    <mergeCell ref="AH11:AS11"/>
    <mergeCell ref="AT11:AU11"/>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landscape" scale="15"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Y22"/>
  <sheetViews>
    <sheetView view="pageBreakPreview" zoomScale="60" zoomScaleNormal="70" zoomScalePageLayoutView="0" workbookViewId="0" topLeftCell="T18">
      <selection activeCell="T18" sqref="T18:T19"/>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7109375" style="113" customWidth="1"/>
    <col min="46" max="46" width="17.140625" style="113" customWidth="1"/>
    <col min="47" max="47" width="15.8515625" style="217" customWidth="1"/>
    <col min="48" max="48" width="102.57421875" style="113" customWidth="1"/>
    <col min="49" max="49" width="93.57421875" style="113" customWidth="1"/>
    <col min="50" max="51" width="33.5742187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18</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478</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783</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228"/>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ustomHeight="1">
      <c r="A9" s="822" t="s">
        <v>399</v>
      </c>
      <c r="B9" s="823"/>
      <c r="C9" s="824"/>
      <c r="D9" s="819"/>
      <c r="E9" s="820"/>
      <c r="F9" s="820"/>
      <c r="G9" s="820"/>
      <c r="H9" s="820"/>
      <c r="I9" s="820"/>
      <c r="J9" s="820"/>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1147" t="s">
        <v>500</v>
      </c>
      <c r="E10" s="1148"/>
      <c r="F10" s="1148"/>
      <c r="G10" s="1148"/>
      <c r="H10" s="1148"/>
      <c r="I10" s="1148"/>
      <c r="J10" s="1148"/>
      <c r="K10" s="1148"/>
      <c r="L10" s="1148"/>
      <c r="M10" s="1148"/>
      <c r="N10" s="1148"/>
      <c r="O10" s="1148"/>
      <c r="P10" s="1148"/>
      <c r="Q10" s="1148"/>
      <c r="R10" s="1148"/>
      <c r="S10" s="1148"/>
      <c r="T10" s="1148"/>
      <c r="U10" s="1148"/>
      <c r="V10" s="1148"/>
      <c r="W10" s="1148"/>
      <c r="X10" s="1148"/>
      <c r="Y10" s="1148"/>
      <c r="Z10" s="1148"/>
      <c r="AA10" s="1148"/>
      <c r="AB10" s="1148"/>
      <c r="AC10" s="1148"/>
      <c r="AD10" s="1148"/>
      <c r="AE10" s="1148"/>
      <c r="AF10" s="1148"/>
      <c r="AG10" s="1149"/>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83"/>
      <c r="AW12" s="783"/>
      <c r="AX12" s="783"/>
      <c r="AY12" s="783"/>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495"/>
      <c r="AC13" s="495"/>
      <c r="AD13" s="495">
        <v>0.28</v>
      </c>
      <c r="AE13" s="495"/>
      <c r="AF13" s="495"/>
      <c r="AG13" s="495">
        <v>0.25</v>
      </c>
      <c r="AH13" s="471"/>
      <c r="AI13" s="471"/>
      <c r="AJ13" s="470">
        <v>0.21</v>
      </c>
      <c r="AK13" s="471"/>
      <c r="AL13" s="471"/>
      <c r="AM13" s="470">
        <v>0.24</v>
      </c>
      <c r="AN13" s="471"/>
      <c r="AO13" s="471"/>
      <c r="AP13" s="464">
        <v>0.3</v>
      </c>
      <c r="AQ13" s="124"/>
      <c r="AR13" s="124"/>
      <c r="AS13" s="124"/>
      <c r="AT13" s="127">
        <f>SUM(AH13:AS13)</f>
        <v>0.75</v>
      </c>
      <c r="AU13" s="127">
        <f aca="true" t="shared" si="0" ref="AU13:AU18">+AT13/R13</f>
        <v>0.75</v>
      </c>
      <c r="AV13" s="532" t="s">
        <v>933</v>
      </c>
      <c r="AW13" s="532" t="s">
        <v>934</v>
      </c>
      <c r="AX13" s="486" t="s">
        <v>935</v>
      </c>
      <c r="AY13" s="321" t="s">
        <v>936</v>
      </c>
    </row>
    <row r="14" spans="1:51" ht="76.5" customHeight="1">
      <c r="A14" s="128"/>
      <c r="B14" s="121"/>
      <c r="C14" s="121"/>
      <c r="D14" s="121"/>
      <c r="E14" s="450"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495">
        <v>1</v>
      </c>
      <c r="AC14" s="495">
        <v>1</v>
      </c>
      <c r="AD14" s="495">
        <v>1</v>
      </c>
      <c r="AE14" s="495">
        <v>1</v>
      </c>
      <c r="AF14" s="495">
        <v>1</v>
      </c>
      <c r="AG14" s="495">
        <v>1</v>
      </c>
      <c r="AH14" s="470">
        <v>1</v>
      </c>
      <c r="AI14" s="470">
        <v>1</v>
      </c>
      <c r="AJ14" s="470">
        <v>1</v>
      </c>
      <c r="AK14" s="470">
        <v>1</v>
      </c>
      <c r="AL14" s="470">
        <v>1</v>
      </c>
      <c r="AM14" s="470">
        <v>1</v>
      </c>
      <c r="AN14" s="470">
        <v>1</v>
      </c>
      <c r="AO14" s="495">
        <v>1</v>
      </c>
      <c r="AP14" s="495">
        <v>1</v>
      </c>
      <c r="AQ14" s="124"/>
      <c r="AR14" s="124"/>
      <c r="AS14" s="124"/>
      <c r="AT14" s="307">
        <f>AVERAGE(AH14:AS14)</f>
        <v>1</v>
      </c>
      <c r="AU14" s="127">
        <f t="shared" si="0"/>
        <v>1</v>
      </c>
      <c r="AV14" s="321" t="s">
        <v>937</v>
      </c>
      <c r="AW14" s="321" t="s">
        <v>938</v>
      </c>
      <c r="AX14" s="445" t="s">
        <v>896</v>
      </c>
      <c r="AY14" s="445" t="s">
        <v>450</v>
      </c>
    </row>
    <row r="15" spans="1:51" ht="117" customHeight="1">
      <c r="A15" s="121"/>
      <c r="B15" s="121"/>
      <c r="C15" s="121"/>
      <c r="D15" s="121"/>
      <c r="E15" s="450"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495">
        <v>1</v>
      </c>
      <c r="AC15" s="495">
        <v>1</v>
      </c>
      <c r="AD15" s="495">
        <v>1</v>
      </c>
      <c r="AE15" s="495">
        <v>1</v>
      </c>
      <c r="AF15" s="495">
        <v>1</v>
      </c>
      <c r="AG15" s="495">
        <v>1</v>
      </c>
      <c r="AH15" s="470">
        <v>1</v>
      </c>
      <c r="AI15" s="470">
        <v>1</v>
      </c>
      <c r="AJ15" s="470">
        <v>1</v>
      </c>
      <c r="AK15" s="470">
        <v>1</v>
      </c>
      <c r="AL15" s="470">
        <v>1</v>
      </c>
      <c r="AM15" s="470">
        <v>1</v>
      </c>
      <c r="AN15" s="470">
        <v>1</v>
      </c>
      <c r="AO15" s="495">
        <v>1</v>
      </c>
      <c r="AP15" s="495">
        <v>1</v>
      </c>
      <c r="AQ15" s="124"/>
      <c r="AR15" s="124"/>
      <c r="AS15" s="124"/>
      <c r="AT15" s="307">
        <f>AVERAGE(AH15:AS15)</f>
        <v>1</v>
      </c>
      <c r="AU15" s="127">
        <f t="shared" si="0"/>
        <v>1</v>
      </c>
      <c r="AV15" s="321" t="s">
        <v>939</v>
      </c>
      <c r="AW15" s="321" t="s">
        <v>940</v>
      </c>
      <c r="AX15" s="232" t="s">
        <v>896</v>
      </c>
      <c r="AY15" s="232" t="s">
        <v>450</v>
      </c>
    </row>
    <row r="16" spans="1:51" ht="273.75" customHeight="1">
      <c r="A16" s="121"/>
      <c r="B16" s="121"/>
      <c r="C16" s="121"/>
      <c r="D16" s="121"/>
      <c r="E16" s="450"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495">
        <v>1</v>
      </c>
      <c r="AC16" s="495">
        <v>1</v>
      </c>
      <c r="AD16" s="495">
        <v>1</v>
      </c>
      <c r="AE16" s="495">
        <v>1</v>
      </c>
      <c r="AF16" s="495">
        <v>1</v>
      </c>
      <c r="AG16" s="495">
        <v>1</v>
      </c>
      <c r="AH16" s="470">
        <v>1</v>
      </c>
      <c r="AI16" s="470">
        <v>1</v>
      </c>
      <c r="AJ16" s="470">
        <v>1</v>
      </c>
      <c r="AK16" s="470">
        <v>1</v>
      </c>
      <c r="AL16" s="470">
        <v>1</v>
      </c>
      <c r="AM16" s="470">
        <v>1</v>
      </c>
      <c r="AN16" s="470">
        <v>1</v>
      </c>
      <c r="AO16" s="495">
        <v>1</v>
      </c>
      <c r="AP16" s="495">
        <v>1</v>
      </c>
      <c r="AQ16" s="124"/>
      <c r="AR16" s="124"/>
      <c r="AS16" s="124"/>
      <c r="AT16" s="307">
        <f>AVERAGE(AH16:AS16)</f>
        <v>1</v>
      </c>
      <c r="AU16" s="127">
        <f t="shared" si="0"/>
        <v>1</v>
      </c>
      <c r="AV16" s="510" t="s">
        <v>941</v>
      </c>
      <c r="AW16" s="510" t="s">
        <v>942</v>
      </c>
      <c r="AX16" s="445" t="s">
        <v>943</v>
      </c>
      <c r="AY16" s="445" t="s">
        <v>944</v>
      </c>
    </row>
    <row r="17" spans="1:51" ht="93" customHeight="1">
      <c r="A17" s="121"/>
      <c r="B17" s="121"/>
      <c r="C17" s="121"/>
      <c r="D17" s="121"/>
      <c r="E17" s="450" t="s">
        <v>425</v>
      </c>
      <c r="F17" s="121"/>
      <c r="G17" s="242" t="s">
        <v>479</v>
      </c>
      <c r="H17" s="122" t="s">
        <v>843</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495"/>
      <c r="AC17" s="495">
        <v>1</v>
      </c>
      <c r="AD17" s="495"/>
      <c r="AE17" s="495"/>
      <c r="AF17" s="495"/>
      <c r="AG17" s="495">
        <v>1</v>
      </c>
      <c r="AH17" s="495"/>
      <c r="AI17" s="471"/>
      <c r="AJ17" s="471"/>
      <c r="AK17" s="470">
        <v>1</v>
      </c>
      <c r="AL17" s="471"/>
      <c r="AM17" s="471"/>
      <c r="AN17" s="471"/>
      <c r="AO17" s="495">
        <v>1</v>
      </c>
      <c r="AP17" s="124"/>
      <c r="AQ17" s="124"/>
      <c r="AR17" s="124"/>
      <c r="AS17" s="124"/>
      <c r="AT17" s="307">
        <f>AVERAGE(AH17:AS17)</f>
        <v>1</v>
      </c>
      <c r="AU17" s="127">
        <f t="shared" si="0"/>
        <v>1</v>
      </c>
      <c r="AV17" s="510" t="s">
        <v>945</v>
      </c>
      <c r="AW17" s="510" t="s">
        <v>945</v>
      </c>
      <c r="AX17" s="510" t="s">
        <v>945</v>
      </c>
      <c r="AY17" s="510" t="s">
        <v>945</v>
      </c>
    </row>
    <row r="18" spans="1:51" ht="309" customHeight="1">
      <c r="A18" s="1185"/>
      <c r="B18" s="1185"/>
      <c r="C18" s="1185"/>
      <c r="D18" s="1185"/>
      <c r="E18" s="1185" t="s">
        <v>425</v>
      </c>
      <c r="F18" s="1185"/>
      <c r="G18" s="1190" t="s">
        <v>479</v>
      </c>
      <c r="H18" s="1190" t="s">
        <v>843</v>
      </c>
      <c r="I18" s="1190" t="s">
        <v>494</v>
      </c>
      <c r="J18" s="1190" t="s">
        <v>765</v>
      </c>
      <c r="K18" s="1190" t="s">
        <v>453</v>
      </c>
      <c r="L18" s="1190"/>
      <c r="M18" s="1190" t="s">
        <v>431</v>
      </c>
      <c r="N18" s="1190" t="s">
        <v>495</v>
      </c>
      <c r="O18" s="1185"/>
      <c r="P18" s="1185"/>
      <c r="Q18" s="1185"/>
      <c r="R18" s="1176">
        <v>1</v>
      </c>
      <c r="S18" s="1185"/>
      <c r="T18" s="1185" t="s">
        <v>460</v>
      </c>
      <c r="U18" s="1190" t="s">
        <v>496</v>
      </c>
      <c r="V18" s="1054">
        <v>1</v>
      </c>
      <c r="W18" s="1054">
        <v>1</v>
      </c>
      <c r="X18" s="1054">
        <v>1</v>
      </c>
      <c r="Y18" s="1054">
        <v>1</v>
      </c>
      <c r="Z18" s="1054">
        <v>1</v>
      </c>
      <c r="AA18" s="1054">
        <v>1</v>
      </c>
      <c r="AB18" s="1188">
        <v>1</v>
      </c>
      <c r="AC18" s="1188">
        <v>1</v>
      </c>
      <c r="AD18" s="1188">
        <v>1</v>
      </c>
      <c r="AE18" s="1188">
        <v>1</v>
      </c>
      <c r="AF18" s="1188">
        <v>1</v>
      </c>
      <c r="AG18" s="1188">
        <v>1</v>
      </c>
      <c r="AH18" s="1188">
        <v>1</v>
      </c>
      <c r="AI18" s="1188">
        <v>1</v>
      </c>
      <c r="AJ18" s="1188">
        <v>1</v>
      </c>
      <c r="AK18" s="1188">
        <v>1</v>
      </c>
      <c r="AL18" s="1188">
        <v>1</v>
      </c>
      <c r="AM18" s="1188">
        <v>1</v>
      </c>
      <c r="AN18" s="1188">
        <v>1</v>
      </c>
      <c r="AO18" s="1188">
        <v>1</v>
      </c>
      <c r="AP18" s="1188">
        <v>1</v>
      </c>
      <c r="AQ18" s="1054"/>
      <c r="AR18" s="1054"/>
      <c r="AS18" s="1054"/>
      <c r="AT18" s="1192">
        <f>AVERAGE(AH18:AS18)</f>
        <v>1</v>
      </c>
      <c r="AU18" s="1176">
        <f t="shared" si="0"/>
        <v>1</v>
      </c>
      <c r="AV18" s="1194" t="s">
        <v>947</v>
      </c>
      <c r="AW18" s="1194" t="s">
        <v>946</v>
      </c>
      <c r="AX18" s="1041" t="s">
        <v>896</v>
      </c>
      <c r="AY18" s="1041" t="s">
        <v>450</v>
      </c>
    </row>
    <row r="19" spans="1:51" ht="350.25" customHeight="1">
      <c r="A19" s="1186"/>
      <c r="B19" s="1186"/>
      <c r="C19" s="1186"/>
      <c r="D19" s="1186"/>
      <c r="E19" s="1186"/>
      <c r="F19" s="1186"/>
      <c r="G19" s="1191"/>
      <c r="H19" s="1191"/>
      <c r="I19" s="1191"/>
      <c r="J19" s="1191"/>
      <c r="K19" s="1191"/>
      <c r="L19" s="1191"/>
      <c r="M19" s="1191"/>
      <c r="N19" s="1191"/>
      <c r="O19" s="1186"/>
      <c r="P19" s="1186"/>
      <c r="Q19" s="1186"/>
      <c r="R19" s="1177"/>
      <c r="S19" s="1186"/>
      <c r="T19" s="1186"/>
      <c r="U19" s="1191"/>
      <c r="V19" s="1187"/>
      <c r="W19" s="1187"/>
      <c r="X19" s="1187"/>
      <c r="Y19" s="1187"/>
      <c r="Z19" s="1187"/>
      <c r="AA19" s="1187"/>
      <c r="AB19" s="1189"/>
      <c r="AC19" s="1189"/>
      <c r="AD19" s="1189"/>
      <c r="AE19" s="1189"/>
      <c r="AF19" s="1189"/>
      <c r="AG19" s="1189"/>
      <c r="AH19" s="1189"/>
      <c r="AI19" s="1189"/>
      <c r="AJ19" s="1189"/>
      <c r="AK19" s="1189"/>
      <c r="AL19" s="1189"/>
      <c r="AM19" s="1189"/>
      <c r="AN19" s="1189"/>
      <c r="AO19" s="1189"/>
      <c r="AP19" s="1189"/>
      <c r="AQ19" s="1187"/>
      <c r="AR19" s="1187"/>
      <c r="AS19" s="1187"/>
      <c r="AT19" s="1193"/>
      <c r="AU19" s="1177"/>
      <c r="AV19" s="1195"/>
      <c r="AW19" s="1195"/>
      <c r="AX19" s="1042"/>
      <c r="AY19" s="1042"/>
    </row>
    <row r="20" spans="1:51" ht="54" customHeight="1">
      <c r="A20" s="809" t="s">
        <v>64</v>
      </c>
      <c r="B20" s="809"/>
      <c r="C20" s="809"/>
      <c r="D20" s="805" t="s">
        <v>66</v>
      </c>
      <c r="E20" s="805"/>
      <c r="F20" s="805"/>
      <c r="G20" s="805"/>
      <c r="H20" s="805"/>
      <c r="I20" s="805"/>
      <c r="J20" s="804" t="s">
        <v>300</v>
      </c>
      <c r="K20" s="804"/>
      <c r="L20" s="804"/>
      <c r="M20" s="804"/>
      <c r="N20" s="804"/>
      <c r="O20" s="804"/>
      <c r="P20" s="805" t="s">
        <v>66</v>
      </c>
      <c r="Q20" s="805"/>
      <c r="R20" s="805"/>
      <c r="S20" s="805"/>
      <c r="T20" s="805"/>
      <c r="U20" s="805"/>
      <c r="V20" s="805" t="s">
        <v>66</v>
      </c>
      <c r="W20" s="805"/>
      <c r="X20" s="805"/>
      <c r="Y20" s="805"/>
      <c r="Z20" s="805"/>
      <c r="AA20" s="805"/>
      <c r="AB20" s="805"/>
      <c r="AC20" s="805"/>
      <c r="AD20" s="805" t="s">
        <v>66</v>
      </c>
      <c r="AE20" s="805"/>
      <c r="AF20" s="805"/>
      <c r="AG20" s="805"/>
      <c r="AH20" s="805"/>
      <c r="AI20" s="805"/>
      <c r="AJ20" s="805"/>
      <c r="AK20" s="805"/>
      <c r="AL20" s="805"/>
      <c r="AM20" s="805"/>
      <c r="AN20" s="805"/>
      <c r="AO20" s="805"/>
      <c r="AP20" s="804" t="s">
        <v>318</v>
      </c>
      <c r="AQ20" s="804"/>
      <c r="AR20" s="804"/>
      <c r="AS20" s="804"/>
      <c r="AT20" s="805" t="s">
        <v>13</v>
      </c>
      <c r="AU20" s="805"/>
      <c r="AV20" s="805"/>
      <c r="AW20" s="805"/>
      <c r="AX20" s="805"/>
      <c r="AY20" s="805"/>
    </row>
    <row r="21" spans="1:51" ht="30" customHeight="1">
      <c r="A21" s="809"/>
      <c r="B21" s="809"/>
      <c r="C21" s="809"/>
      <c r="D21" s="805" t="s">
        <v>1030</v>
      </c>
      <c r="E21" s="805"/>
      <c r="F21" s="805"/>
      <c r="G21" s="805"/>
      <c r="H21" s="805"/>
      <c r="I21" s="805"/>
      <c r="J21" s="804"/>
      <c r="K21" s="804"/>
      <c r="L21" s="804"/>
      <c r="M21" s="804"/>
      <c r="N21" s="804"/>
      <c r="O21" s="804"/>
      <c r="P21" s="805" t="s">
        <v>771</v>
      </c>
      <c r="Q21" s="805"/>
      <c r="R21" s="805"/>
      <c r="S21" s="805"/>
      <c r="T21" s="805"/>
      <c r="U21" s="805"/>
      <c r="V21" s="805" t="s">
        <v>65</v>
      </c>
      <c r="W21" s="805"/>
      <c r="X21" s="805"/>
      <c r="Y21" s="805"/>
      <c r="Z21" s="805"/>
      <c r="AA21" s="805"/>
      <c r="AB21" s="805"/>
      <c r="AC21" s="805"/>
      <c r="AD21" s="805" t="s">
        <v>65</v>
      </c>
      <c r="AE21" s="805"/>
      <c r="AF21" s="805"/>
      <c r="AG21" s="805"/>
      <c r="AH21" s="805"/>
      <c r="AI21" s="805"/>
      <c r="AJ21" s="805"/>
      <c r="AK21" s="805"/>
      <c r="AL21" s="805"/>
      <c r="AM21" s="805"/>
      <c r="AN21" s="805"/>
      <c r="AO21" s="805"/>
      <c r="AP21" s="804"/>
      <c r="AQ21" s="804"/>
      <c r="AR21" s="804"/>
      <c r="AS21" s="804"/>
      <c r="AT21" s="805" t="s">
        <v>771</v>
      </c>
      <c r="AU21" s="805"/>
      <c r="AV21" s="805"/>
      <c r="AW21" s="805"/>
      <c r="AX21" s="805"/>
      <c r="AY21" s="805"/>
    </row>
    <row r="22" spans="1:51" ht="30" customHeight="1">
      <c r="A22" s="809"/>
      <c r="B22" s="809"/>
      <c r="C22" s="809"/>
      <c r="D22" s="805" t="s">
        <v>807</v>
      </c>
      <c r="E22" s="805"/>
      <c r="F22" s="805"/>
      <c r="G22" s="805"/>
      <c r="H22" s="805"/>
      <c r="I22" s="805"/>
      <c r="J22" s="804"/>
      <c r="K22" s="804"/>
      <c r="L22" s="804"/>
      <c r="M22" s="804"/>
      <c r="N22" s="804"/>
      <c r="O22" s="804"/>
      <c r="P22" s="805" t="s">
        <v>775</v>
      </c>
      <c r="Q22" s="805"/>
      <c r="R22" s="805"/>
      <c r="S22" s="805"/>
      <c r="T22" s="805"/>
      <c r="U22" s="805"/>
      <c r="V22" s="805" t="s">
        <v>297</v>
      </c>
      <c r="W22" s="805"/>
      <c r="X22" s="805"/>
      <c r="Y22" s="805"/>
      <c r="Z22" s="805"/>
      <c r="AA22" s="805"/>
      <c r="AB22" s="805"/>
      <c r="AC22" s="805"/>
      <c r="AD22" s="805" t="s">
        <v>297</v>
      </c>
      <c r="AE22" s="805"/>
      <c r="AF22" s="805"/>
      <c r="AG22" s="805"/>
      <c r="AH22" s="805"/>
      <c r="AI22" s="805"/>
      <c r="AJ22" s="805"/>
      <c r="AK22" s="805"/>
      <c r="AL22" s="805"/>
      <c r="AM22" s="805"/>
      <c r="AN22" s="805"/>
      <c r="AO22" s="805"/>
      <c r="AP22" s="804"/>
      <c r="AQ22" s="804"/>
      <c r="AR22" s="804"/>
      <c r="AS22" s="804"/>
      <c r="AT22" s="805" t="s">
        <v>75</v>
      </c>
      <c r="AU22" s="805"/>
      <c r="AV22" s="805"/>
      <c r="AW22" s="805"/>
      <c r="AX22" s="805"/>
      <c r="AY22" s="805"/>
    </row>
  </sheetData>
  <sheetProtection/>
  <mergeCells count="107">
    <mergeCell ref="AD22:AO22"/>
    <mergeCell ref="AT22:AY22"/>
    <mergeCell ref="AT20:AY20"/>
    <mergeCell ref="D21:I21"/>
    <mergeCell ref="P21:U21"/>
    <mergeCell ref="V21:AC21"/>
    <mergeCell ref="AD21:AO21"/>
    <mergeCell ref="AT21:AY21"/>
    <mergeCell ref="AP20:AS22"/>
    <mergeCell ref="P22:U22"/>
    <mergeCell ref="V11:AG11"/>
    <mergeCell ref="AH11:AS11"/>
    <mergeCell ref="AT11:AU11"/>
    <mergeCell ref="A20:C22"/>
    <mergeCell ref="D20:I20"/>
    <mergeCell ref="J20:O22"/>
    <mergeCell ref="P20:U20"/>
    <mergeCell ref="V20:AC20"/>
    <mergeCell ref="AD20:AO20"/>
    <mergeCell ref="D22:I22"/>
    <mergeCell ref="M11:M12"/>
    <mergeCell ref="N11:N12"/>
    <mergeCell ref="O11:S11"/>
    <mergeCell ref="T11:T12"/>
    <mergeCell ref="U11:U12"/>
    <mergeCell ref="L11:L12"/>
    <mergeCell ref="V22:AC22"/>
    <mergeCell ref="H8:I8"/>
    <mergeCell ref="A9:C9"/>
    <mergeCell ref="D9:AG9"/>
    <mergeCell ref="A10:C10"/>
    <mergeCell ref="D10:AG10"/>
    <mergeCell ref="A11:F11"/>
    <mergeCell ref="G11:H11"/>
    <mergeCell ref="I11:I12"/>
    <mergeCell ref="J11:J12"/>
    <mergeCell ref="K11:K12"/>
    <mergeCell ref="AV5:AV12"/>
    <mergeCell ref="AW5:AW12"/>
    <mergeCell ref="AX5:AX12"/>
    <mergeCell ref="AY5:AY12"/>
    <mergeCell ref="A6:C8"/>
    <mergeCell ref="D6:E8"/>
    <mergeCell ref="F6:G8"/>
    <mergeCell ref="H6:I6"/>
    <mergeCell ref="K6:U8"/>
    <mergeCell ref="AH5:AU10"/>
    <mergeCell ref="H7:I7"/>
    <mergeCell ref="A1:AW1"/>
    <mergeCell ref="AX1:AY1"/>
    <mergeCell ref="A2:AW2"/>
    <mergeCell ref="AX2:AY2"/>
    <mergeCell ref="A3:AW4"/>
    <mergeCell ref="AX3:AY3"/>
    <mergeCell ref="AX4:AY4"/>
    <mergeCell ref="A5:AG5"/>
    <mergeCell ref="AV18:AV19"/>
    <mergeCell ref="AW18:AW19"/>
    <mergeCell ref="AX18:AX19"/>
    <mergeCell ref="AY18:AY19"/>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AU18:AU19"/>
    <mergeCell ref="AT18:AT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S18:AS19"/>
    <mergeCell ref="AM18:AM19"/>
    <mergeCell ref="AN18:AN19"/>
    <mergeCell ref="AO18:AO19"/>
    <mergeCell ref="AP18:AP19"/>
    <mergeCell ref="AQ18:AQ19"/>
    <mergeCell ref="AR18:AR19"/>
  </mergeCells>
  <printOptions/>
  <pageMargins left="0.7" right="0.7" top="0.75" bottom="0.75" header="0.3" footer="0.3"/>
  <pageSetup fitToHeight="0" fitToWidth="1" horizontalDpi="600" verticalDpi="600" orientation="landscape" scale="14"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A1:AY19"/>
  <sheetViews>
    <sheetView view="pageBreakPreview" zoomScale="61" zoomScaleNormal="61" zoomScaleSheetLayoutView="61" zoomScalePageLayoutView="0" workbookViewId="0" topLeftCell="AG15">
      <selection activeCell="AV13" sqref="AV13"/>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7109375" style="113" customWidth="1"/>
    <col min="46" max="46" width="18.28125" style="113" customWidth="1"/>
    <col min="47" max="47" width="12.57421875" style="217" customWidth="1"/>
    <col min="48" max="49" width="62.140625" style="113" customWidth="1"/>
    <col min="50" max="50" width="26.7109375" style="113" customWidth="1"/>
    <col min="51" max="51" width="30.28125" style="113" customWidth="1"/>
    <col min="52" max="16384" width="10.8515625" style="113" customWidth="1"/>
  </cols>
  <sheetData>
    <row r="1" spans="1:51" ht="15.75" customHeight="1">
      <c r="A1" s="842" t="s">
        <v>16</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1130" t="s">
        <v>423</v>
      </c>
      <c r="AY1" s="1131"/>
    </row>
    <row r="2" spans="1:51" ht="15.75" customHeight="1">
      <c r="A2" s="842" t="s">
        <v>17</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1133" t="s">
        <v>418</v>
      </c>
      <c r="AY2" s="1134"/>
    </row>
    <row r="3" spans="1:51" ht="15" customHeight="1">
      <c r="A3" s="842" t="s">
        <v>195</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842"/>
      <c r="AT3" s="842"/>
      <c r="AU3" s="842"/>
      <c r="AV3" s="842"/>
      <c r="AW3" s="842"/>
      <c r="AX3" s="1133" t="s">
        <v>424</v>
      </c>
      <c r="AY3" s="1134"/>
    </row>
    <row r="4" spans="1:51" ht="15.75" customHeight="1">
      <c r="A4" s="842"/>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18" t="s">
        <v>784</v>
      </c>
      <c r="AY4" s="818"/>
    </row>
    <row r="5" spans="1:51" ht="15" customHeight="1">
      <c r="A5" s="787" t="s">
        <v>174</v>
      </c>
      <c r="B5" s="787"/>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t="s">
        <v>69</v>
      </c>
      <c r="AI5" s="787"/>
      <c r="AJ5" s="787"/>
      <c r="AK5" s="787"/>
      <c r="AL5" s="787"/>
      <c r="AM5" s="787"/>
      <c r="AN5" s="787"/>
      <c r="AO5" s="787"/>
      <c r="AP5" s="787"/>
      <c r="AQ5" s="787"/>
      <c r="AR5" s="787"/>
      <c r="AS5" s="787"/>
      <c r="AT5" s="787"/>
      <c r="AU5" s="787"/>
      <c r="AV5" s="1196" t="s">
        <v>409</v>
      </c>
      <c r="AW5" s="1196" t="s">
        <v>410</v>
      </c>
      <c r="AX5" s="781" t="s">
        <v>298</v>
      </c>
      <c r="AY5" s="781" t="s">
        <v>299</v>
      </c>
    </row>
    <row r="6" spans="1:51" ht="15" customHeight="1">
      <c r="A6" s="787" t="s">
        <v>71</v>
      </c>
      <c r="B6" s="787"/>
      <c r="C6" s="787"/>
      <c r="D6" s="1143">
        <v>45205</v>
      </c>
      <c r="E6" s="788"/>
      <c r="F6" s="838" t="s">
        <v>67</v>
      </c>
      <c r="G6" s="838"/>
      <c r="H6" s="1197" t="s">
        <v>70</v>
      </c>
      <c r="I6" s="1197"/>
      <c r="J6" s="325"/>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c r="AM6" s="787"/>
      <c r="AN6" s="787"/>
      <c r="AO6" s="787"/>
      <c r="AP6" s="787"/>
      <c r="AQ6" s="787"/>
      <c r="AR6" s="787"/>
      <c r="AS6" s="787"/>
      <c r="AT6" s="787"/>
      <c r="AU6" s="787"/>
      <c r="AV6" s="1196"/>
      <c r="AW6" s="1196"/>
      <c r="AX6" s="782"/>
      <c r="AY6" s="782"/>
    </row>
    <row r="7" spans="1:51" ht="15" customHeight="1">
      <c r="A7" s="787"/>
      <c r="B7" s="787"/>
      <c r="C7" s="787"/>
      <c r="D7" s="788"/>
      <c r="E7" s="788"/>
      <c r="F7" s="838"/>
      <c r="G7" s="838"/>
      <c r="H7" s="1197" t="s">
        <v>68</v>
      </c>
      <c r="I7" s="1197"/>
      <c r="J7" s="325"/>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1196"/>
      <c r="AW7" s="1196"/>
      <c r="AX7" s="782"/>
      <c r="AY7" s="782"/>
    </row>
    <row r="8" spans="1:51" ht="15" customHeight="1">
      <c r="A8" s="787"/>
      <c r="B8" s="787"/>
      <c r="C8" s="787"/>
      <c r="D8" s="788"/>
      <c r="E8" s="788"/>
      <c r="F8" s="838"/>
      <c r="G8" s="838"/>
      <c r="H8" s="1197" t="s">
        <v>69</v>
      </c>
      <c r="I8" s="1197"/>
      <c r="J8" s="325" t="s">
        <v>425</v>
      </c>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1196"/>
      <c r="AW8" s="1196"/>
      <c r="AX8" s="782"/>
      <c r="AY8" s="782"/>
    </row>
    <row r="9" spans="1:51" ht="15" customHeight="1">
      <c r="A9" s="1198" t="s">
        <v>399</v>
      </c>
      <c r="B9" s="1198"/>
      <c r="C9" s="1198"/>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787"/>
      <c r="AI9" s="787"/>
      <c r="AJ9" s="787"/>
      <c r="AK9" s="787"/>
      <c r="AL9" s="787"/>
      <c r="AM9" s="787"/>
      <c r="AN9" s="787"/>
      <c r="AO9" s="787"/>
      <c r="AP9" s="787"/>
      <c r="AQ9" s="787"/>
      <c r="AR9" s="787"/>
      <c r="AS9" s="787"/>
      <c r="AT9" s="787"/>
      <c r="AU9" s="787"/>
      <c r="AV9" s="1196"/>
      <c r="AW9" s="1196"/>
      <c r="AX9" s="782"/>
      <c r="AY9" s="782"/>
    </row>
    <row r="10" spans="1:51" ht="15" customHeight="1">
      <c r="A10" s="1198" t="s">
        <v>287</v>
      </c>
      <c r="B10" s="1198"/>
      <c r="C10" s="1198"/>
      <c r="D10" s="1199" t="s">
        <v>500</v>
      </c>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c r="AG10" s="1199"/>
      <c r="AH10" s="787"/>
      <c r="AI10" s="787"/>
      <c r="AJ10" s="787"/>
      <c r="AK10" s="787"/>
      <c r="AL10" s="787"/>
      <c r="AM10" s="787"/>
      <c r="AN10" s="787"/>
      <c r="AO10" s="787"/>
      <c r="AP10" s="787"/>
      <c r="AQ10" s="787"/>
      <c r="AR10" s="787"/>
      <c r="AS10" s="787"/>
      <c r="AT10" s="787"/>
      <c r="AU10" s="787"/>
      <c r="AV10" s="1196"/>
      <c r="AW10" s="1196"/>
      <c r="AX10" s="782"/>
      <c r="AY10" s="782"/>
    </row>
    <row r="11" spans="1:51" ht="39.75" customHeight="1">
      <c r="A11" s="1196" t="s">
        <v>168</v>
      </c>
      <c r="B11" s="1196"/>
      <c r="C11" s="1196"/>
      <c r="D11" s="1196"/>
      <c r="E11" s="1196"/>
      <c r="F11" s="1196"/>
      <c r="G11" s="1196" t="s">
        <v>278</v>
      </c>
      <c r="H11" s="1196"/>
      <c r="I11" s="1196" t="s">
        <v>179</v>
      </c>
      <c r="J11" s="1196" t="s">
        <v>279</v>
      </c>
      <c r="K11" s="1196" t="s">
        <v>323</v>
      </c>
      <c r="L11" s="1196" t="s">
        <v>363</v>
      </c>
      <c r="M11" s="1196" t="s">
        <v>167</v>
      </c>
      <c r="N11" s="1196" t="s">
        <v>182</v>
      </c>
      <c r="O11" s="1196" t="s">
        <v>284</v>
      </c>
      <c r="P11" s="1196"/>
      <c r="Q11" s="1196"/>
      <c r="R11" s="1196"/>
      <c r="S11" s="1196"/>
      <c r="T11" s="1196" t="s">
        <v>173</v>
      </c>
      <c r="U11" s="1196" t="s">
        <v>285</v>
      </c>
      <c r="V11" s="787" t="s">
        <v>370</v>
      </c>
      <c r="W11" s="787"/>
      <c r="X11" s="787"/>
      <c r="Y11" s="787"/>
      <c r="Z11" s="787"/>
      <c r="AA11" s="787"/>
      <c r="AB11" s="787"/>
      <c r="AC11" s="787"/>
      <c r="AD11" s="787"/>
      <c r="AE11" s="787"/>
      <c r="AF11" s="787"/>
      <c r="AG11" s="787"/>
      <c r="AH11" s="787" t="s">
        <v>87</v>
      </c>
      <c r="AI11" s="787"/>
      <c r="AJ11" s="787"/>
      <c r="AK11" s="787"/>
      <c r="AL11" s="787"/>
      <c r="AM11" s="787"/>
      <c r="AN11" s="787"/>
      <c r="AO11" s="787"/>
      <c r="AP11" s="787"/>
      <c r="AQ11" s="787"/>
      <c r="AR11" s="787"/>
      <c r="AS11" s="787"/>
      <c r="AT11" s="1196" t="s">
        <v>8</v>
      </c>
      <c r="AU11" s="1196"/>
      <c r="AV11" s="1196"/>
      <c r="AW11" s="1196"/>
      <c r="AX11" s="782"/>
      <c r="AY11" s="782"/>
    </row>
    <row r="12" spans="1:51" ht="42.75">
      <c r="A12" s="488" t="s">
        <v>169</v>
      </c>
      <c r="B12" s="488" t="s">
        <v>170</v>
      </c>
      <c r="C12" s="488" t="s">
        <v>171</v>
      </c>
      <c r="D12" s="488" t="s">
        <v>178</v>
      </c>
      <c r="E12" s="488" t="s">
        <v>185</v>
      </c>
      <c r="F12" s="488" t="s">
        <v>186</v>
      </c>
      <c r="G12" s="488" t="s">
        <v>277</v>
      </c>
      <c r="H12" s="488" t="s">
        <v>184</v>
      </c>
      <c r="I12" s="1196"/>
      <c r="J12" s="1196"/>
      <c r="K12" s="1196"/>
      <c r="L12" s="1196"/>
      <c r="M12" s="1196"/>
      <c r="N12" s="1196"/>
      <c r="O12" s="488">
        <v>2020</v>
      </c>
      <c r="P12" s="488">
        <v>2021</v>
      </c>
      <c r="Q12" s="488">
        <v>2022</v>
      </c>
      <c r="R12" s="488">
        <v>2023</v>
      </c>
      <c r="S12" s="488">
        <v>2024</v>
      </c>
      <c r="T12" s="1196"/>
      <c r="U12" s="1196"/>
      <c r="V12" s="446" t="s">
        <v>39</v>
      </c>
      <c r="W12" s="446" t="s">
        <v>40</v>
      </c>
      <c r="X12" s="446" t="s">
        <v>41</v>
      </c>
      <c r="Y12" s="446" t="s">
        <v>42</v>
      </c>
      <c r="Z12" s="446" t="s">
        <v>43</v>
      </c>
      <c r="AA12" s="446" t="s">
        <v>44</v>
      </c>
      <c r="AB12" s="446" t="s">
        <v>45</v>
      </c>
      <c r="AC12" s="446" t="s">
        <v>46</v>
      </c>
      <c r="AD12" s="446" t="s">
        <v>47</v>
      </c>
      <c r="AE12" s="446" t="s">
        <v>48</v>
      </c>
      <c r="AF12" s="446" t="s">
        <v>49</v>
      </c>
      <c r="AG12" s="446" t="s">
        <v>50</v>
      </c>
      <c r="AH12" s="446" t="s">
        <v>39</v>
      </c>
      <c r="AI12" s="446" t="s">
        <v>40</v>
      </c>
      <c r="AJ12" s="446" t="s">
        <v>41</v>
      </c>
      <c r="AK12" s="446" t="s">
        <v>42</v>
      </c>
      <c r="AL12" s="446" t="s">
        <v>43</v>
      </c>
      <c r="AM12" s="446" t="s">
        <v>44</v>
      </c>
      <c r="AN12" s="446" t="s">
        <v>45</v>
      </c>
      <c r="AO12" s="446" t="s">
        <v>46</v>
      </c>
      <c r="AP12" s="446" t="s">
        <v>47</v>
      </c>
      <c r="AQ12" s="446" t="s">
        <v>48</v>
      </c>
      <c r="AR12" s="446" t="s">
        <v>49</v>
      </c>
      <c r="AS12" s="446" t="s">
        <v>50</v>
      </c>
      <c r="AT12" s="488" t="s">
        <v>413</v>
      </c>
      <c r="AU12" s="216" t="s">
        <v>88</v>
      </c>
      <c r="AV12" s="1196"/>
      <c r="AW12" s="1196"/>
      <c r="AX12" s="783"/>
      <c r="AY12" s="783"/>
    </row>
    <row r="13" spans="2:51" ht="137.25" customHeight="1">
      <c r="B13" s="459"/>
      <c r="C13" s="459"/>
      <c r="D13" s="459"/>
      <c r="E13" s="459" t="s">
        <v>425</v>
      </c>
      <c r="F13" s="459"/>
      <c r="G13" s="460" t="s">
        <v>501</v>
      </c>
      <c r="H13" s="459" t="s">
        <v>450</v>
      </c>
      <c r="I13" s="460" t="s">
        <v>502</v>
      </c>
      <c r="J13" s="460" t="s">
        <v>503</v>
      </c>
      <c r="K13" s="232" t="s">
        <v>430</v>
      </c>
      <c r="L13" s="124" t="s">
        <v>450</v>
      </c>
      <c r="M13" s="124" t="s">
        <v>504</v>
      </c>
      <c r="N13" s="460" t="s">
        <v>505</v>
      </c>
      <c r="O13" s="123"/>
      <c r="P13" s="123"/>
      <c r="Q13" s="123"/>
      <c r="R13" s="461">
        <v>1</v>
      </c>
      <c r="S13" s="123"/>
      <c r="T13" s="459" t="s">
        <v>433</v>
      </c>
      <c r="U13" s="460" t="s">
        <v>506</v>
      </c>
      <c r="V13" s="124"/>
      <c r="W13" s="319"/>
      <c r="X13" s="498">
        <v>0</v>
      </c>
      <c r="Y13" s="319"/>
      <c r="Z13" s="319"/>
      <c r="AA13" s="498">
        <v>0.33</v>
      </c>
      <c r="AB13" s="319"/>
      <c r="AC13" s="319"/>
      <c r="AD13" s="498">
        <v>0.5</v>
      </c>
      <c r="AE13" s="319"/>
      <c r="AF13" s="319"/>
      <c r="AG13" s="498">
        <v>0.17</v>
      </c>
      <c r="AH13" s="319"/>
      <c r="AI13" s="319"/>
      <c r="AJ13" s="498">
        <v>0</v>
      </c>
      <c r="AK13" s="319"/>
      <c r="AL13" s="319"/>
      <c r="AM13" s="499">
        <v>0.33</v>
      </c>
      <c r="AN13" s="319"/>
      <c r="AO13" s="319"/>
      <c r="AP13" s="498">
        <v>0.5</v>
      </c>
      <c r="AQ13" s="319"/>
      <c r="AR13" s="319"/>
      <c r="AS13" s="319"/>
      <c r="AT13" s="499">
        <f>SUM(AH13:AS13)</f>
        <v>0.8300000000000001</v>
      </c>
      <c r="AU13" s="500">
        <f>+AT13/R13</f>
        <v>0.8300000000000001</v>
      </c>
      <c r="AV13" s="533" t="s">
        <v>948</v>
      </c>
      <c r="AW13" s="533" t="s">
        <v>949</v>
      </c>
      <c r="AX13" s="412" t="s">
        <v>450</v>
      </c>
      <c r="AY13" s="412" t="s">
        <v>450</v>
      </c>
    </row>
    <row r="14" spans="1:51" ht="109.5" customHeight="1">
      <c r="A14" s="459"/>
      <c r="B14" s="459"/>
      <c r="C14" s="459"/>
      <c r="D14" s="459"/>
      <c r="E14" s="459" t="s">
        <v>425</v>
      </c>
      <c r="F14" s="459"/>
      <c r="G14" s="460" t="s">
        <v>501</v>
      </c>
      <c r="H14" s="459" t="s">
        <v>450</v>
      </c>
      <c r="I14" s="460" t="s">
        <v>507</v>
      </c>
      <c r="J14" s="460" t="s">
        <v>508</v>
      </c>
      <c r="K14" s="232" t="s">
        <v>430</v>
      </c>
      <c r="L14" s="124" t="s">
        <v>450</v>
      </c>
      <c r="M14" s="124" t="s">
        <v>504</v>
      </c>
      <c r="N14" s="460" t="s">
        <v>509</v>
      </c>
      <c r="O14" s="124"/>
      <c r="P14" s="124"/>
      <c r="Q14" s="124"/>
      <c r="R14" s="461">
        <v>1</v>
      </c>
      <c r="S14" s="124"/>
      <c r="T14" s="459" t="s">
        <v>433</v>
      </c>
      <c r="U14" s="460" t="s">
        <v>510</v>
      </c>
      <c r="V14" s="124"/>
      <c r="W14" s="319"/>
      <c r="X14" s="498">
        <v>0</v>
      </c>
      <c r="Y14" s="319"/>
      <c r="Z14" s="319"/>
      <c r="AA14" s="498">
        <v>0.2</v>
      </c>
      <c r="AB14" s="319"/>
      <c r="AC14" s="319"/>
      <c r="AD14" s="498">
        <v>0.13</v>
      </c>
      <c r="AE14" s="319"/>
      <c r="AF14" s="319"/>
      <c r="AG14" s="498">
        <v>0.67</v>
      </c>
      <c r="AH14" s="319"/>
      <c r="AI14" s="319"/>
      <c r="AJ14" s="498">
        <v>0</v>
      </c>
      <c r="AK14" s="319"/>
      <c r="AL14" s="319"/>
      <c r="AM14" s="499">
        <v>0.2</v>
      </c>
      <c r="AN14" s="319"/>
      <c r="AO14" s="319"/>
      <c r="AP14" s="498">
        <v>0.13</v>
      </c>
      <c r="AQ14" s="319"/>
      <c r="AR14" s="319"/>
      <c r="AS14" s="319"/>
      <c r="AT14" s="499">
        <f>SUM(AH14:AS14)</f>
        <v>0.33</v>
      </c>
      <c r="AU14" s="500">
        <f>+AT14/R14</f>
        <v>0.33</v>
      </c>
      <c r="AV14" s="534" t="s">
        <v>950</v>
      </c>
      <c r="AW14" s="535" t="s">
        <v>951</v>
      </c>
      <c r="AX14" s="412" t="s">
        <v>450</v>
      </c>
      <c r="AY14" s="412" t="s">
        <v>450</v>
      </c>
    </row>
    <row r="15" spans="1:51" ht="151.5" customHeight="1">
      <c r="A15" s="459"/>
      <c r="B15" s="459"/>
      <c r="C15" s="459"/>
      <c r="D15" s="459"/>
      <c r="E15" s="459" t="s">
        <v>425</v>
      </c>
      <c r="F15" s="459"/>
      <c r="G15" s="460" t="s">
        <v>501</v>
      </c>
      <c r="H15" s="459" t="s">
        <v>450</v>
      </c>
      <c r="I15" s="460" t="s">
        <v>511</v>
      </c>
      <c r="J15" s="460" t="s">
        <v>512</v>
      </c>
      <c r="K15" s="232" t="s">
        <v>430</v>
      </c>
      <c r="L15" s="459" t="s">
        <v>450</v>
      </c>
      <c r="M15" s="459" t="s">
        <v>504</v>
      </c>
      <c r="N15" s="460" t="s">
        <v>513</v>
      </c>
      <c r="O15" s="459"/>
      <c r="P15" s="459"/>
      <c r="Q15" s="459"/>
      <c r="R15" s="461">
        <v>1</v>
      </c>
      <c r="S15" s="459"/>
      <c r="T15" s="459" t="s">
        <v>433</v>
      </c>
      <c r="U15" s="460" t="s">
        <v>514</v>
      </c>
      <c r="V15" s="459"/>
      <c r="W15" s="325"/>
      <c r="X15" s="499">
        <v>0.5</v>
      </c>
      <c r="Y15" s="325"/>
      <c r="Z15" s="325"/>
      <c r="AA15" s="499">
        <v>0.11</v>
      </c>
      <c r="AB15" s="325"/>
      <c r="AC15" s="325"/>
      <c r="AD15" s="499">
        <v>0.25</v>
      </c>
      <c r="AE15" s="325"/>
      <c r="AF15" s="325"/>
      <c r="AG15" s="499">
        <v>0.14</v>
      </c>
      <c r="AH15" s="325"/>
      <c r="AI15" s="325"/>
      <c r="AJ15" s="499">
        <v>0.46</v>
      </c>
      <c r="AK15" s="325"/>
      <c r="AL15" s="325"/>
      <c r="AM15" s="499">
        <v>0.15</v>
      </c>
      <c r="AN15" s="325"/>
      <c r="AO15" s="325"/>
      <c r="AP15" s="499">
        <v>0.25</v>
      </c>
      <c r="AQ15" s="325"/>
      <c r="AR15" s="325"/>
      <c r="AS15" s="325"/>
      <c r="AT15" s="499">
        <f>SUM(AH15:AS15)</f>
        <v>0.86</v>
      </c>
      <c r="AU15" s="500">
        <f>+AT15/R15</f>
        <v>0.86</v>
      </c>
      <c r="AV15" s="534" t="s">
        <v>952</v>
      </c>
      <c r="AW15" s="535" t="s">
        <v>953</v>
      </c>
      <c r="AX15" s="412" t="s">
        <v>450</v>
      </c>
      <c r="AY15" s="412" t="s">
        <v>450</v>
      </c>
    </row>
    <row r="16" spans="1:51" ht="259.5" customHeight="1">
      <c r="A16" s="459"/>
      <c r="B16" s="459"/>
      <c r="C16" s="459"/>
      <c r="D16" s="459"/>
      <c r="E16" s="459" t="s">
        <v>425</v>
      </c>
      <c r="F16" s="459"/>
      <c r="G16" s="460" t="s">
        <v>501</v>
      </c>
      <c r="H16" s="459" t="s">
        <v>450</v>
      </c>
      <c r="I16" s="460" t="s">
        <v>515</v>
      </c>
      <c r="J16" s="460" t="s">
        <v>516</v>
      </c>
      <c r="K16" s="232" t="s">
        <v>430</v>
      </c>
      <c r="L16" s="124" t="s">
        <v>450</v>
      </c>
      <c r="M16" s="124" t="s">
        <v>504</v>
      </c>
      <c r="N16" s="460" t="s">
        <v>517</v>
      </c>
      <c r="O16" s="124"/>
      <c r="P16" s="124"/>
      <c r="Q16" s="124"/>
      <c r="R16" s="461">
        <v>1</v>
      </c>
      <c r="S16" s="124"/>
      <c r="T16" s="459" t="s">
        <v>433</v>
      </c>
      <c r="U16" s="460" t="s">
        <v>518</v>
      </c>
      <c r="V16" s="464"/>
      <c r="W16" s="444"/>
      <c r="X16" s="498">
        <v>0.18</v>
      </c>
      <c r="Y16" s="382"/>
      <c r="Z16" s="382"/>
      <c r="AA16" s="498">
        <v>0.27</v>
      </c>
      <c r="AB16" s="382"/>
      <c r="AC16" s="382"/>
      <c r="AD16" s="498">
        <v>0.27</v>
      </c>
      <c r="AE16" s="382"/>
      <c r="AF16" s="382"/>
      <c r="AG16" s="498">
        <v>0.28</v>
      </c>
      <c r="AH16" s="319"/>
      <c r="AI16" s="319"/>
      <c r="AJ16" s="498">
        <v>0.18</v>
      </c>
      <c r="AK16" s="319"/>
      <c r="AL16" s="319"/>
      <c r="AM16" s="499">
        <v>0.27</v>
      </c>
      <c r="AN16" s="319"/>
      <c r="AO16" s="319"/>
      <c r="AP16" s="498">
        <v>0.27</v>
      </c>
      <c r="AQ16" s="319"/>
      <c r="AR16" s="319"/>
      <c r="AS16" s="319"/>
      <c r="AT16" s="499">
        <f>SUM(AH16:AS16)</f>
        <v>0.72</v>
      </c>
      <c r="AU16" s="500">
        <f>+AT16/R16</f>
        <v>0.72</v>
      </c>
      <c r="AV16" s="534" t="s">
        <v>954</v>
      </c>
      <c r="AW16" s="534" t="s">
        <v>955</v>
      </c>
      <c r="AX16" s="412" t="s">
        <v>450</v>
      </c>
      <c r="AY16" s="412" t="s">
        <v>450</v>
      </c>
    </row>
    <row r="17" spans="1:51" ht="54" customHeight="1">
      <c r="A17" s="809" t="s">
        <v>64</v>
      </c>
      <c r="B17" s="809"/>
      <c r="C17" s="809"/>
      <c r="D17" s="805" t="s">
        <v>640</v>
      </c>
      <c r="E17" s="805"/>
      <c r="F17" s="805"/>
      <c r="G17" s="805"/>
      <c r="H17" s="805"/>
      <c r="I17" s="805"/>
      <c r="J17" s="804" t="s">
        <v>300</v>
      </c>
      <c r="K17" s="804"/>
      <c r="L17" s="804"/>
      <c r="M17" s="804"/>
      <c r="N17" s="804"/>
      <c r="O17" s="804"/>
      <c r="P17" s="805" t="s">
        <v>66</v>
      </c>
      <c r="Q17" s="805"/>
      <c r="R17" s="805"/>
      <c r="S17" s="805"/>
      <c r="T17" s="805"/>
      <c r="U17" s="805"/>
      <c r="V17" s="805" t="s">
        <v>66</v>
      </c>
      <c r="W17" s="805"/>
      <c r="X17" s="805"/>
      <c r="Y17" s="805"/>
      <c r="Z17" s="805"/>
      <c r="AA17" s="805"/>
      <c r="AB17" s="805"/>
      <c r="AC17" s="805"/>
      <c r="AD17" s="805" t="s">
        <v>66</v>
      </c>
      <c r="AE17" s="805"/>
      <c r="AF17" s="805"/>
      <c r="AG17" s="805"/>
      <c r="AH17" s="805"/>
      <c r="AI17" s="805"/>
      <c r="AJ17" s="805"/>
      <c r="AK17" s="805"/>
      <c r="AL17" s="805"/>
      <c r="AM17" s="1200"/>
      <c r="AN17" s="805"/>
      <c r="AO17" s="805"/>
      <c r="AP17" s="804" t="s">
        <v>318</v>
      </c>
      <c r="AQ17" s="804"/>
      <c r="AR17" s="804"/>
      <c r="AS17" s="804"/>
      <c r="AT17" s="805" t="s">
        <v>13</v>
      </c>
      <c r="AU17" s="805"/>
      <c r="AV17" s="805"/>
      <c r="AW17" s="805"/>
      <c r="AX17" s="805"/>
      <c r="AY17" s="805"/>
    </row>
    <row r="18" spans="1:51" ht="30" customHeight="1">
      <c r="A18" s="809"/>
      <c r="B18" s="809"/>
      <c r="C18" s="809"/>
      <c r="D18" s="805" t="s">
        <v>794</v>
      </c>
      <c r="E18" s="805"/>
      <c r="F18" s="805"/>
      <c r="G18" s="805"/>
      <c r="H18" s="805"/>
      <c r="I18" s="805"/>
      <c r="J18" s="804"/>
      <c r="K18" s="804"/>
      <c r="L18" s="804"/>
      <c r="M18" s="804"/>
      <c r="N18" s="804"/>
      <c r="O18" s="804"/>
      <c r="P18" s="805" t="s">
        <v>794</v>
      </c>
      <c r="Q18" s="805"/>
      <c r="R18" s="805"/>
      <c r="S18" s="805"/>
      <c r="T18" s="805"/>
      <c r="U18" s="805"/>
      <c r="V18" s="805" t="s">
        <v>65</v>
      </c>
      <c r="W18" s="805"/>
      <c r="X18" s="805"/>
      <c r="Y18" s="805"/>
      <c r="Z18" s="805"/>
      <c r="AA18" s="805"/>
      <c r="AB18" s="805"/>
      <c r="AC18" s="805"/>
      <c r="AD18" s="805" t="s">
        <v>65</v>
      </c>
      <c r="AE18" s="805"/>
      <c r="AF18" s="805"/>
      <c r="AG18" s="805"/>
      <c r="AH18" s="805"/>
      <c r="AI18" s="805"/>
      <c r="AJ18" s="805"/>
      <c r="AK18" s="805"/>
      <c r="AL18" s="805"/>
      <c r="AM18" s="805"/>
      <c r="AN18" s="805"/>
      <c r="AO18" s="805"/>
      <c r="AP18" s="804"/>
      <c r="AQ18" s="804"/>
      <c r="AR18" s="804"/>
      <c r="AS18" s="804"/>
      <c r="AT18" s="805" t="s">
        <v>771</v>
      </c>
      <c r="AU18" s="805"/>
      <c r="AV18" s="805"/>
      <c r="AW18" s="805"/>
      <c r="AX18" s="805"/>
      <c r="AY18" s="805"/>
    </row>
    <row r="19" spans="1:51" ht="30" customHeight="1">
      <c r="A19" s="809"/>
      <c r="B19" s="809"/>
      <c r="C19" s="809"/>
      <c r="D19" s="805" t="s">
        <v>795</v>
      </c>
      <c r="E19" s="805"/>
      <c r="F19" s="805"/>
      <c r="G19" s="805"/>
      <c r="H19" s="805"/>
      <c r="I19" s="805"/>
      <c r="J19" s="804"/>
      <c r="K19" s="804"/>
      <c r="L19" s="804"/>
      <c r="M19" s="804"/>
      <c r="N19" s="804"/>
      <c r="O19" s="804"/>
      <c r="P19" s="805" t="s">
        <v>795</v>
      </c>
      <c r="Q19" s="805"/>
      <c r="R19" s="805"/>
      <c r="S19" s="805"/>
      <c r="T19" s="805"/>
      <c r="U19" s="805"/>
      <c r="V19" s="805" t="s">
        <v>297</v>
      </c>
      <c r="W19" s="805"/>
      <c r="X19" s="805"/>
      <c r="Y19" s="805"/>
      <c r="Z19" s="805"/>
      <c r="AA19" s="805"/>
      <c r="AB19" s="805"/>
      <c r="AC19" s="805"/>
      <c r="AD19" s="805" t="s">
        <v>297</v>
      </c>
      <c r="AE19" s="805"/>
      <c r="AF19" s="805"/>
      <c r="AG19" s="805"/>
      <c r="AH19" s="805"/>
      <c r="AI19" s="805"/>
      <c r="AJ19" s="805"/>
      <c r="AK19" s="805"/>
      <c r="AL19" s="805"/>
      <c r="AM19" s="805"/>
      <c r="AN19" s="805"/>
      <c r="AO19" s="805"/>
      <c r="AP19" s="804"/>
      <c r="AQ19" s="804"/>
      <c r="AR19" s="804"/>
      <c r="AS19" s="804"/>
      <c r="AT19" s="805" t="s">
        <v>75</v>
      </c>
      <c r="AU19" s="805"/>
      <c r="AV19" s="805"/>
      <c r="AW19" s="805"/>
      <c r="AX19" s="805"/>
      <c r="AY19" s="805"/>
    </row>
  </sheetData>
  <sheetProtection/>
  <mergeCells count="56">
    <mergeCell ref="D18:I18"/>
    <mergeCell ref="P18:U18"/>
    <mergeCell ref="V18:AC18"/>
    <mergeCell ref="AD18:AO18"/>
    <mergeCell ref="AT18:AY18"/>
    <mergeCell ref="D19:I19"/>
    <mergeCell ref="P19:U19"/>
    <mergeCell ref="V19:AC19"/>
    <mergeCell ref="AD19:AO19"/>
    <mergeCell ref="AT19:AY19"/>
    <mergeCell ref="AH11:AS11"/>
    <mergeCell ref="AT11:AU11"/>
    <mergeCell ref="A17:C19"/>
    <mergeCell ref="D17:I17"/>
    <mergeCell ref="J17:O19"/>
    <mergeCell ref="P17:U17"/>
    <mergeCell ref="V17:AC17"/>
    <mergeCell ref="AD17:AO17"/>
    <mergeCell ref="AP17:AS19"/>
    <mergeCell ref="AT17:AY17"/>
    <mergeCell ref="M11:M12"/>
    <mergeCell ref="N11:N12"/>
    <mergeCell ref="O11:S11"/>
    <mergeCell ref="T11:T12"/>
    <mergeCell ref="U11:U12"/>
    <mergeCell ref="V11:AG11"/>
    <mergeCell ref="A11:F11"/>
    <mergeCell ref="G11:H11"/>
    <mergeCell ref="I11:I12"/>
    <mergeCell ref="J11:J12"/>
    <mergeCell ref="K11:K12"/>
    <mergeCell ref="L11:L12"/>
    <mergeCell ref="K6:AG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horizontalCentered="1"/>
  <pageMargins left="0.1968503937007874" right="0.1968503937007874" top="0.7480314960629921" bottom="0.7480314960629921" header="0.31496062992125984" footer="0.31496062992125984"/>
  <pageSetup horizontalDpi="600" verticalDpi="600" orientation="landscape" scale="20"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Y20"/>
  <sheetViews>
    <sheetView view="pageBreakPreview" zoomScale="60" zoomScaleNormal="61" zoomScalePageLayoutView="0" workbookViewId="0" topLeftCell="AJ16">
      <selection activeCell="AX17" sqref="AX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54.140625" style="113" customWidth="1"/>
    <col min="49" max="49" width="79.7109375" style="113" bestFit="1" customWidth="1"/>
    <col min="50" max="51" width="25.0039062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764" t="s">
        <v>423</v>
      </c>
      <c r="AY1" s="765"/>
    </row>
    <row r="2" spans="1:51" ht="15.75" customHeight="1">
      <c r="A2" s="825" t="s">
        <v>17</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7"/>
      <c r="AX2" s="816" t="s">
        <v>418</v>
      </c>
      <c r="AY2" s="817"/>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816" t="s">
        <v>424</v>
      </c>
      <c r="AY3" s="817"/>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785</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795" t="s">
        <v>70</v>
      </c>
      <c r="I6" s="795"/>
      <c r="J6" s="128"/>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807"/>
      <c r="AJ6" s="807"/>
      <c r="AK6" s="807"/>
      <c r="AL6" s="807"/>
      <c r="AM6" s="807"/>
      <c r="AN6" s="807"/>
      <c r="AO6" s="807"/>
      <c r="AP6" s="807"/>
      <c r="AQ6" s="807"/>
      <c r="AR6" s="807"/>
      <c r="AS6" s="807"/>
      <c r="AT6" s="807"/>
      <c r="AU6" s="792"/>
      <c r="AV6" s="782"/>
      <c r="AW6" s="782"/>
      <c r="AX6" s="782"/>
      <c r="AY6" s="782"/>
    </row>
    <row r="7" spans="1:51" ht="15" customHeight="1">
      <c r="A7" s="787"/>
      <c r="B7" s="787"/>
      <c r="C7" s="787"/>
      <c r="D7" s="788"/>
      <c r="E7" s="788"/>
      <c r="F7" s="791"/>
      <c r="G7" s="792"/>
      <c r="H7" s="795" t="s">
        <v>68</v>
      </c>
      <c r="I7" s="795"/>
      <c r="J7" s="128"/>
      <c r="K7" s="791"/>
      <c r="L7" s="807"/>
      <c r="M7" s="807"/>
      <c r="N7" s="807"/>
      <c r="O7" s="807"/>
      <c r="P7" s="807"/>
      <c r="Q7" s="807"/>
      <c r="R7" s="807"/>
      <c r="S7" s="807"/>
      <c r="T7" s="807"/>
      <c r="U7" s="807"/>
      <c r="V7" s="116"/>
      <c r="W7" s="116"/>
      <c r="X7" s="116"/>
      <c r="Y7" s="116"/>
      <c r="Z7" s="116"/>
      <c r="AA7" s="116"/>
      <c r="AB7" s="116"/>
      <c r="AC7" s="116"/>
      <c r="AD7" s="116"/>
      <c r="AE7" s="116"/>
      <c r="AF7" s="116"/>
      <c r="AG7" s="117"/>
      <c r="AH7" s="791"/>
      <c r="AI7" s="807"/>
      <c r="AJ7" s="807"/>
      <c r="AK7" s="807"/>
      <c r="AL7" s="807"/>
      <c r="AM7" s="807"/>
      <c r="AN7" s="807"/>
      <c r="AO7" s="807"/>
      <c r="AP7" s="807"/>
      <c r="AQ7" s="807"/>
      <c r="AR7" s="807"/>
      <c r="AS7" s="807"/>
      <c r="AT7" s="807"/>
      <c r="AU7" s="792"/>
      <c r="AV7" s="782"/>
      <c r="AW7" s="782"/>
      <c r="AX7" s="782"/>
      <c r="AY7" s="782"/>
    </row>
    <row r="8" spans="1:51" ht="15" customHeight="1">
      <c r="A8" s="787"/>
      <c r="B8" s="787"/>
      <c r="C8" s="787"/>
      <c r="D8" s="788"/>
      <c r="E8" s="788"/>
      <c r="F8" s="793"/>
      <c r="G8" s="794"/>
      <c r="H8" s="795" t="s">
        <v>69</v>
      </c>
      <c r="I8" s="795"/>
      <c r="J8" s="128"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807"/>
      <c r="AJ8" s="807"/>
      <c r="AK8" s="807"/>
      <c r="AL8" s="807"/>
      <c r="AM8" s="807"/>
      <c r="AN8" s="807"/>
      <c r="AO8" s="807"/>
      <c r="AP8" s="807"/>
      <c r="AQ8" s="807"/>
      <c r="AR8" s="807"/>
      <c r="AS8" s="807"/>
      <c r="AT8" s="807"/>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807"/>
      <c r="AJ9" s="807"/>
      <c r="AK9" s="807"/>
      <c r="AL9" s="807"/>
      <c r="AM9" s="807"/>
      <c r="AN9" s="807"/>
      <c r="AO9" s="807"/>
      <c r="AP9" s="807"/>
      <c r="AQ9" s="807"/>
      <c r="AR9" s="807"/>
      <c r="AS9" s="807"/>
      <c r="AT9" s="807"/>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292" t="s">
        <v>169</v>
      </c>
      <c r="B12" s="292" t="s">
        <v>170</v>
      </c>
      <c r="C12" s="292" t="s">
        <v>171</v>
      </c>
      <c r="D12" s="292" t="s">
        <v>178</v>
      </c>
      <c r="E12" s="292" t="s">
        <v>185</v>
      </c>
      <c r="F12" s="292" t="s">
        <v>186</v>
      </c>
      <c r="G12" s="292" t="s">
        <v>277</v>
      </c>
      <c r="H12" s="292" t="s">
        <v>184</v>
      </c>
      <c r="I12" s="783"/>
      <c r="J12" s="783"/>
      <c r="K12" s="783"/>
      <c r="L12" s="783"/>
      <c r="M12" s="783"/>
      <c r="N12" s="783"/>
      <c r="O12" s="292">
        <v>2020</v>
      </c>
      <c r="P12" s="292">
        <v>2021</v>
      </c>
      <c r="Q12" s="292">
        <v>2022</v>
      </c>
      <c r="R12" s="292">
        <v>2023</v>
      </c>
      <c r="S12" s="292">
        <v>2024</v>
      </c>
      <c r="T12" s="783"/>
      <c r="U12" s="78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83"/>
      <c r="AW12" s="783"/>
      <c r="AX12" s="783"/>
      <c r="AY12" s="783"/>
    </row>
    <row r="13" spans="1:51" ht="231" customHeight="1">
      <c r="A13" s="121"/>
      <c r="B13" s="121"/>
      <c r="C13" s="121"/>
      <c r="D13" s="121"/>
      <c r="E13" s="121" t="s">
        <v>425</v>
      </c>
      <c r="F13" s="121"/>
      <c r="G13" s="152" t="s">
        <v>700</v>
      </c>
      <c r="H13" s="122" t="s">
        <v>844</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483">
        <v>26.75</v>
      </c>
      <c r="AN13" s="124"/>
      <c r="AO13" s="124"/>
      <c r="AP13" s="465">
        <v>14</v>
      </c>
      <c r="AQ13" s="124"/>
      <c r="AR13" s="124"/>
      <c r="AS13" s="124"/>
      <c r="AT13" s="482">
        <f>SUM(AH13:AS13)</f>
        <v>41.75</v>
      </c>
      <c r="AU13" s="127">
        <f>+AT13/R13</f>
        <v>0.759090909090909</v>
      </c>
      <c r="AV13" s="496" t="s">
        <v>956</v>
      </c>
      <c r="AW13" s="479" t="s">
        <v>957</v>
      </c>
      <c r="AX13" s="445" t="s">
        <v>896</v>
      </c>
      <c r="AY13" s="412" t="s">
        <v>965</v>
      </c>
    </row>
    <row r="14" spans="1:51" ht="275.25" customHeight="1">
      <c r="A14" s="121"/>
      <c r="B14" s="121"/>
      <c r="C14" s="121"/>
      <c r="D14" s="121"/>
      <c r="E14" s="121" t="s">
        <v>425</v>
      </c>
      <c r="F14" s="121"/>
      <c r="G14" s="152" t="s">
        <v>700</v>
      </c>
      <c r="H14" s="122" t="s">
        <v>844</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484">
        <v>55.75</v>
      </c>
      <c r="AN14" s="124"/>
      <c r="AO14" s="124"/>
      <c r="AP14" s="471">
        <v>45</v>
      </c>
      <c r="AQ14" s="124"/>
      <c r="AR14" s="124"/>
      <c r="AS14" s="124"/>
      <c r="AT14" s="124">
        <f>SUM(AH14:AS14)</f>
        <v>123.25</v>
      </c>
      <c r="AU14" s="127">
        <f>+AT14/R14</f>
        <v>0.8216666666666667</v>
      </c>
      <c r="AV14" s="496" t="s">
        <v>958</v>
      </c>
      <c r="AW14" s="479" t="s">
        <v>959</v>
      </c>
      <c r="AX14" s="445" t="s">
        <v>896</v>
      </c>
      <c r="AY14" s="412" t="s">
        <v>965</v>
      </c>
    </row>
    <row r="15" spans="1:51" ht="378.75" customHeight="1">
      <c r="A15" s="121"/>
      <c r="B15" s="121"/>
      <c r="C15" s="121"/>
      <c r="D15" s="121"/>
      <c r="E15" s="121" t="s">
        <v>425</v>
      </c>
      <c r="F15" s="121"/>
      <c r="G15" s="152" t="s">
        <v>700</v>
      </c>
      <c r="H15" s="122" t="s">
        <v>844</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483">
        <v>2</v>
      </c>
      <c r="AN15" s="124"/>
      <c r="AO15" s="124"/>
      <c r="AP15" s="471">
        <v>2</v>
      </c>
      <c r="AQ15" s="124"/>
      <c r="AR15" s="124"/>
      <c r="AS15" s="124"/>
      <c r="AT15" s="124">
        <f>SUM(AH15:AS15)</f>
        <v>7</v>
      </c>
      <c r="AU15" s="127">
        <f>+AT15/R15</f>
        <v>0.875</v>
      </c>
      <c r="AV15" s="496" t="s">
        <v>960</v>
      </c>
      <c r="AW15" s="480" t="s">
        <v>961</v>
      </c>
      <c r="AX15" s="445" t="s">
        <v>896</v>
      </c>
      <c r="AY15" s="412" t="s">
        <v>965</v>
      </c>
    </row>
    <row r="16" spans="1:51" ht="375">
      <c r="A16" s="121"/>
      <c r="B16" s="121"/>
      <c r="C16" s="121"/>
      <c r="D16" s="121"/>
      <c r="E16" s="121" t="s">
        <v>425</v>
      </c>
      <c r="F16" s="121"/>
      <c r="G16" s="152" t="s">
        <v>700</v>
      </c>
      <c r="H16" s="122" t="s">
        <v>844</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464">
        <v>0.25</v>
      </c>
      <c r="AN16" s="124"/>
      <c r="AO16" s="124"/>
      <c r="AP16" s="470">
        <v>0.25</v>
      </c>
      <c r="AQ16" s="124"/>
      <c r="AR16" s="124"/>
      <c r="AS16" s="124"/>
      <c r="AT16" s="127">
        <f>SUM(AH16:AS16)</f>
        <v>0.75</v>
      </c>
      <c r="AU16" s="127">
        <f>+AT16/R16</f>
        <v>0.75</v>
      </c>
      <c r="AV16" s="496" t="s">
        <v>962</v>
      </c>
      <c r="AW16" s="481" t="s">
        <v>963</v>
      </c>
      <c r="AX16" s="445" t="s">
        <v>896</v>
      </c>
      <c r="AY16" s="412" t="s">
        <v>965</v>
      </c>
    </row>
    <row r="17" spans="1:51" ht="409.5" customHeight="1">
      <c r="A17" s="121"/>
      <c r="B17" s="121"/>
      <c r="C17" s="121"/>
      <c r="D17" s="121"/>
      <c r="E17" s="121" t="s">
        <v>425</v>
      </c>
      <c r="F17" s="121"/>
      <c r="G17" s="152" t="s">
        <v>700</v>
      </c>
      <c r="H17" s="122" t="s">
        <v>844</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464">
        <v>0.25</v>
      </c>
      <c r="AN17" s="124"/>
      <c r="AO17" s="124"/>
      <c r="AP17" s="469">
        <v>0.25</v>
      </c>
      <c r="AQ17" s="124"/>
      <c r="AR17" s="124"/>
      <c r="AS17" s="124"/>
      <c r="AT17" s="127">
        <f>SUM(AH17:AS17)</f>
        <v>0.75</v>
      </c>
      <c r="AU17" s="127">
        <f>+AT17/R17</f>
        <v>0.75</v>
      </c>
      <c r="AV17" s="496" t="s">
        <v>883</v>
      </c>
      <c r="AW17" s="481" t="s">
        <v>964</v>
      </c>
      <c r="AX17" s="445" t="s">
        <v>896</v>
      </c>
      <c r="AY17" s="412" t="s">
        <v>965</v>
      </c>
    </row>
    <row r="18" spans="1:51" ht="54" customHeight="1">
      <c r="A18" s="809" t="s">
        <v>64</v>
      </c>
      <c r="B18" s="809"/>
      <c r="C18" s="809"/>
      <c r="D18" s="805" t="s">
        <v>66</v>
      </c>
      <c r="E18" s="805"/>
      <c r="F18" s="805"/>
      <c r="G18" s="805"/>
      <c r="H18" s="805"/>
      <c r="I18" s="805"/>
      <c r="J18" s="804" t="s">
        <v>300</v>
      </c>
      <c r="K18" s="804"/>
      <c r="L18" s="804"/>
      <c r="M18" s="804"/>
      <c r="N18" s="804"/>
      <c r="O18" s="804"/>
      <c r="P18" s="805" t="s">
        <v>66</v>
      </c>
      <c r="Q18" s="805"/>
      <c r="R18" s="805"/>
      <c r="S18" s="805"/>
      <c r="T18" s="805"/>
      <c r="U18" s="805"/>
      <c r="V18" s="805" t="s">
        <v>66</v>
      </c>
      <c r="W18" s="805"/>
      <c r="X18" s="805"/>
      <c r="Y18" s="805"/>
      <c r="Z18" s="805"/>
      <c r="AA18" s="805"/>
      <c r="AB18" s="805"/>
      <c r="AC18" s="805"/>
      <c r="AD18" s="805" t="s">
        <v>66</v>
      </c>
      <c r="AE18" s="805"/>
      <c r="AF18" s="805"/>
      <c r="AG18" s="805"/>
      <c r="AH18" s="805"/>
      <c r="AI18" s="805"/>
      <c r="AJ18" s="805"/>
      <c r="AK18" s="805"/>
      <c r="AL18" s="805"/>
      <c r="AM18" s="805"/>
      <c r="AN18" s="805"/>
      <c r="AO18" s="805"/>
      <c r="AP18" s="804" t="s">
        <v>318</v>
      </c>
      <c r="AQ18" s="804"/>
      <c r="AR18" s="804"/>
      <c r="AS18" s="804"/>
      <c r="AT18" s="805" t="s">
        <v>13</v>
      </c>
      <c r="AU18" s="805"/>
      <c r="AV18" s="805"/>
      <c r="AW18" s="805"/>
      <c r="AX18" s="805"/>
      <c r="AY18" s="805"/>
    </row>
    <row r="19" spans="1:51" ht="30" customHeight="1">
      <c r="A19" s="809"/>
      <c r="B19" s="809"/>
      <c r="C19" s="809"/>
      <c r="D19" s="805" t="s">
        <v>814</v>
      </c>
      <c r="E19" s="805"/>
      <c r="F19" s="805"/>
      <c r="G19" s="805"/>
      <c r="H19" s="805"/>
      <c r="I19" s="805"/>
      <c r="J19" s="804"/>
      <c r="K19" s="804"/>
      <c r="L19" s="804"/>
      <c r="M19" s="804"/>
      <c r="N19" s="804"/>
      <c r="O19" s="804"/>
      <c r="P19" s="805" t="s">
        <v>847</v>
      </c>
      <c r="Q19" s="805"/>
      <c r="R19" s="805"/>
      <c r="S19" s="805"/>
      <c r="T19" s="805"/>
      <c r="U19" s="805"/>
      <c r="V19" s="805" t="s">
        <v>65</v>
      </c>
      <c r="W19" s="805"/>
      <c r="X19" s="805"/>
      <c r="Y19" s="805"/>
      <c r="Z19" s="805"/>
      <c r="AA19" s="805"/>
      <c r="AB19" s="805"/>
      <c r="AC19" s="805"/>
      <c r="AD19" s="805" t="s">
        <v>65</v>
      </c>
      <c r="AE19" s="805"/>
      <c r="AF19" s="805"/>
      <c r="AG19" s="805"/>
      <c r="AH19" s="805"/>
      <c r="AI19" s="805"/>
      <c r="AJ19" s="805"/>
      <c r="AK19" s="805"/>
      <c r="AL19" s="805"/>
      <c r="AM19" s="805"/>
      <c r="AN19" s="805"/>
      <c r="AO19" s="805"/>
      <c r="AP19" s="804"/>
      <c r="AQ19" s="804"/>
      <c r="AR19" s="804"/>
      <c r="AS19" s="804"/>
      <c r="AT19" s="805" t="s">
        <v>771</v>
      </c>
      <c r="AU19" s="805"/>
      <c r="AV19" s="805"/>
      <c r="AW19" s="805"/>
      <c r="AX19" s="805"/>
      <c r="AY19" s="805"/>
    </row>
    <row r="20" spans="1:51" ht="30" customHeight="1">
      <c r="A20" s="809"/>
      <c r="B20" s="809"/>
      <c r="C20" s="809"/>
      <c r="D20" s="805" t="s">
        <v>815</v>
      </c>
      <c r="E20" s="805"/>
      <c r="F20" s="805"/>
      <c r="G20" s="805"/>
      <c r="H20" s="805"/>
      <c r="I20" s="805"/>
      <c r="J20" s="804"/>
      <c r="K20" s="804"/>
      <c r="L20" s="804"/>
      <c r="M20" s="804"/>
      <c r="N20" s="804"/>
      <c r="O20" s="804"/>
      <c r="P20" s="805" t="s">
        <v>816</v>
      </c>
      <c r="Q20" s="805"/>
      <c r="R20" s="805"/>
      <c r="S20" s="805"/>
      <c r="T20" s="805"/>
      <c r="U20" s="805"/>
      <c r="V20" s="805" t="s">
        <v>297</v>
      </c>
      <c r="W20" s="805"/>
      <c r="X20" s="805"/>
      <c r="Y20" s="805"/>
      <c r="Z20" s="805"/>
      <c r="AA20" s="805"/>
      <c r="AB20" s="805"/>
      <c r="AC20" s="805"/>
      <c r="AD20" s="805" t="s">
        <v>297</v>
      </c>
      <c r="AE20" s="805"/>
      <c r="AF20" s="805"/>
      <c r="AG20" s="805"/>
      <c r="AH20" s="805"/>
      <c r="AI20" s="805"/>
      <c r="AJ20" s="805"/>
      <c r="AK20" s="805"/>
      <c r="AL20" s="805"/>
      <c r="AM20" s="805"/>
      <c r="AN20" s="805"/>
      <c r="AO20" s="805"/>
      <c r="AP20" s="804"/>
      <c r="AQ20" s="804"/>
      <c r="AR20" s="804"/>
      <c r="AS20" s="804"/>
      <c r="AT20" s="805" t="s">
        <v>75</v>
      </c>
      <c r="AU20" s="805"/>
      <c r="AV20" s="805"/>
      <c r="AW20" s="805"/>
      <c r="AX20" s="805"/>
      <c r="AY20" s="805"/>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7"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30"/>
      <c r="B1" s="767" t="s">
        <v>16</v>
      </c>
      <c r="C1" s="768"/>
      <c r="D1" s="768"/>
      <c r="E1" s="768"/>
      <c r="F1" s="768"/>
      <c r="G1" s="768"/>
      <c r="H1" s="768"/>
      <c r="I1" s="768"/>
      <c r="J1" s="768"/>
      <c r="K1" s="768"/>
      <c r="L1" s="768"/>
      <c r="M1" s="768"/>
      <c r="N1" s="768"/>
      <c r="O1" s="768"/>
      <c r="P1" s="768"/>
      <c r="Q1" s="768"/>
      <c r="R1" s="768"/>
      <c r="S1" s="768"/>
      <c r="T1" s="768"/>
      <c r="U1" s="768"/>
      <c r="V1" s="768"/>
      <c r="W1" s="768"/>
      <c r="X1" s="768"/>
      <c r="Y1" s="769"/>
      <c r="Z1" s="764" t="s">
        <v>18</v>
      </c>
      <c r="AA1" s="765"/>
      <c r="AB1" s="766"/>
    </row>
    <row r="2" spans="1:28" ht="30.75" customHeight="1">
      <c r="A2" s="731"/>
      <c r="B2" s="770" t="s">
        <v>17</v>
      </c>
      <c r="C2" s="771"/>
      <c r="D2" s="771"/>
      <c r="E2" s="771"/>
      <c r="F2" s="771"/>
      <c r="G2" s="771"/>
      <c r="H2" s="771"/>
      <c r="I2" s="771"/>
      <c r="J2" s="771"/>
      <c r="K2" s="771"/>
      <c r="L2" s="771"/>
      <c r="M2" s="771"/>
      <c r="N2" s="771"/>
      <c r="O2" s="771"/>
      <c r="P2" s="771"/>
      <c r="Q2" s="771"/>
      <c r="R2" s="771"/>
      <c r="S2" s="771"/>
      <c r="T2" s="771"/>
      <c r="U2" s="771"/>
      <c r="V2" s="771"/>
      <c r="W2" s="771"/>
      <c r="X2" s="771"/>
      <c r="Y2" s="772"/>
      <c r="Z2" s="733" t="s">
        <v>180</v>
      </c>
      <c r="AA2" s="734"/>
      <c r="AB2" s="735"/>
    </row>
    <row r="3" spans="1:28" ht="24" customHeight="1">
      <c r="A3" s="731"/>
      <c r="B3" s="757" t="s">
        <v>295</v>
      </c>
      <c r="C3" s="758"/>
      <c r="D3" s="758"/>
      <c r="E3" s="758"/>
      <c r="F3" s="758"/>
      <c r="G3" s="758"/>
      <c r="H3" s="758"/>
      <c r="I3" s="758"/>
      <c r="J3" s="758"/>
      <c r="K3" s="758"/>
      <c r="L3" s="758"/>
      <c r="M3" s="758"/>
      <c r="N3" s="758"/>
      <c r="O3" s="758"/>
      <c r="P3" s="758"/>
      <c r="Q3" s="758"/>
      <c r="R3" s="758"/>
      <c r="S3" s="758"/>
      <c r="T3" s="758"/>
      <c r="U3" s="758"/>
      <c r="V3" s="758"/>
      <c r="W3" s="758"/>
      <c r="X3" s="758"/>
      <c r="Y3" s="759"/>
      <c r="Z3" s="733" t="s">
        <v>181</v>
      </c>
      <c r="AA3" s="734"/>
      <c r="AB3" s="735"/>
    </row>
    <row r="4" spans="1:28" ht="15.75" customHeight="1" thickBot="1">
      <c r="A4" s="732"/>
      <c r="B4" s="760"/>
      <c r="C4" s="761"/>
      <c r="D4" s="761"/>
      <c r="E4" s="761"/>
      <c r="F4" s="761"/>
      <c r="G4" s="761"/>
      <c r="H4" s="761"/>
      <c r="I4" s="761"/>
      <c r="J4" s="761"/>
      <c r="K4" s="761"/>
      <c r="L4" s="761"/>
      <c r="M4" s="761"/>
      <c r="N4" s="761"/>
      <c r="O4" s="761"/>
      <c r="P4" s="761"/>
      <c r="Q4" s="761"/>
      <c r="R4" s="761"/>
      <c r="S4" s="761"/>
      <c r="T4" s="761"/>
      <c r="U4" s="761"/>
      <c r="V4" s="761"/>
      <c r="W4" s="761"/>
      <c r="X4" s="761"/>
      <c r="Y4" s="762"/>
      <c r="Z4" s="736" t="s">
        <v>175</v>
      </c>
      <c r="AA4" s="737"/>
      <c r="AB4" s="73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08" t="s">
        <v>0</v>
      </c>
      <c r="B7" s="609"/>
      <c r="C7" s="575"/>
      <c r="D7" s="576"/>
      <c r="E7" s="576"/>
      <c r="F7" s="576"/>
      <c r="G7" s="576"/>
      <c r="H7" s="576"/>
      <c r="I7" s="576"/>
      <c r="J7" s="576"/>
      <c r="K7" s="577"/>
      <c r="L7" s="64"/>
      <c r="M7" s="65"/>
      <c r="N7" s="65"/>
      <c r="O7" s="65"/>
      <c r="P7" s="65"/>
      <c r="Q7" s="66"/>
      <c r="R7" s="739" t="s">
        <v>71</v>
      </c>
      <c r="S7" s="740"/>
      <c r="T7" s="741"/>
      <c r="U7" s="617" t="s">
        <v>74</v>
      </c>
      <c r="V7" s="618"/>
      <c r="W7" s="739" t="s">
        <v>67</v>
      </c>
      <c r="X7" s="741"/>
      <c r="Y7" s="633" t="s">
        <v>70</v>
      </c>
      <c r="Z7" s="634"/>
      <c r="AA7" s="623"/>
      <c r="AB7" s="624"/>
    </row>
    <row r="8" spans="1:28" ht="15" customHeight="1">
      <c r="A8" s="610"/>
      <c r="B8" s="611"/>
      <c r="C8" s="578"/>
      <c r="D8" s="579"/>
      <c r="E8" s="579"/>
      <c r="F8" s="579"/>
      <c r="G8" s="579"/>
      <c r="H8" s="579"/>
      <c r="I8" s="579"/>
      <c r="J8" s="579"/>
      <c r="K8" s="580"/>
      <c r="L8" s="64"/>
      <c r="M8" s="65"/>
      <c r="N8" s="65"/>
      <c r="O8" s="65"/>
      <c r="P8" s="65"/>
      <c r="Q8" s="66"/>
      <c r="R8" s="742"/>
      <c r="S8" s="743"/>
      <c r="T8" s="744"/>
      <c r="U8" s="619"/>
      <c r="V8" s="620"/>
      <c r="W8" s="742"/>
      <c r="X8" s="744"/>
      <c r="Y8" s="625" t="s">
        <v>68</v>
      </c>
      <c r="Z8" s="626"/>
      <c r="AA8" s="627"/>
      <c r="AB8" s="628"/>
    </row>
    <row r="9" spans="1:28" ht="15" customHeight="1" thickBot="1">
      <c r="A9" s="612"/>
      <c r="B9" s="613"/>
      <c r="C9" s="581"/>
      <c r="D9" s="582"/>
      <c r="E9" s="582"/>
      <c r="F9" s="582"/>
      <c r="G9" s="582"/>
      <c r="H9" s="582"/>
      <c r="I9" s="582"/>
      <c r="J9" s="582"/>
      <c r="K9" s="583"/>
      <c r="L9" s="64"/>
      <c r="M9" s="65"/>
      <c r="N9" s="65"/>
      <c r="O9" s="65"/>
      <c r="P9" s="65"/>
      <c r="Q9" s="66"/>
      <c r="R9" s="745"/>
      <c r="S9" s="746"/>
      <c r="T9" s="747"/>
      <c r="U9" s="621"/>
      <c r="V9" s="622"/>
      <c r="W9" s="745"/>
      <c r="X9" s="747"/>
      <c r="Y9" s="629" t="s">
        <v>69</v>
      </c>
      <c r="Z9" s="630"/>
      <c r="AA9" s="631"/>
      <c r="AB9" s="63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645" t="s">
        <v>77</v>
      </c>
      <c r="B11" s="646"/>
      <c r="C11" s="778"/>
      <c r="D11" s="779"/>
      <c r="E11" s="779"/>
      <c r="F11" s="779"/>
      <c r="G11" s="779"/>
      <c r="H11" s="779"/>
      <c r="I11" s="779"/>
      <c r="J11" s="779"/>
      <c r="K11" s="780"/>
      <c r="L11" s="74"/>
      <c r="M11" s="584" t="s">
        <v>73</v>
      </c>
      <c r="N11" s="585"/>
      <c r="O11" s="585"/>
      <c r="P11" s="585"/>
      <c r="Q11" s="586"/>
      <c r="R11" s="660"/>
      <c r="S11" s="661"/>
      <c r="T11" s="661"/>
      <c r="U11" s="661"/>
      <c r="V11" s="662"/>
      <c r="W11" s="584" t="s">
        <v>72</v>
      </c>
      <c r="X11" s="586"/>
      <c r="Y11" s="641"/>
      <c r="Z11" s="642"/>
      <c r="AA11" s="642"/>
      <c r="AB11" s="643"/>
    </row>
    <row r="12" spans="1:28" ht="9" customHeight="1" thickBot="1">
      <c r="A12" s="61"/>
      <c r="B12" s="56"/>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75"/>
      <c r="AB12" s="76"/>
    </row>
    <row r="13" spans="1:28" s="78" customFormat="1" ht="37.5" customHeight="1" thickBot="1">
      <c r="A13" s="645" t="s">
        <v>79</v>
      </c>
      <c r="B13" s="646"/>
      <c r="C13" s="647"/>
      <c r="D13" s="648"/>
      <c r="E13" s="648"/>
      <c r="F13" s="648"/>
      <c r="G13" s="648"/>
      <c r="H13" s="648"/>
      <c r="I13" s="648"/>
      <c r="J13" s="648"/>
      <c r="K13" s="648"/>
      <c r="L13" s="648"/>
      <c r="M13" s="648"/>
      <c r="N13" s="648"/>
      <c r="O13" s="648"/>
      <c r="P13" s="648"/>
      <c r="Q13" s="649"/>
      <c r="R13" s="56"/>
      <c r="S13" s="749" t="s">
        <v>14</v>
      </c>
      <c r="T13" s="749"/>
      <c r="U13" s="77"/>
      <c r="V13" s="748" t="s">
        <v>15</v>
      </c>
      <c r="W13" s="749"/>
      <c r="X13" s="749"/>
      <c r="Y13" s="749"/>
      <c r="Z13" s="56"/>
      <c r="AA13" s="564"/>
      <c r="AB13" s="56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66" t="s">
        <v>293</v>
      </c>
      <c r="B15" s="567"/>
      <c r="C15" s="755" t="s">
        <v>321</v>
      </c>
      <c r="D15" s="82"/>
      <c r="E15" s="82"/>
      <c r="F15" s="82"/>
      <c r="G15" s="82"/>
      <c r="H15" s="82"/>
      <c r="I15" s="82"/>
      <c r="J15" s="83"/>
      <c r="K15" s="84"/>
      <c r="L15" s="83"/>
      <c r="M15" s="62"/>
      <c r="N15" s="62"/>
      <c r="O15" s="62"/>
      <c r="P15" s="62"/>
      <c r="Q15" s="750" t="s">
        <v>1</v>
      </c>
      <c r="R15" s="751"/>
      <c r="S15" s="751"/>
      <c r="T15" s="751"/>
      <c r="U15" s="751"/>
      <c r="V15" s="751"/>
      <c r="W15" s="751"/>
      <c r="X15" s="751"/>
      <c r="Y15" s="751"/>
      <c r="Z15" s="751"/>
      <c r="AA15" s="751"/>
      <c r="AB15" s="752"/>
    </row>
    <row r="16" spans="1:28" ht="35.25" customHeight="1" thickBot="1">
      <c r="A16" s="570"/>
      <c r="B16" s="571"/>
      <c r="C16" s="756"/>
      <c r="D16" s="82"/>
      <c r="E16" s="82"/>
      <c r="F16" s="82"/>
      <c r="G16" s="82"/>
      <c r="H16" s="82"/>
      <c r="I16" s="82"/>
      <c r="J16" s="83"/>
      <c r="K16" s="83"/>
      <c r="L16" s="83"/>
      <c r="M16" s="62"/>
      <c r="N16" s="62"/>
      <c r="O16" s="62"/>
      <c r="P16" s="62"/>
      <c r="Q16" s="773" t="s">
        <v>2</v>
      </c>
      <c r="R16" s="774"/>
      <c r="S16" s="774"/>
      <c r="T16" s="774"/>
      <c r="U16" s="774"/>
      <c r="V16" s="775"/>
      <c r="W16" s="776" t="s">
        <v>3</v>
      </c>
      <c r="X16" s="774"/>
      <c r="Y16" s="774"/>
      <c r="Z16" s="774"/>
      <c r="AA16" s="774"/>
      <c r="AB16" s="777"/>
    </row>
    <row r="17" spans="1:30" ht="27" customHeight="1">
      <c r="A17" s="85"/>
      <c r="B17" s="62"/>
      <c r="C17" s="62"/>
      <c r="D17" s="82"/>
      <c r="E17" s="82"/>
      <c r="F17" s="82"/>
      <c r="G17" s="82"/>
      <c r="H17" s="82"/>
      <c r="I17" s="82"/>
      <c r="J17" s="82"/>
      <c r="K17" s="82"/>
      <c r="L17" s="82"/>
      <c r="M17" s="62"/>
      <c r="N17" s="62"/>
      <c r="O17" s="62"/>
      <c r="P17" s="62"/>
      <c r="Q17" s="726" t="s">
        <v>4</v>
      </c>
      <c r="R17" s="727"/>
      <c r="S17" s="721"/>
      <c r="T17" s="715" t="s">
        <v>188</v>
      </c>
      <c r="U17" s="716"/>
      <c r="V17" s="717"/>
      <c r="W17" s="720" t="s">
        <v>4</v>
      </c>
      <c r="X17" s="721"/>
      <c r="Y17" s="720" t="s">
        <v>5</v>
      </c>
      <c r="Z17" s="721"/>
      <c r="AA17" s="715" t="s">
        <v>89</v>
      </c>
      <c r="AB17" s="722"/>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15"/>
      <c r="U18" s="716"/>
      <c r="V18" s="717"/>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23"/>
      <c r="R19" s="724"/>
      <c r="S19" s="725"/>
      <c r="T19" s="763"/>
      <c r="U19" s="724"/>
      <c r="V19" s="725"/>
      <c r="W19" s="753"/>
      <c r="X19" s="754"/>
      <c r="Y19" s="718"/>
      <c r="Z19" s="719"/>
      <c r="AA19" s="728"/>
      <c r="AB19" s="72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35" t="s">
        <v>76</v>
      </c>
      <c r="B21" s="636"/>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8"/>
    </row>
    <row r="22" spans="1:28" ht="15" customHeight="1">
      <c r="A22" s="650" t="s">
        <v>189</v>
      </c>
      <c r="B22" s="652" t="s">
        <v>6</v>
      </c>
      <c r="C22" s="653"/>
      <c r="D22" s="552" t="s">
        <v>7</v>
      </c>
      <c r="E22" s="656"/>
      <c r="F22" s="656"/>
      <c r="G22" s="656"/>
      <c r="H22" s="656"/>
      <c r="I22" s="656"/>
      <c r="J22" s="656"/>
      <c r="K22" s="656"/>
      <c r="L22" s="656"/>
      <c r="M22" s="656"/>
      <c r="N22" s="656"/>
      <c r="O22" s="657"/>
      <c r="P22" s="658" t="s">
        <v>8</v>
      </c>
      <c r="Q22" s="658" t="s">
        <v>84</v>
      </c>
      <c r="R22" s="658"/>
      <c r="S22" s="658"/>
      <c r="T22" s="658"/>
      <c r="U22" s="658"/>
      <c r="V22" s="658"/>
      <c r="W22" s="658"/>
      <c r="X22" s="658"/>
      <c r="Y22" s="658"/>
      <c r="Z22" s="658"/>
      <c r="AA22" s="658"/>
      <c r="AB22" s="659"/>
    </row>
    <row r="23" spans="1:28" ht="27" customHeight="1">
      <c r="A23" s="651"/>
      <c r="B23" s="654"/>
      <c r="C23" s="655"/>
      <c r="D23" s="156" t="s">
        <v>39</v>
      </c>
      <c r="E23" s="156" t="s">
        <v>40</v>
      </c>
      <c r="F23" s="156" t="s">
        <v>41</v>
      </c>
      <c r="G23" s="156" t="s">
        <v>42</v>
      </c>
      <c r="H23" s="156" t="s">
        <v>43</v>
      </c>
      <c r="I23" s="156" t="s">
        <v>44</v>
      </c>
      <c r="J23" s="156" t="s">
        <v>45</v>
      </c>
      <c r="K23" s="156" t="s">
        <v>46</v>
      </c>
      <c r="L23" s="156" t="s">
        <v>47</v>
      </c>
      <c r="M23" s="156" t="s">
        <v>48</v>
      </c>
      <c r="N23" s="156" t="s">
        <v>49</v>
      </c>
      <c r="O23" s="156" t="s">
        <v>50</v>
      </c>
      <c r="P23" s="657"/>
      <c r="Q23" s="658"/>
      <c r="R23" s="658"/>
      <c r="S23" s="658"/>
      <c r="T23" s="658"/>
      <c r="U23" s="658"/>
      <c r="V23" s="658"/>
      <c r="W23" s="658"/>
      <c r="X23" s="658"/>
      <c r="Y23" s="658"/>
      <c r="Z23" s="658"/>
      <c r="AA23" s="658"/>
      <c r="AB23" s="659"/>
    </row>
    <row r="24" spans="1:28" ht="42" customHeight="1" thickBot="1">
      <c r="A24" s="88"/>
      <c r="B24" s="665"/>
      <c r="C24" s="666"/>
      <c r="D24" s="92"/>
      <c r="E24" s="92"/>
      <c r="F24" s="92"/>
      <c r="G24" s="92"/>
      <c r="H24" s="92"/>
      <c r="I24" s="92"/>
      <c r="J24" s="92"/>
      <c r="K24" s="92"/>
      <c r="L24" s="92"/>
      <c r="M24" s="92"/>
      <c r="N24" s="92"/>
      <c r="O24" s="92"/>
      <c r="P24" s="89">
        <f>SUM(D24:O24)</f>
        <v>0</v>
      </c>
      <c r="Q24" s="667" t="s">
        <v>296</v>
      </c>
      <c r="R24" s="667"/>
      <c r="S24" s="667"/>
      <c r="T24" s="667"/>
      <c r="U24" s="667"/>
      <c r="V24" s="667"/>
      <c r="W24" s="667"/>
      <c r="X24" s="667"/>
      <c r="Y24" s="667"/>
      <c r="Z24" s="667"/>
      <c r="AA24" s="667"/>
      <c r="AB24" s="668"/>
    </row>
    <row r="25" spans="1:28" ht="21.75" customHeight="1">
      <c r="A25" s="599" t="s">
        <v>292</v>
      </c>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1"/>
    </row>
    <row r="26" spans="1:39" ht="22.5" customHeight="1">
      <c r="A26" s="551" t="s">
        <v>190</v>
      </c>
      <c r="B26" s="658" t="s">
        <v>62</v>
      </c>
      <c r="C26" s="658" t="s">
        <v>6</v>
      </c>
      <c r="D26" s="658" t="s">
        <v>60</v>
      </c>
      <c r="E26" s="658"/>
      <c r="F26" s="658"/>
      <c r="G26" s="658"/>
      <c r="H26" s="658"/>
      <c r="I26" s="658"/>
      <c r="J26" s="658"/>
      <c r="K26" s="658"/>
      <c r="L26" s="658"/>
      <c r="M26" s="658"/>
      <c r="N26" s="658"/>
      <c r="O26" s="658"/>
      <c r="P26" s="658"/>
      <c r="Q26" s="658" t="s">
        <v>85</v>
      </c>
      <c r="R26" s="658"/>
      <c r="S26" s="658"/>
      <c r="T26" s="658"/>
      <c r="U26" s="658"/>
      <c r="V26" s="658"/>
      <c r="W26" s="658"/>
      <c r="X26" s="658"/>
      <c r="Y26" s="658"/>
      <c r="Z26" s="658"/>
      <c r="AA26" s="658"/>
      <c r="AB26" s="659"/>
      <c r="AE26" s="90"/>
      <c r="AF26" s="90"/>
      <c r="AG26" s="90"/>
      <c r="AH26" s="90"/>
      <c r="AI26" s="90"/>
      <c r="AJ26" s="90"/>
      <c r="AK26" s="90"/>
      <c r="AL26" s="90"/>
      <c r="AM26" s="90"/>
    </row>
    <row r="27" spans="1:39" ht="22.5" customHeight="1">
      <c r="A27" s="551"/>
      <c r="B27" s="658"/>
      <c r="C27" s="669"/>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654" t="s">
        <v>80</v>
      </c>
      <c r="R27" s="670"/>
      <c r="S27" s="670"/>
      <c r="T27" s="655"/>
      <c r="U27" s="654" t="s">
        <v>81</v>
      </c>
      <c r="V27" s="670"/>
      <c r="W27" s="670"/>
      <c r="X27" s="655"/>
      <c r="Y27" s="654" t="s">
        <v>82</v>
      </c>
      <c r="Z27" s="670"/>
      <c r="AA27" s="670"/>
      <c r="AB27" s="671"/>
      <c r="AE27" s="90"/>
      <c r="AF27" s="90"/>
      <c r="AG27" s="90"/>
      <c r="AH27" s="90"/>
      <c r="AI27" s="90"/>
      <c r="AJ27" s="90"/>
      <c r="AK27" s="90"/>
      <c r="AL27" s="90"/>
      <c r="AM27" s="90"/>
    </row>
    <row r="28" spans="1:39" ht="33" customHeight="1">
      <c r="A28" s="672"/>
      <c r="B28" s="674"/>
      <c r="C28" s="93" t="s">
        <v>9</v>
      </c>
      <c r="D28" s="92"/>
      <c r="E28" s="92"/>
      <c r="F28" s="92"/>
      <c r="G28" s="92"/>
      <c r="H28" s="92"/>
      <c r="I28" s="92"/>
      <c r="J28" s="92"/>
      <c r="K28" s="92"/>
      <c r="L28" s="92"/>
      <c r="M28" s="92"/>
      <c r="N28" s="92"/>
      <c r="O28" s="92"/>
      <c r="P28" s="177">
        <f>SUM(D28:O28)</f>
        <v>0</v>
      </c>
      <c r="Q28" s="676" t="s">
        <v>192</v>
      </c>
      <c r="R28" s="677"/>
      <c r="S28" s="677"/>
      <c r="T28" s="678"/>
      <c r="U28" s="676" t="s">
        <v>193</v>
      </c>
      <c r="V28" s="677"/>
      <c r="W28" s="677"/>
      <c r="X28" s="678"/>
      <c r="Y28" s="676" t="s">
        <v>194</v>
      </c>
      <c r="Z28" s="677"/>
      <c r="AA28" s="677"/>
      <c r="AB28" s="682"/>
      <c r="AE28" s="90"/>
      <c r="AF28" s="90"/>
      <c r="AG28" s="90"/>
      <c r="AH28" s="90"/>
      <c r="AI28" s="90"/>
      <c r="AJ28" s="90"/>
      <c r="AK28" s="90"/>
      <c r="AL28" s="90"/>
      <c r="AM28" s="90"/>
    </row>
    <row r="29" spans="1:39" ht="33.75" customHeight="1" thickBot="1">
      <c r="A29" s="673"/>
      <c r="B29" s="675"/>
      <c r="C29" s="94" t="s">
        <v>10</v>
      </c>
      <c r="D29" s="95"/>
      <c r="E29" s="95"/>
      <c r="F29" s="95"/>
      <c r="G29" s="96"/>
      <c r="H29" s="96"/>
      <c r="I29" s="96"/>
      <c r="J29" s="96"/>
      <c r="K29" s="96"/>
      <c r="L29" s="96"/>
      <c r="M29" s="96"/>
      <c r="N29" s="96"/>
      <c r="O29" s="96"/>
      <c r="P29" s="178">
        <f>SUM(D29:O29)</f>
        <v>0</v>
      </c>
      <c r="Q29" s="679"/>
      <c r="R29" s="680"/>
      <c r="S29" s="680"/>
      <c r="T29" s="681"/>
      <c r="U29" s="679"/>
      <c r="V29" s="680"/>
      <c r="W29" s="680"/>
      <c r="X29" s="681"/>
      <c r="Y29" s="679"/>
      <c r="Z29" s="680"/>
      <c r="AA29" s="680"/>
      <c r="AB29" s="683"/>
      <c r="AC29" s="50"/>
      <c r="AD29" s="97"/>
      <c r="AE29" s="90"/>
      <c r="AF29" s="90"/>
      <c r="AG29" s="90"/>
      <c r="AH29" s="90"/>
      <c r="AI29" s="90"/>
      <c r="AJ29" s="90"/>
      <c r="AK29" s="90"/>
      <c r="AL29" s="90"/>
      <c r="AM29" s="90"/>
    </row>
    <row r="30" spans="1:39" ht="25.5" customHeight="1">
      <c r="A30" s="562" t="s">
        <v>191</v>
      </c>
      <c r="B30" s="684" t="s">
        <v>61</v>
      </c>
      <c r="C30" s="686" t="s">
        <v>11</v>
      </c>
      <c r="D30" s="686"/>
      <c r="E30" s="686"/>
      <c r="F30" s="686"/>
      <c r="G30" s="686"/>
      <c r="H30" s="686"/>
      <c r="I30" s="686"/>
      <c r="J30" s="686"/>
      <c r="K30" s="686"/>
      <c r="L30" s="686"/>
      <c r="M30" s="686"/>
      <c r="N30" s="686"/>
      <c r="O30" s="686"/>
      <c r="P30" s="686"/>
      <c r="Q30" s="563" t="s">
        <v>78</v>
      </c>
      <c r="R30" s="687"/>
      <c r="S30" s="687"/>
      <c r="T30" s="687"/>
      <c r="U30" s="687"/>
      <c r="V30" s="687"/>
      <c r="W30" s="687"/>
      <c r="X30" s="687"/>
      <c r="Y30" s="687"/>
      <c r="Z30" s="687"/>
      <c r="AA30" s="687"/>
      <c r="AB30" s="688"/>
      <c r="AE30" s="90"/>
      <c r="AF30" s="90"/>
      <c r="AG30" s="90"/>
      <c r="AH30" s="90"/>
      <c r="AI30" s="90"/>
      <c r="AJ30" s="90"/>
      <c r="AK30" s="90"/>
      <c r="AL30" s="90"/>
      <c r="AM30" s="90"/>
    </row>
    <row r="31" spans="1:39" ht="25.5" customHeight="1">
      <c r="A31" s="551"/>
      <c r="B31" s="68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52" t="s">
        <v>83</v>
      </c>
      <c r="R31" s="656"/>
      <c r="S31" s="656"/>
      <c r="T31" s="656"/>
      <c r="U31" s="656"/>
      <c r="V31" s="656"/>
      <c r="W31" s="656"/>
      <c r="X31" s="656"/>
      <c r="Y31" s="656"/>
      <c r="Z31" s="656"/>
      <c r="AA31" s="656"/>
      <c r="AB31" s="689"/>
      <c r="AE31" s="98"/>
      <c r="AF31" s="98"/>
      <c r="AG31" s="98"/>
      <c r="AH31" s="98"/>
      <c r="AI31" s="98"/>
      <c r="AJ31" s="98"/>
      <c r="AK31" s="98"/>
      <c r="AL31" s="98"/>
      <c r="AM31" s="98"/>
    </row>
    <row r="32" spans="1:39" ht="28.5" customHeight="1">
      <c r="A32" s="690"/>
      <c r="B32" s="692"/>
      <c r="C32" s="93" t="s">
        <v>9</v>
      </c>
      <c r="D32" s="99"/>
      <c r="E32" s="99"/>
      <c r="F32" s="99"/>
      <c r="G32" s="99"/>
      <c r="H32" s="99"/>
      <c r="I32" s="99"/>
      <c r="J32" s="99"/>
      <c r="K32" s="99"/>
      <c r="L32" s="99"/>
      <c r="M32" s="99"/>
      <c r="N32" s="99"/>
      <c r="O32" s="99"/>
      <c r="P32" s="100">
        <f aca="true" t="shared" si="0" ref="P32:P39">SUM(D32:O32)</f>
        <v>0</v>
      </c>
      <c r="Q32" s="694" t="s">
        <v>286</v>
      </c>
      <c r="R32" s="695"/>
      <c r="S32" s="695"/>
      <c r="T32" s="695"/>
      <c r="U32" s="695"/>
      <c r="V32" s="695"/>
      <c r="W32" s="695"/>
      <c r="X32" s="695"/>
      <c r="Y32" s="695"/>
      <c r="Z32" s="695"/>
      <c r="AA32" s="695"/>
      <c r="AB32" s="696"/>
      <c r="AC32" s="101"/>
      <c r="AE32" s="102"/>
      <c r="AF32" s="102"/>
      <c r="AG32" s="102"/>
      <c r="AH32" s="102"/>
      <c r="AI32" s="102"/>
      <c r="AJ32" s="102"/>
      <c r="AK32" s="102"/>
      <c r="AL32" s="102"/>
      <c r="AM32" s="102"/>
    </row>
    <row r="33" spans="1:29" ht="28.5" customHeight="1">
      <c r="A33" s="691"/>
      <c r="B33" s="693"/>
      <c r="C33" s="103" t="s">
        <v>10</v>
      </c>
      <c r="D33" s="104"/>
      <c r="E33" s="104"/>
      <c r="F33" s="104"/>
      <c r="G33" s="104"/>
      <c r="H33" s="104"/>
      <c r="I33" s="104"/>
      <c r="J33" s="104"/>
      <c r="K33" s="104"/>
      <c r="L33" s="104"/>
      <c r="M33" s="104"/>
      <c r="N33" s="104"/>
      <c r="O33" s="104"/>
      <c r="P33" s="105">
        <f t="shared" si="0"/>
        <v>0</v>
      </c>
      <c r="Q33" s="697"/>
      <c r="R33" s="698"/>
      <c r="S33" s="698"/>
      <c r="T33" s="698"/>
      <c r="U33" s="698"/>
      <c r="V33" s="698"/>
      <c r="W33" s="698"/>
      <c r="X33" s="698"/>
      <c r="Y33" s="698"/>
      <c r="Z33" s="698"/>
      <c r="AA33" s="698"/>
      <c r="AB33" s="699"/>
      <c r="AC33" s="101"/>
    </row>
    <row r="34" spans="1:29" ht="28.5" customHeight="1">
      <c r="A34" s="691"/>
      <c r="B34" s="702"/>
      <c r="C34" s="106" t="s">
        <v>9</v>
      </c>
      <c r="D34" s="107"/>
      <c r="E34" s="107"/>
      <c r="F34" s="107"/>
      <c r="G34" s="107"/>
      <c r="H34" s="107"/>
      <c r="I34" s="107"/>
      <c r="J34" s="107"/>
      <c r="K34" s="107"/>
      <c r="L34" s="107"/>
      <c r="M34" s="107"/>
      <c r="N34" s="107"/>
      <c r="O34" s="107"/>
      <c r="P34" s="105">
        <f t="shared" si="0"/>
        <v>0</v>
      </c>
      <c r="Q34" s="704"/>
      <c r="R34" s="705"/>
      <c r="S34" s="705"/>
      <c r="T34" s="705"/>
      <c r="U34" s="705"/>
      <c r="V34" s="705"/>
      <c r="W34" s="705"/>
      <c r="X34" s="705"/>
      <c r="Y34" s="705"/>
      <c r="Z34" s="705"/>
      <c r="AA34" s="705"/>
      <c r="AB34" s="706"/>
      <c r="AC34" s="101"/>
    </row>
    <row r="35" spans="1:29" ht="28.5" customHeight="1">
      <c r="A35" s="691"/>
      <c r="B35" s="693"/>
      <c r="C35" s="103" t="s">
        <v>10</v>
      </c>
      <c r="D35" s="104"/>
      <c r="E35" s="104"/>
      <c r="F35" s="104"/>
      <c r="G35" s="104"/>
      <c r="H35" s="104"/>
      <c r="I35" s="104"/>
      <c r="J35" s="104"/>
      <c r="K35" s="104"/>
      <c r="L35" s="108"/>
      <c r="M35" s="108"/>
      <c r="N35" s="108"/>
      <c r="O35" s="108"/>
      <c r="P35" s="105">
        <f t="shared" si="0"/>
        <v>0</v>
      </c>
      <c r="Q35" s="710"/>
      <c r="R35" s="711"/>
      <c r="S35" s="711"/>
      <c r="T35" s="711"/>
      <c r="U35" s="711"/>
      <c r="V35" s="711"/>
      <c r="W35" s="711"/>
      <c r="X35" s="711"/>
      <c r="Y35" s="711"/>
      <c r="Z35" s="711"/>
      <c r="AA35" s="711"/>
      <c r="AB35" s="712"/>
      <c r="AC35" s="101"/>
    </row>
    <row r="36" spans="1:29" ht="28.5" customHeight="1">
      <c r="A36" s="713"/>
      <c r="B36" s="702"/>
      <c r="C36" s="106" t="s">
        <v>9</v>
      </c>
      <c r="D36" s="107"/>
      <c r="E36" s="107"/>
      <c r="F36" s="107"/>
      <c r="G36" s="107"/>
      <c r="H36" s="107"/>
      <c r="I36" s="107"/>
      <c r="J36" s="107"/>
      <c r="K36" s="107"/>
      <c r="L36" s="107"/>
      <c r="M36" s="107"/>
      <c r="N36" s="107"/>
      <c r="O36" s="107"/>
      <c r="P36" s="105">
        <f t="shared" si="0"/>
        <v>0</v>
      </c>
      <c r="Q36" s="704"/>
      <c r="R36" s="705"/>
      <c r="S36" s="705"/>
      <c r="T36" s="705"/>
      <c r="U36" s="705"/>
      <c r="V36" s="705"/>
      <c r="W36" s="705"/>
      <c r="X36" s="705"/>
      <c r="Y36" s="705"/>
      <c r="Z36" s="705"/>
      <c r="AA36" s="705"/>
      <c r="AB36" s="706"/>
      <c r="AC36" s="101"/>
    </row>
    <row r="37" spans="1:29" ht="28.5" customHeight="1">
      <c r="A37" s="714"/>
      <c r="B37" s="693"/>
      <c r="C37" s="103" t="s">
        <v>10</v>
      </c>
      <c r="D37" s="104"/>
      <c r="E37" s="104"/>
      <c r="F37" s="104"/>
      <c r="G37" s="109"/>
      <c r="H37" s="104"/>
      <c r="I37" s="104"/>
      <c r="J37" s="104"/>
      <c r="K37" s="104"/>
      <c r="L37" s="108"/>
      <c r="M37" s="108"/>
      <c r="N37" s="108"/>
      <c r="O37" s="108"/>
      <c r="P37" s="105">
        <f t="shared" si="0"/>
        <v>0</v>
      </c>
      <c r="Q37" s="710"/>
      <c r="R37" s="711"/>
      <c r="S37" s="711"/>
      <c r="T37" s="711"/>
      <c r="U37" s="711"/>
      <c r="V37" s="711"/>
      <c r="W37" s="711"/>
      <c r="X37" s="711"/>
      <c r="Y37" s="711"/>
      <c r="Z37" s="711"/>
      <c r="AA37" s="711"/>
      <c r="AB37" s="712"/>
      <c r="AC37" s="101"/>
    </row>
    <row r="38" spans="1:29" ht="28.5" customHeight="1">
      <c r="A38" s="700"/>
      <c r="B38" s="702"/>
      <c r="C38" s="106" t="s">
        <v>9</v>
      </c>
      <c r="D38" s="107"/>
      <c r="E38" s="107"/>
      <c r="F38" s="107"/>
      <c r="G38" s="107"/>
      <c r="H38" s="107"/>
      <c r="I38" s="107"/>
      <c r="J38" s="107"/>
      <c r="K38" s="107"/>
      <c r="L38" s="107"/>
      <c r="M38" s="107"/>
      <c r="N38" s="107"/>
      <c r="O38" s="107"/>
      <c r="P38" s="105">
        <f t="shared" si="0"/>
        <v>0</v>
      </c>
      <c r="Q38" s="704"/>
      <c r="R38" s="705"/>
      <c r="S38" s="705"/>
      <c r="T38" s="705"/>
      <c r="U38" s="705"/>
      <c r="V38" s="705"/>
      <c r="W38" s="705"/>
      <c r="X38" s="705"/>
      <c r="Y38" s="705"/>
      <c r="Z38" s="705"/>
      <c r="AA38" s="705"/>
      <c r="AB38" s="706"/>
      <c r="AC38" s="101"/>
    </row>
    <row r="39" spans="1:29" ht="28.5" customHeight="1" thickBot="1">
      <c r="A39" s="701"/>
      <c r="B39" s="703"/>
      <c r="C39" s="94" t="s">
        <v>10</v>
      </c>
      <c r="D39" s="110"/>
      <c r="E39" s="110"/>
      <c r="F39" s="110"/>
      <c r="G39" s="110"/>
      <c r="H39" s="110"/>
      <c r="I39" s="110"/>
      <c r="J39" s="110"/>
      <c r="K39" s="110"/>
      <c r="L39" s="111"/>
      <c r="M39" s="111"/>
      <c r="N39" s="111"/>
      <c r="O39" s="111"/>
      <c r="P39" s="112">
        <f t="shared" si="0"/>
        <v>0</v>
      </c>
      <c r="Q39" s="707"/>
      <c r="R39" s="708"/>
      <c r="S39" s="708"/>
      <c r="T39" s="708"/>
      <c r="U39" s="708"/>
      <c r="V39" s="708"/>
      <c r="W39" s="708"/>
      <c r="X39" s="708"/>
      <c r="Y39" s="708"/>
      <c r="Z39" s="708"/>
      <c r="AA39" s="708"/>
      <c r="AB39" s="709"/>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Y26"/>
  <sheetViews>
    <sheetView view="pageBreakPreview" zoomScale="60" zoomScaleNormal="70" zoomScalePageLayoutView="0" workbookViewId="0" topLeftCell="AU14">
      <selection activeCell="AW15" sqref="AW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52.57421875" style="113" customWidth="1"/>
    <col min="50" max="51" width="24.421875" style="113" customWidth="1"/>
    <col min="52" max="16384" width="10.8515625" style="113" customWidth="1"/>
  </cols>
  <sheetData>
    <row r="1" spans="1:51" ht="15.75" customHeight="1">
      <c r="A1" s="1147" t="s">
        <v>16</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148"/>
      <c r="AL1" s="1148"/>
      <c r="AM1" s="1148"/>
      <c r="AN1" s="1148"/>
      <c r="AO1" s="1148"/>
      <c r="AP1" s="1148"/>
      <c r="AQ1" s="1148"/>
      <c r="AR1" s="1148"/>
      <c r="AS1" s="1148"/>
      <c r="AT1" s="1148"/>
      <c r="AU1" s="1148"/>
      <c r="AV1" s="1148"/>
      <c r="AW1" s="1149"/>
      <c r="AX1" s="1133" t="s">
        <v>423</v>
      </c>
      <c r="AY1" s="1134"/>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786</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807"/>
      <c r="AJ6" s="807"/>
      <c r="AK6" s="807"/>
      <c r="AL6" s="807"/>
      <c r="AM6" s="807"/>
      <c r="AN6" s="807"/>
      <c r="AO6" s="807"/>
      <c r="AP6" s="807"/>
      <c r="AQ6" s="807"/>
      <c r="AR6" s="807"/>
      <c r="AS6" s="807"/>
      <c r="AT6" s="807"/>
      <c r="AU6" s="792"/>
      <c r="AV6" s="782"/>
      <c r="AW6" s="782"/>
      <c r="AX6" s="782"/>
      <c r="AY6" s="782"/>
    </row>
    <row r="7" spans="1:51" ht="15" customHeight="1">
      <c r="A7" s="787"/>
      <c r="B7" s="787"/>
      <c r="C7" s="787"/>
      <c r="D7" s="788"/>
      <c r="E7" s="788"/>
      <c r="F7" s="791"/>
      <c r="G7" s="792"/>
      <c r="H7" s="1171" t="s">
        <v>68</v>
      </c>
      <c r="I7" s="1171"/>
      <c r="J7" s="121"/>
      <c r="K7" s="791"/>
      <c r="L7" s="807"/>
      <c r="M7" s="807"/>
      <c r="N7" s="807"/>
      <c r="O7" s="807"/>
      <c r="P7" s="807"/>
      <c r="Q7" s="807"/>
      <c r="R7" s="807"/>
      <c r="S7" s="807"/>
      <c r="T7" s="807"/>
      <c r="U7" s="807"/>
      <c r="V7" s="116"/>
      <c r="W7" s="116"/>
      <c r="X7" s="116"/>
      <c r="Y7" s="116"/>
      <c r="Z7" s="116"/>
      <c r="AA7" s="116"/>
      <c r="AB7" s="116"/>
      <c r="AC7" s="116"/>
      <c r="AD7" s="116"/>
      <c r="AE7" s="116"/>
      <c r="AF7" s="116"/>
      <c r="AG7" s="117"/>
      <c r="AH7" s="791"/>
      <c r="AI7" s="807"/>
      <c r="AJ7" s="807"/>
      <c r="AK7" s="807"/>
      <c r="AL7" s="807"/>
      <c r="AM7" s="807"/>
      <c r="AN7" s="807"/>
      <c r="AO7" s="807"/>
      <c r="AP7" s="807"/>
      <c r="AQ7" s="807"/>
      <c r="AR7" s="807"/>
      <c r="AS7" s="807"/>
      <c r="AT7" s="807"/>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807"/>
      <c r="AJ8" s="807"/>
      <c r="AK8" s="807"/>
      <c r="AL8" s="807"/>
      <c r="AM8" s="807"/>
      <c r="AN8" s="807"/>
      <c r="AO8" s="807"/>
      <c r="AP8" s="807"/>
      <c r="AQ8" s="807"/>
      <c r="AR8" s="807"/>
      <c r="AS8" s="807"/>
      <c r="AT8" s="807"/>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807"/>
      <c r="AJ9" s="807"/>
      <c r="AK9" s="807"/>
      <c r="AL9" s="807"/>
      <c r="AM9" s="807"/>
      <c r="AN9" s="807"/>
      <c r="AO9" s="807"/>
      <c r="AP9" s="807"/>
      <c r="AQ9" s="807"/>
      <c r="AR9" s="807"/>
      <c r="AS9" s="807"/>
      <c r="AT9" s="807"/>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415" t="s">
        <v>169</v>
      </c>
      <c r="B12" s="415" t="s">
        <v>170</v>
      </c>
      <c r="C12" s="415" t="s">
        <v>171</v>
      </c>
      <c r="D12" s="415" t="s">
        <v>178</v>
      </c>
      <c r="E12" s="415" t="s">
        <v>185</v>
      </c>
      <c r="F12" s="415" t="s">
        <v>186</v>
      </c>
      <c r="G12" s="415" t="s">
        <v>277</v>
      </c>
      <c r="H12" s="415" t="s">
        <v>184</v>
      </c>
      <c r="I12" s="783"/>
      <c r="J12" s="783"/>
      <c r="K12" s="783"/>
      <c r="L12" s="783"/>
      <c r="M12" s="783"/>
      <c r="N12" s="783"/>
      <c r="O12" s="415">
        <v>2020</v>
      </c>
      <c r="P12" s="415">
        <v>2021</v>
      </c>
      <c r="Q12" s="415">
        <v>2022</v>
      </c>
      <c r="R12" s="415">
        <v>2023</v>
      </c>
      <c r="S12" s="415">
        <v>2024</v>
      </c>
      <c r="T12" s="783"/>
      <c r="U12" s="783"/>
      <c r="V12" s="414" t="s">
        <v>39</v>
      </c>
      <c r="W12" s="414" t="s">
        <v>40</v>
      </c>
      <c r="X12" s="414" t="s">
        <v>41</v>
      </c>
      <c r="Y12" s="414" t="s">
        <v>42</v>
      </c>
      <c r="Z12" s="414" t="s">
        <v>43</v>
      </c>
      <c r="AA12" s="414" t="s">
        <v>44</v>
      </c>
      <c r="AB12" s="414" t="s">
        <v>45</v>
      </c>
      <c r="AC12" s="414" t="s">
        <v>46</v>
      </c>
      <c r="AD12" s="414" t="s">
        <v>47</v>
      </c>
      <c r="AE12" s="414" t="s">
        <v>48</v>
      </c>
      <c r="AF12" s="414" t="s">
        <v>49</v>
      </c>
      <c r="AG12" s="414" t="s">
        <v>50</v>
      </c>
      <c r="AH12" s="414" t="s">
        <v>39</v>
      </c>
      <c r="AI12" s="414" t="s">
        <v>40</v>
      </c>
      <c r="AJ12" s="414" t="s">
        <v>41</v>
      </c>
      <c r="AK12" s="414" t="s">
        <v>42</v>
      </c>
      <c r="AL12" s="414" t="s">
        <v>43</v>
      </c>
      <c r="AM12" s="414" t="s">
        <v>44</v>
      </c>
      <c r="AN12" s="414" t="s">
        <v>45</v>
      </c>
      <c r="AO12" s="414" t="s">
        <v>46</v>
      </c>
      <c r="AP12" s="414" t="s">
        <v>47</v>
      </c>
      <c r="AQ12" s="414" t="s">
        <v>48</v>
      </c>
      <c r="AR12" s="414" t="s">
        <v>49</v>
      </c>
      <c r="AS12" s="414" t="s">
        <v>50</v>
      </c>
      <c r="AT12" s="415" t="s">
        <v>413</v>
      </c>
      <c r="AU12" s="216" t="s">
        <v>88</v>
      </c>
      <c r="AV12" s="783"/>
      <c r="AW12" s="783"/>
      <c r="AX12" s="783"/>
      <c r="AY12" s="783"/>
    </row>
    <row r="13" spans="1:51" ht="409.5" customHeight="1">
      <c r="A13" s="121"/>
      <c r="B13" s="121"/>
      <c r="C13" s="121"/>
      <c r="D13" s="121"/>
      <c r="E13" s="121" t="s">
        <v>425</v>
      </c>
      <c r="F13" s="121"/>
      <c r="G13" s="457"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53">
        <v>0.0833</v>
      </c>
      <c r="AL13" s="453">
        <v>0.0833</v>
      </c>
      <c r="AM13" s="453">
        <v>0.0833333333333333</v>
      </c>
      <c r="AN13" s="501">
        <v>0.0833333333333333</v>
      </c>
      <c r="AO13" s="378">
        <v>0.08333333333333334</v>
      </c>
      <c r="AP13" s="453">
        <v>0.08333333333333334</v>
      </c>
      <c r="AQ13" s="124"/>
      <c r="AR13" s="124"/>
      <c r="AS13" s="124"/>
      <c r="AT13" s="411">
        <f>SUM(AH13:AS13)</f>
        <v>0.7499333333333333</v>
      </c>
      <c r="AU13" s="127">
        <f>+AT13/R13</f>
        <v>0.7499333333333333</v>
      </c>
      <c r="AV13" s="536" t="s">
        <v>966</v>
      </c>
      <c r="AW13" s="511" t="s">
        <v>967</v>
      </c>
      <c r="AX13" s="445" t="s">
        <v>896</v>
      </c>
      <c r="AY13" s="494" t="s">
        <v>965</v>
      </c>
    </row>
    <row r="14" spans="1:51" ht="261" customHeight="1">
      <c r="A14" s="121"/>
      <c r="B14" s="121"/>
      <c r="C14" s="121"/>
      <c r="D14" s="121"/>
      <c r="E14" s="121" t="s">
        <v>425</v>
      </c>
      <c r="F14" s="121"/>
      <c r="G14" s="457"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327">
        <v>0.5</v>
      </c>
      <c r="AO14" s="124"/>
      <c r="AP14" s="124"/>
      <c r="AQ14" s="124"/>
      <c r="AR14" s="124"/>
      <c r="AS14" s="124"/>
      <c r="AT14" s="127">
        <f>SUM(AH14:AS14)</f>
        <v>1</v>
      </c>
      <c r="AU14" s="127">
        <f>+AT14/R14</f>
        <v>1</v>
      </c>
      <c r="AV14" s="496" t="s">
        <v>968</v>
      </c>
      <c r="AW14" s="537" t="s">
        <v>969</v>
      </c>
      <c r="AX14" s="494" t="s">
        <v>965</v>
      </c>
      <c r="AY14" s="494" t="s">
        <v>965</v>
      </c>
    </row>
    <row r="15" spans="1:51" ht="107.25" customHeight="1">
      <c r="A15" s="121"/>
      <c r="B15" s="121"/>
      <c r="C15" s="121"/>
      <c r="D15" s="121"/>
      <c r="E15" s="121" t="s">
        <v>425</v>
      </c>
      <c r="F15" s="121"/>
      <c r="G15" s="457"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307">
        <v>1</v>
      </c>
      <c r="AM15" s="468">
        <v>1</v>
      </c>
      <c r="AN15" s="327">
        <v>1</v>
      </c>
      <c r="AO15" s="468">
        <v>1</v>
      </c>
      <c r="AP15" s="468">
        <v>1</v>
      </c>
      <c r="AQ15" s="124"/>
      <c r="AR15" s="124"/>
      <c r="AS15" s="124"/>
      <c r="AT15" s="127">
        <f>AVERAGE(AH15:AS15)</f>
        <v>1</v>
      </c>
      <c r="AU15" s="379">
        <f>+(SUM(AH15:AS15)/+SUM(V15:AG15))</f>
        <v>0.75</v>
      </c>
      <c r="AV15" s="538" t="s">
        <v>970</v>
      </c>
      <c r="AW15" s="1209" t="s">
        <v>971</v>
      </c>
      <c r="AX15" s="445" t="s">
        <v>896</v>
      </c>
      <c r="AY15" s="494" t="s">
        <v>965</v>
      </c>
    </row>
    <row r="16" spans="1:51" ht="107.25" customHeight="1">
      <c r="A16" s="121"/>
      <c r="B16" s="121"/>
      <c r="C16" s="121"/>
      <c r="D16" s="121"/>
      <c r="E16" s="121" t="s">
        <v>425</v>
      </c>
      <c r="F16" s="121"/>
      <c r="G16" s="457"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53">
        <v>0.0833</v>
      </c>
      <c r="AL16" s="453">
        <v>0.0833</v>
      </c>
      <c r="AM16" s="453">
        <v>0.0833</v>
      </c>
      <c r="AN16" s="501">
        <v>0.0833</v>
      </c>
      <c r="AO16" s="453">
        <v>0.0833</v>
      </c>
      <c r="AP16" s="453">
        <v>0.0833</v>
      </c>
      <c r="AQ16" s="124"/>
      <c r="AR16" s="124"/>
      <c r="AS16" s="124"/>
      <c r="AT16" s="411">
        <f>SUM(AH16:AS16)</f>
        <v>0.7497</v>
      </c>
      <c r="AU16" s="127">
        <f>+AT16/R16</f>
        <v>0.7497</v>
      </c>
      <c r="AV16" s="538" t="s">
        <v>972</v>
      </c>
      <c r="AW16" s="538" t="s">
        <v>973</v>
      </c>
      <c r="AX16" s="445" t="s">
        <v>896</v>
      </c>
      <c r="AY16" s="494" t="s">
        <v>965</v>
      </c>
    </row>
    <row r="17" spans="1:51" ht="54" customHeight="1">
      <c r="A17" s="809" t="s">
        <v>64</v>
      </c>
      <c r="B17" s="809"/>
      <c r="C17" s="809"/>
      <c r="D17" s="805" t="s">
        <v>66</v>
      </c>
      <c r="E17" s="805"/>
      <c r="F17" s="805"/>
      <c r="G17" s="805"/>
      <c r="H17" s="805"/>
      <c r="I17" s="805"/>
      <c r="J17" s="804" t="s">
        <v>300</v>
      </c>
      <c r="K17" s="804"/>
      <c r="L17" s="804"/>
      <c r="M17" s="804"/>
      <c r="N17" s="804"/>
      <c r="O17" s="804"/>
      <c r="P17" s="805" t="s">
        <v>66</v>
      </c>
      <c r="Q17" s="805"/>
      <c r="R17" s="805"/>
      <c r="S17" s="805"/>
      <c r="T17" s="805"/>
      <c r="U17" s="805"/>
      <c r="V17" s="805" t="s">
        <v>66</v>
      </c>
      <c r="W17" s="805"/>
      <c r="X17" s="805"/>
      <c r="Y17" s="805"/>
      <c r="Z17" s="805"/>
      <c r="AA17" s="805"/>
      <c r="AB17" s="805"/>
      <c r="AC17" s="805"/>
      <c r="AD17" s="805" t="s">
        <v>66</v>
      </c>
      <c r="AE17" s="805"/>
      <c r="AF17" s="805"/>
      <c r="AG17" s="805"/>
      <c r="AH17" s="805"/>
      <c r="AI17" s="805"/>
      <c r="AJ17" s="805"/>
      <c r="AK17" s="805"/>
      <c r="AL17" s="805"/>
      <c r="AM17" s="805"/>
      <c r="AN17" s="805"/>
      <c r="AO17" s="805"/>
      <c r="AP17" s="804" t="s">
        <v>318</v>
      </c>
      <c r="AQ17" s="804"/>
      <c r="AR17" s="804"/>
      <c r="AS17" s="804"/>
      <c r="AT17" s="805" t="s">
        <v>13</v>
      </c>
      <c r="AU17" s="805"/>
      <c r="AV17" s="805"/>
      <c r="AW17" s="805"/>
      <c r="AX17" s="805"/>
      <c r="AY17" s="805"/>
    </row>
    <row r="18" spans="1:51" ht="30" customHeight="1">
      <c r="A18" s="809"/>
      <c r="B18" s="809"/>
      <c r="C18" s="809"/>
      <c r="D18" s="805" t="s">
        <v>814</v>
      </c>
      <c r="E18" s="805"/>
      <c r="F18" s="805"/>
      <c r="G18" s="805"/>
      <c r="H18" s="805"/>
      <c r="I18" s="805"/>
      <c r="J18" s="804"/>
      <c r="K18" s="804"/>
      <c r="L18" s="804"/>
      <c r="M18" s="804"/>
      <c r="N18" s="804"/>
      <c r="O18" s="804"/>
      <c r="P18" s="805" t="s">
        <v>847</v>
      </c>
      <c r="Q18" s="805"/>
      <c r="R18" s="805"/>
      <c r="S18" s="805"/>
      <c r="T18" s="805"/>
      <c r="U18" s="805"/>
      <c r="V18" s="805" t="s">
        <v>65</v>
      </c>
      <c r="W18" s="805"/>
      <c r="X18" s="805"/>
      <c r="Y18" s="805"/>
      <c r="Z18" s="805"/>
      <c r="AA18" s="805"/>
      <c r="AB18" s="805"/>
      <c r="AC18" s="805"/>
      <c r="AD18" s="805" t="s">
        <v>65</v>
      </c>
      <c r="AE18" s="805"/>
      <c r="AF18" s="805"/>
      <c r="AG18" s="805"/>
      <c r="AH18" s="805"/>
      <c r="AI18" s="805"/>
      <c r="AJ18" s="805"/>
      <c r="AK18" s="805"/>
      <c r="AL18" s="805"/>
      <c r="AM18" s="805"/>
      <c r="AN18" s="805"/>
      <c r="AO18" s="805"/>
      <c r="AP18" s="804"/>
      <c r="AQ18" s="804"/>
      <c r="AR18" s="804"/>
      <c r="AS18" s="804"/>
      <c r="AT18" s="805" t="s">
        <v>771</v>
      </c>
      <c r="AU18" s="805"/>
      <c r="AV18" s="805"/>
      <c r="AW18" s="805"/>
      <c r="AX18" s="805"/>
      <c r="AY18" s="805"/>
    </row>
    <row r="19" spans="1:51" ht="30" customHeight="1">
      <c r="A19" s="809"/>
      <c r="B19" s="809"/>
      <c r="C19" s="809"/>
      <c r="D19" s="805" t="s">
        <v>815</v>
      </c>
      <c r="E19" s="805"/>
      <c r="F19" s="805"/>
      <c r="G19" s="805"/>
      <c r="H19" s="805"/>
      <c r="I19" s="805"/>
      <c r="J19" s="804"/>
      <c r="K19" s="804"/>
      <c r="L19" s="804"/>
      <c r="M19" s="804"/>
      <c r="N19" s="804"/>
      <c r="O19" s="804"/>
      <c r="P19" s="805" t="s">
        <v>816</v>
      </c>
      <c r="Q19" s="805"/>
      <c r="R19" s="805"/>
      <c r="S19" s="805"/>
      <c r="T19" s="805"/>
      <c r="U19" s="805"/>
      <c r="V19" s="805" t="s">
        <v>297</v>
      </c>
      <c r="W19" s="805"/>
      <c r="X19" s="805"/>
      <c r="Y19" s="805"/>
      <c r="Z19" s="805"/>
      <c r="AA19" s="805"/>
      <c r="AB19" s="805"/>
      <c r="AC19" s="805"/>
      <c r="AD19" s="805" t="s">
        <v>297</v>
      </c>
      <c r="AE19" s="805"/>
      <c r="AF19" s="805"/>
      <c r="AG19" s="805"/>
      <c r="AH19" s="805"/>
      <c r="AI19" s="805"/>
      <c r="AJ19" s="805"/>
      <c r="AK19" s="805"/>
      <c r="AL19" s="805"/>
      <c r="AM19" s="805"/>
      <c r="AN19" s="805"/>
      <c r="AO19" s="805"/>
      <c r="AP19" s="804"/>
      <c r="AQ19" s="804"/>
      <c r="AR19" s="804"/>
      <c r="AS19" s="804"/>
      <c r="AT19" s="805" t="s">
        <v>75</v>
      </c>
      <c r="AU19" s="805"/>
      <c r="AV19" s="805"/>
      <c r="AW19" s="805"/>
      <c r="AX19" s="805"/>
      <c r="AY19" s="805"/>
    </row>
    <row r="26" ht="15">
      <c r="S26" s="113" t="s">
        <v>601</v>
      </c>
    </row>
  </sheetData>
  <sheetProtection/>
  <mergeCells count="56">
    <mergeCell ref="AT19:AY19"/>
    <mergeCell ref="AT17:AY17"/>
    <mergeCell ref="D18:I18"/>
    <mergeCell ref="P18:U18"/>
    <mergeCell ref="V18:AC18"/>
    <mergeCell ref="AD18:AO18"/>
    <mergeCell ref="AT18:AY18"/>
    <mergeCell ref="P19:U19"/>
    <mergeCell ref="V19:AC19"/>
    <mergeCell ref="AD19:AO19"/>
    <mergeCell ref="AH11:AS11"/>
    <mergeCell ref="AT11:AU11"/>
    <mergeCell ref="A17:C19"/>
    <mergeCell ref="D17:I17"/>
    <mergeCell ref="J17:O19"/>
    <mergeCell ref="P17:U17"/>
    <mergeCell ref="V17:AC17"/>
    <mergeCell ref="AD17:AO17"/>
    <mergeCell ref="D19:I19"/>
    <mergeCell ref="AP17:AS19"/>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landscape" scale="13"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Y27"/>
  <sheetViews>
    <sheetView view="pageBreakPreview" zoomScale="60" zoomScaleNormal="70" zoomScalePageLayoutView="0" workbookViewId="0" topLeftCell="AU16">
      <selection activeCell="AW14" sqref="AW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8.28125" style="113" customWidth="1"/>
    <col min="46" max="46" width="17.140625" style="113" customWidth="1"/>
    <col min="47" max="47" width="15.8515625" style="217" customWidth="1"/>
    <col min="48" max="48" width="68.28125" style="113" customWidth="1"/>
    <col min="49" max="49" width="76.57421875" style="113" customWidth="1"/>
    <col min="50" max="51" width="52.14062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787</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393">
        <v>2023</v>
      </c>
      <c r="S12" s="120">
        <v>2024</v>
      </c>
      <c r="T12" s="783"/>
      <c r="U12" s="78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83"/>
      <c r="AW12" s="783"/>
      <c r="AX12" s="783"/>
      <c r="AY12" s="783"/>
    </row>
    <row r="13" spans="1:51" ht="279.7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465">
        <v>1</v>
      </c>
      <c r="AI13" s="459">
        <v>0</v>
      </c>
      <c r="AJ13" s="459"/>
      <c r="AK13" s="459">
        <v>0</v>
      </c>
      <c r="AL13" s="459"/>
      <c r="AM13" s="459"/>
      <c r="AN13" s="372">
        <v>1</v>
      </c>
      <c r="AO13" s="471">
        <v>1</v>
      </c>
      <c r="AP13" s="465"/>
      <c r="AQ13" s="459"/>
      <c r="AR13" s="459"/>
      <c r="AS13" s="459"/>
      <c r="AT13" s="485">
        <f>SUM(AH13:AS13)</f>
        <v>3</v>
      </c>
      <c r="AU13" s="379">
        <f>+AT13/R13</f>
        <v>0.5</v>
      </c>
      <c r="AV13" s="491" t="s">
        <v>897</v>
      </c>
      <c r="AW13" s="539" t="s">
        <v>974</v>
      </c>
      <c r="AX13" s="445" t="s">
        <v>896</v>
      </c>
      <c r="AY13" s="494" t="s">
        <v>965</v>
      </c>
    </row>
    <row r="14" spans="1:51" s="324" customFormat="1" ht="287.2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16"/>
      <c r="AI14" s="323"/>
      <c r="AJ14" s="323"/>
      <c r="AK14" s="323"/>
      <c r="AL14" s="323"/>
      <c r="AM14" s="323"/>
      <c r="AN14" s="502"/>
      <c r="AO14" s="416"/>
      <c r="AP14" s="543">
        <v>1</v>
      </c>
      <c r="AQ14" s="323"/>
      <c r="AR14" s="323"/>
      <c r="AS14" s="323"/>
      <c r="AT14" s="124">
        <f>SUM(AH14:AS14)</f>
        <v>1</v>
      </c>
      <c r="AU14" s="379">
        <f>+AT14/R14</f>
        <v>1</v>
      </c>
      <c r="AV14" s="540" t="s">
        <v>975</v>
      </c>
      <c r="AW14" s="541" t="s">
        <v>976</v>
      </c>
      <c r="AX14" s="494" t="s">
        <v>965</v>
      </c>
      <c r="AY14" s="494" t="s">
        <v>965</v>
      </c>
    </row>
    <row r="15" spans="1:51" s="326" customFormat="1" ht="318"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44">
        <v>1.16</v>
      </c>
      <c r="AJ15" s="444">
        <v>1</v>
      </c>
      <c r="AK15" s="444">
        <v>1</v>
      </c>
      <c r="AL15" s="444">
        <v>1</v>
      </c>
      <c r="AM15" s="444">
        <v>1</v>
      </c>
      <c r="AN15" s="503">
        <v>1</v>
      </c>
      <c r="AO15" s="382">
        <v>1</v>
      </c>
      <c r="AP15" s="382">
        <v>1</v>
      </c>
      <c r="AQ15" s="319"/>
      <c r="AR15" s="319"/>
      <c r="AS15" s="319"/>
      <c r="AT15" s="127">
        <f>AVERAGE(AH15:AS15)</f>
        <v>1.000488888888889</v>
      </c>
      <c r="AU15" s="379">
        <f>+(SUM(AH15:AS15)/+SUM(V15:AG15))</f>
        <v>0.7503666666666667</v>
      </c>
      <c r="AV15" s="486" t="s">
        <v>977</v>
      </c>
      <c r="AW15" s="542" t="s">
        <v>978</v>
      </c>
      <c r="AX15" s="445" t="s">
        <v>896</v>
      </c>
      <c r="AY15" s="494" t="s">
        <v>965</v>
      </c>
    </row>
    <row r="16" spans="1:51" s="326" customFormat="1" ht="249.75"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82">
        <v>0.4651</v>
      </c>
      <c r="AI16" s="444">
        <v>0.79</v>
      </c>
      <c r="AJ16" s="444">
        <v>0.92</v>
      </c>
      <c r="AK16" s="444">
        <v>0.91</v>
      </c>
      <c r="AL16" s="444">
        <v>0.92</v>
      </c>
      <c r="AM16" s="382">
        <v>0.89</v>
      </c>
      <c r="AN16" s="504">
        <v>0.89</v>
      </c>
      <c r="AO16" s="392">
        <v>0.93</v>
      </c>
      <c r="AP16" s="392">
        <v>0.92</v>
      </c>
      <c r="AQ16" s="319"/>
      <c r="AR16" s="319"/>
      <c r="AS16" s="319"/>
      <c r="AT16" s="127">
        <f>AVERAGE(AH16:AS16)</f>
        <v>0.8483444444444443</v>
      </c>
      <c r="AU16" s="379">
        <f>+(SUM(AH16:AS16)/+SUM(V16:AG16))</f>
        <v>0.9089404761904761</v>
      </c>
      <c r="AV16" s="512" t="s">
        <v>979</v>
      </c>
      <c r="AW16" s="486" t="s">
        <v>980</v>
      </c>
      <c r="AX16" s="445" t="s">
        <v>896</v>
      </c>
      <c r="AY16" s="494" t="s">
        <v>965</v>
      </c>
    </row>
    <row r="17" spans="1:51" s="326" customFormat="1" ht="294"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17"/>
      <c r="AI17" s="319"/>
      <c r="AJ17" s="319"/>
      <c r="AK17" s="319"/>
      <c r="AL17" s="319"/>
      <c r="AM17" s="319"/>
      <c r="AN17" s="319">
        <v>1</v>
      </c>
      <c r="AO17" s="417"/>
      <c r="AP17" s="417"/>
      <c r="AQ17" s="319"/>
      <c r="AR17" s="319"/>
      <c r="AS17" s="319"/>
      <c r="AT17" s="124">
        <f>SUM(AH17:AS17)</f>
        <v>1</v>
      </c>
      <c r="AU17" s="379">
        <f>+AT17/R17</f>
        <v>0.5</v>
      </c>
      <c r="AV17" s="496" t="s">
        <v>897</v>
      </c>
      <c r="AW17" s="497" t="s">
        <v>981</v>
      </c>
      <c r="AX17" s="445" t="s">
        <v>896</v>
      </c>
      <c r="AY17" s="494" t="s">
        <v>965</v>
      </c>
    </row>
    <row r="18" spans="1:51" ht="54" customHeight="1">
      <c r="A18" s="809" t="s">
        <v>64</v>
      </c>
      <c r="B18" s="809"/>
      <c r="C18" s="809"/>
      <c r="D18" s="805" t="s">
        <v>66</v>
      </c>
      <c r="E18" s="805"/>
      <c r="F18" s="805"/>
      <c r="G18" s="805"/>
      <c r="H18" s="805"/>
      <c r="I18" s="805"/>
      <c r="J18" s="804" t="s">
        <v>300</v>
      </c>
      <c r="K18" s="804"/>
      <c r="L18" s="804"/>
      <c r="M18" s="804"/>
      <c r="N18" s="804"/>
      <c r="O18" s="804"/>
      <c r="P18" s="805" t="s">
        <v>66</v>
      </c>
      <c r="Q18" s="805"/>
      <c r="R18" s="805"/>
      <c r="S18" s="805"/>
      <c r="T18" s="805"/>
      <c r="U18" s="805"/>
      <c r="V18" s="805" t="s">
        <v>66</v>
      </c>
      <c r="W18" s="805"/>
      <c r="X18" s="805"/>
      <c r="Y18" s="805"/>
      <c r="Z18" s="805"/>
      <c r="AA18" s="805"/>
      <c r="AB18" s="805"/>
      <c r="AC18" s="805"/>
      <c r="AD18" s="805" t="s">
        <v>66</v>
      </c>
      <c r="AE18" s="805"/>
      <c r="AF18" s="805"/>
      <c r="AG18" s="805"/>
      <c r="AH18" s="805"/>
      <c r="AI18" s="805"/>
      <c r="AJ18" s="805"/>
      <c r="AK18" s="805"/>
      <c r="AL18" s="805"/>
      <c r="AM18" s="805"/>
      <c r="AN18" s="805"/>
      <c r="AO18" s="805"/>
      <c r="AP18" s="804" t="s">
        <v>318</v>
      </c>
      <c r="AQ18" s="804"/>
      <c r="AR18" s="804"/>
      <c r="AS18" s="804"/>
      <c r="AT18" s="805" t="s">
        <v>13</v>
      </c>
      <c r="AU18" s="805"/>
      <c r="AV18" s="805"/>
      <c r="AW18" s="805"/>
      <c r="AX18" s="805"/>
      <c r="AY18" s="805"/>
    </row>
    <row r="19" spans="1:51" ht="30" customHeight="1">
      <c r="A19" s="809"/>
      <c r="B19" s="809"/>
      <c r="C19" s="809"/>
      <c r="D19" s="805" t="s">
        <v>814</v>
      </c>
      <c r="E19" s="805"/>
      <c r="F19" s="805"/>
      <c r="G19" s="805"/>
      <c r="H19" s="805"/>
      <c r="I19" s="805"/>
      <c r="J19" s="804"/>
      <c r="K19" s="804"/>
      <c r="L19" s="804"/>
      <c r="M19" s="804"/>
      <c r="N19" s="804"/>
      <c r="O19" s="804"/>
      <c r="P19" s="805" t="s">
        <v>847</v>
      </c>
      <c r="Q19" s="805"/>
      <c r="R19" s="805"/>
      <c r="S19" s="805"/>
      <c r="T19" s="805"/>
      <c r="U19" s="805"/>
      <c r="V19" s="805" t="s">
        <v>65</v>
      </c>
      <c r="W19" s="805"/>
      <c r="X19" s="805"/>
      <c r="Y19" s="805"/>
      <c r="Z19" s="805"/>
      <c r="AA19" s="805"/>
      <c r="AB19" s="805"/>
      <c r="AC19" s="805"/>
      <c r="AD19" s="805" t="s">
        <v>65</v>
      </c>
      <c r="AE19" s="805"/>
      <c r="AF19" s="805"/>
      <c r="AG19" s="805"/>
      <c r="AH19" s="805"/>
      <c r="AI19" s="805"/>
      <c r="AJ19" s="805"/>
      <c r="AK19" s="805"/>
      <c r="AL19" s="805"/>
      <c r="AM19" s="805"/>
      <c r="AN19" s="805"/>
      <c r="AO19" s="805"/>
      <c r="AP19" s="804"/>
      <c r="AQ19" s="804"/>
      <c r="AR19" s="804"/>
      <c r="AS19" s="804"/>
      <c r="AT19" s="805" t="s">
        <v>771</v>
      </c>
      <c r="AU19" s="805"/>
      <c r="AV19" s="805"/>
      <c r="AW19" s="805"/>
      <c r="AX19" s="805"/>
      <c r="AY19" s="805"/>
    </row>
    <row r="20" spans="1:51" ht="30" customHeight="1">
      <c r="A20" s="809"/>
      <c r="B20" s="809"/>
      <c r="C20" s="809"/>
      <c r="D20" s="805" t="s">
        <v>815</v>
      </c>
      <c r="E20" s="805"/>
      <c r="F20" s="805"/>
      <c r="G20" s="805"/>
      <c r="H20" s="805"/>
      <c r="I20" s="805"/>
      <c r="J20" s="804"/>
      <c r="K20" s="804"/>
      <c r="L20" s="804"/>
      <c r="M20" s="804"/>
      <c r="N20" s="804"/>
      <c r="O20" s="804"/>
      <c r="P20" s="805" t="s">
        <v>816</v>
      </c>
      <c r="Q20" s="805"/>
      <c r="R20" s="805"/>
      <c r="S20" s="805"/>
      <c r="T20" s="805"/>
      <c r="U20" s="805"/>
      <c r="V20" s="805" t="s">
        <v>297</v>
      </c>
      <c r="W20" s="805"/>
      <c r="X20" s="805"/>
      <c r="Y20" s="805"/>
      <c r="Z20" s="805"/>
      <c r="AA20" s="805"/>
      <c r="AB20" s="805"/>
      <c r="AC20" s="805"/>
      <c r="AD20" s="805" t="s">
        <v>297</v>
      </c>
      <c r="AE20" s="805"/>
      <c r="AF20" s="805"/>
      <c r="AG20" s="805"/>
      <c r="AH20" s="805"/>
      <c r="AI20" s="805"/>
      <c r="AJ20" s="805"/>
      <c r="AK20" s="805"/>
      <c r="AL20" s="805"/>
      <c r="AM20" s="805"/>
      <c r="AN20" s="805"/>
      <c r="AO20" s="805"/>
      <c r="AP20" s="804"/>
      <c r="AQ20" s="804"/>
      <c r="AR20" s="804"/>
      <c r="AS20" s="804"/>
      <c r="AT20" s="805" t="s">
        <v>75</v>
      </c>
      <c r="AU20" s="805"/>
      <c r="AV20" s="805"/>
      <c r="AW20" s="805"/>
      <c r="AX20" s="805"/>
      <c r="AY20" s="805"/>
    </row>
    <row r="27" ht="15">
      <c r="S27" s="113" t="s">
        <v>601</v>
      </c>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5" r:id="rId3"/>
  <legacyDrawing r:id="rId2"/>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Y18"/>
  <sheetViews>
    <sheetView view="pageBreakPreview" zoomScale="60" zoomScaleNormal="70" zoomScalePageLayoutView="0" workbookViewId="0" topLeftCell="AI13">
      <selection activeCell="AQ14" sqref="AQ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8.28125" style="113" customWidth="1"/>
    <col min="46" max="46" width="17.140625" style="113" customWidth="1"/>
    <col min="47" max="47" width="15.8515625" style="217" customWidth="1"/>
    <col min="48" max="49" width="57.28125" style="113" customWidth="1"/>
    <col min="50" max="51" width="33.851562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788</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83"/>
      <c r="AW12" s="783"/>
      <c r="AX12" s="783"/>
      <c r="AY12" s="783"/>
    </row>
    <row r="13" spans="1:51" ht="115.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c r="AT13" s="124">
        <f>SUM(AH13:AS13)</f>
        <v>44</v>
      </c>
      <c r="AU13" s="127">
        <f>+AT13/R13</f>
        <v>0.88</v>
      </c>
      <c r="AV13" s="321" t="s">
        <v>982</v>
      </c>
      <c r="AW13" s="473" t="s">
        <v>983</v>
      </c>
      <c r="AX13" s="412" t="s">
        <v>450</v>
      </c>
      <c r="AY13" s="412" t="s">
        <v>450</v>
      </c>
    </row>
    <row r="14" spans="1:51" ht="226.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59">
        <v>2</v>
      </c>
      <c r="AJ14" s="459">
        <v>2</v>
      </c>
      <c r="AK14" s="459">
        <v>2</v>
      </c>
      <c r="AL14" s="459">
        <v>2</v>
      </c>
      <c r="AM14" s="459">
        <v>2</v>
      </c>
      <c r="AN14" s="459">
        <v>2</v>
      </c>
      <c r="AO14" s="459">
        <v>2</v>
      </c>
      <c r="AP14" s="124">
        <v>2</v>
      </c>
      <c r="AQ14" s="124"/>
      <c r="AR14" s="124"/>
      <c r="AS14" s="124"/>
      <c r="AT14" s="124">
        <f>SUM(AH14:AS14)</f>
        <v>16</v>
      </c>
      <c r="AU14" s="127">
        <f>+AT14/R14</f>
        <v>0.8</v>
      </c>
      <c r="AV14" s="443" t="s">
        <v>984</v>
      </c>
      <c r="AW14" s="473" t="s">
        <v>985</v>
      </c>
      <c r="AX14" s="412" t="s">
        <v>450</v>
      </c>
      <c r="AY14" s="412" t="s">
        <v>450</v>
      </c>
    </row>
    <row r="15" spans="1:51" ht="198"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v>1</v>
      </c>
      <c r="AO15" s="124"/>
      <c r="AP15" s="124"/>
      <c r="AQ15" s="124"/>
      <c r="AR15" s="124"/>
      <c r="AS15" s="124"/>
      <c r="AT15" s="124">
        <f>SUM(AH15:AS15)</f>
        <v>1</v>
      </c>
      <c r="AU15" s="127">
        <f>+AT15/R15</f>
        <v>0.5</v>
      </c>
      <c r="AV15" s="321" t="s">
        <v>982</v>
      </c>
      <c r="AW15" s="473" t="s">
        <v>986</v>
      </c>
      <c r="AX15" s="412" t="s">
        <v>450</v>
      </c>
      <c r="AY15" s="412" t="s">
        <v>450</v>
      </c>
    </row>
    <row r="16" spans="1:51" ht="54" customHeight="1">
      <c r="A16" s="809" t="s">
        <v>64</v>
      </c>
      <c r="B16" s="809"/>
      <c r="C16" s="809"/>
      <c r="D16" s="805" t="s">
        <v>66</v>
      </c>
      <c r="E16" s="805"/>
      <c r="F16" s="805"/>
      <c r="G16" s="805"/>
      <c r="H16" s="805"/>
      <c r="I16" s="805"/>
      <c r="J16" s="804" t="s">
        <v>300</v>
      </c>
      <c r="K16" s="804"/>
      <c r="L16" s="804"/>
      <c r="M16" s="804"/>
      <c r="N16" s="804"/>
      <c r="O16" s="804"/>
      <c r="P16" s="805" t="s">
        <v>66</v>
      </c>
      <c r="Q16" s="805"/>
      <c r="R16" s="805"/>
      <c r="S16" s="805"/>
      <c r="T16" s="805"/>
      <c r="U16" s="805"/>
      <c r="V16" s="805" t="s">
        <v>66</v>
      </c>
      <c r="W16" s="805"/>
      <c r="X16" s="805"/>
      <c r="Y16" s="805"/>
      <c r="Z16" s="805"/>
      <c r="AA16" s="805"/>
      <c r="AB16" s="805"/>
      <c r="AC16" s="805"/>
      <c r="AD16" s="805" t="s">
        <v>66</v>
      </c>
      <c r="AE16" s="805"/>
      <c r="AF16" s="805"/>
      <c r="AG16" s="805"/>
      <c r="AH16" s="805"/>
      <c r="AI16" s="805"/>
      <c r="AJ16" s="805"/>
      <c r="AK16" s="805"/>
      <c r="AL16" s="805"/>
      <c r="AM16" s="805"/>
      <c r="AN16" s="805"/>
      <c r="AO16" s="805"/>
      <c r="AP16" s="804" t="s">
        <v>318</v>
      </c>
      <c r="AQ16" s="804"/>
      <c r="AR16" s="804"/>
      <c r="AS16" s="804"/>
      <c r="AT16" s="805" t="s">
        <v>13</v>
      </c>
      <c r="AU16" s="805"/>
      <c r="AV16" s="805"/>
      <c r="AW16" s="805"/>
      <c r="AX16" s="805"/>
      <c r="AY16" s="805"/>
    </row>
    <row r="17" spans="1:51" ht="30" customHeight="1">
      <c r="A17" s="809"/>
      <c r="B17" s="809"/>
      <c r="C17" s="809"/>
      <c r="D17" s="805" t="s">
        <v>801</v>
      </c>
      <c r="E17" s="805"/>
      <c r="F17" s="805"/>
      <c r="G17" s="805"/>
      <c r="H17" s="805"/>
      <c r="I17" s="805"/>
      <c r="J17" s="804"/>
      <c r="K17" s="804"/>
      <c r="L17" s="804"/>
      <c r="M17" s="804"/>
      <c r="N17" s="804"/>
      <c r="O17" s="804"/>
      <c r="P17" s="805" t="s">
        <v>801</v>
      </c>
      <c r="Q17" s="805"/>
      <c r="R17" s="805"/>
      <c r="S17" s="805"/>
      <c r="T17" s="805"/>
      <c r="U17" s="805"/>
      <c r="V17" s="805" t="s">
        <v>65</v>
      </c>
      <c r="W17" s="805"/>
      <c r="X17" s="805"/>
      <c r="Y17" s="805"/>
      <c r="Z17" s="805"/>
      <c r="AA17" s="805"/>
      <c r="AB17" s="805"/>
      <c r="AC17" s="805"/>
      <c r="AD17" s="805" t="s">
        <v>65</v>
      </c>
      <c r="AE17" s="805"/>
      <c r="AF17" s="805"/>
      <c r="AG17" s="805"/>
      <c r="AH17" s="805"/>
      <c r="AI17" s="805"/>
      <c r="AJ17" s="805"/>
      <c r="AK17" s="805"/>
      <c r="AL17" s="805"/>
      <c r="AM17" s="805"/>
      <c r="AN17" s="805"/>
      <c r="AO17" s="805"/>
      <c r="AP17" s="804"/>
      <c r="AQ17" s="804"/>
      <c r="AR17" s="804"/>
      <c r="AS17" s="804"/>
      <c r="AT17" s="805" t="s">
        <v>771</v>
      </c>
      <c r="AU17" s="805"/>
      <c r="AV17" s="805"/>
      <c r="AW17" s="805"/>
      <c r="AX17" s="805"/>
      <c r="AY17" s="805"/>
    </row>
    <row r="18" spans="1:51" ht="30" customHeight="1">
      <c r="A18" s="809"/>
      <c r="B18" s="809"/>
      <c r="C18" s="809"/>
      <c r="D18" s="805" t="s">
        <v>802</v>
      </c>
      <c r="E18" s="805"/>
      <c r="F18" s="805"/>
      <c r="G18" s="805"/>
      <c r="H18" s="805"/>
      <c r="I18" s="805"/>
      <c r="J18" s="804"/>
      <c r="K18" s="804"/>
      <c r="L18" s="804"/>
      <c r="M18" s="804"/>
      <c r="N18" s="804"/>
      <c r="O18" s="804"/>
      <c r="P18" s="805" t="s">
        <v>802</v>
      </c>
      <c r="Q18" s="805"/>
      <c r="R18" s="805"/>
      <c r="S18" s="805"/>
      <c r="T18" s="805"/>
      <c r="U18" s="805"/>
      <c r="V18" s="805" t="s">
        <v>297</v>
      </c>
      <c r="W18" s="805"/>
      <c r="X18" s="805"/>
      <c r="Y18" s="805"/>
      <c r="Z18" s="805"/>
      <c r="AA18" s="805"/>
      <c r="AB18" s="805"/>
      <c r="AC18" s="805"/>
      <c r="AD18" s="805" t="s">
        <v>297</v>
      </c>
      <c r="AE18" s="805"/>
      <c r="AF18" s="805"/>
      <c r="AG18" s="805"/>
      <c r="AH18" s="805"/>
      <c r="AI18" s="805"/>
      <c r="AJ18" s="805"/>
      <c r="AK18" s="805"/>
      <c r="AL18" s="805"/>
      <c r="AM18" s="805"/>
      <c r="AN18" s="805"/>
      <c r="AO18" s="805"/>
      <c r="AP18" s="804"/>
      <c r="AQ18" s="804"/>
      <c r="AR18" s="804"/>
      <c r="AS18" s="804"/>
      <c r="AT18" s="805" t="s">
        <v>75</v>
      </c>
      <c r="AU18" s="805"/>
      <c r="AV18" s="805"/>
      <c r="AW18" s="805"/>
      <c r="AX18" s="805"/>
      <c r="AY18" s="805"/>
    </row>
  </sheetData>
  <sheetProtection/>
  <mergeCells count="56">
    <mergeCell ref="AT18:AY18"/>
    <mergeCell ref="AT16:AY16"/>
    <mergeCell ref="D17:I17"/>
    <mergeCell ref="P17:U17"/>
    <mergeCell ref="V17:AC17"/>
    <mergeCell ref="AD17:AO17"/>
    <mergeCell ref="AT17:AY17"/>
    <mergeCell ref="P18:U18"/>
    <mergeCell ref="V18:AC18"/>
    <mergeCell ref="AD18:AO18"/>
    <mergeCell ref="AH11:AS11"/>
    <mergeCell ref="AT11:AU11"/>
    <mergeCell ref="A16:C18"/>
    <mergeCell ref="D16:I16"/>
    <mergeCell ref="J16:O18"/>
    <mergeCell ref="P16:U16"/>
    <mergeCell ref="V16:AC16"/>
    <mergeCell ref="AD16:AO16"/>
    <mergeCell ref="D18:I18"/>
    <mergeCell ref="AP16:AS18"/>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6"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Y23"/>
  <sheetViews>
    <sheetView view="pageBreakPreview" zoomScale="60" zoomScaleNormal="85" zoomScalePageLayoutView="0" workbookViewId="0" topLeftCell="AB18">
      <selection activeCell="AP16" sqref="AP16"/>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789</v>
      </c>
      <c r="AY4" s="818"/>
    </row>
    <row r="5" spans="1:51" ht="15">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15">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57">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83"/>
      <c r="AW12" s="783"/>
      <c r="AX12" s="783"/>
      <c r="AY12" s="783"/>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58">
        <v>0.65</v>
      </c>
      <c r="AK13" s="124"/>
      <c r="AL13" s="124"/>
      <c r="AM13" s="470">
        <v>0.09</v>
      </c>
      <c r="AN13" s="471"/>
      <c r="AO13" s="471"/>
      <c r="AP13" s="454">
        <v>0.11</v>
      </c>
      <c r="AQ13" s="471"/>
      <c r="AR13" s="471"/>
      <c r="AS13" s="454"/>
      <c r="AT13" s="469">
        <f>SUM(AH13:AS13)</f>
        <v>0.85</v>
      </c>
      <c r="AU13" s="469">
        <f>+AT13/R13</f>
        <v>0.85</v>
      </c>
      <c r="AV13" s="540" t="s">
        <v>987</v>
      </c>
      <c r="AW13" s="491" t="s">
        <v>988</v>
      </c>
      <c r="AX13" s="412" t="s">
        <v>896</v>
      </c>
      <c r="AY13" s="412"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58">
        <v>0.65</v>
      </c>
      <c r="AK14" s="124"/>
      <c r="AL14" s="124"/>
      <c r="AM14" s="470">
        <v>0.09</v>
      </c>
      <c r="AN14" s="471"/>
      <c r="AO14" s="471"/>
      <c r="AP14" s="454">
        <v>0.11</v>
      </c>
      <c r="AQ14" s="471"/>
      <c r="AR14" s="471"/>
      <c r="AS14" s="454"/>
      <c r="AT14" s="469">
        <f aca="true" t="shared" si="0" ref="AT14:AT20">SUM(AH14:AS14)</f>
        <v>0.85</v>
      </c>
      <c r="AU14" s="469">
        <f aca="true" t="shared" si="1" ref="AU14:AU20">+AT14/R14</f>
        <v>0.85</v>
      </c>
      <c r="AV14" s="491" t="s">
        <v>989</v>
      </c>
      <c r="AW14" s="491" t="s">
        <v>990</v>
      </c>
      <c r="AX14" s="412" t="s">
        <v>896</v>
      </c>
      <c r="AY14" s="412"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58">
        <v>0.63</v>
      </c>
      <c r="AK15" s="124"/>
      <c r="AL15" s="124"/>
      <c r="AM15" s="470">
        <v>0.09</v>
      </c>
      <c r="AN15" s="471"/>
      <c r="AO15" s="471"/>
      <c r="AP15" s="454">
        <v>0.11</v>
      </c>
      <c r="AQ15" s="471"/>
      <c r="AR15" s="471"/>
      <c r="AS15" s="454"/>
      <c r="AT15" s="469">
        <f t="shared" si="0"/>
        <v>0.83</v>
      </c>
      <c r="AU15" s="469">
        <f t="shared" si="1"/>
        <v>0.83</v>
      </c>
      <c r="AV15" s="544" t="s">
        <v>991</v>
      </c>
      <c r="AW15" s="544" t="s">
        <v>992</v>
      </c>
      <c r="AX15" s="545" t="s">
        <v>896</v>
      </c>
      <c r="AY15" s="545"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58">
        <v>0.25</v>
      </c>
      <c r="AK16" s="124"/>
      <c r="AL16" s="124"/>
      <c r="AM16" s="454">
        <v>0.25</v>
      </c>
      <c r="AN16" s="471"/>
      <c r="AO16" s="471"/>
      <c r="AP16" s="454">
        <v>0.25</v>
      </c>
      <c r="AQ16" s="471"/>
      <c r="AR16" s="471"/>
      <c r="AS16" s="454"/>
      <c r="AT16" s="469">
        <f t="shared" si="0"/>
        <v>0.75</v>
      </c>
      <c r="AU16" s="469">
        <f t="shared" si="1"/>
        <v>0.75</v>
      </c>
      <c r="AV16" s="544" t="s">
        <v>993</v>
      </c>
      <c r="AW16" s="544" t="s">
        <v>993</v>
      </c>
      <c r="AX16" s="545" t="s">
        <v>896</v>
      </c>
      <c r="AY16" s="545"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58">
        <v>0.25</v>
      </c>
      <c r="AK17" s="124"/>
      <c r="AL17" s="124"/>
      <c r="AM17" s="454">
        <v>0.25</v>
      </c>
      <c r="AN17" s="471"/>
      <c r="AO17" s="471"/>
      <c r="AP17" s="454">
        <v>0.25</v>
      </c>
      <c r="AQ17" s="471"/>
      <c r="AR17" s="471"/>
      <c r="AS17" s="454"/>
      <c r="AT17" s="469">
        <f t="shared" si="0"/>
        <v>0.75</v>
      </c>
      <c r="AU17" s="469">
        <f t="shared" si="1"/>
        <v>0.75</v>
      </c>
      <c r="AV17" s="491" t="s">
        <v>994</v>
      </c>
      <c r="AW17" s="491" t="s">
        <v>995</v>
      </c>
      <c r="AX17" s="494" t="s">
        <v>896</v>
      </c>
      <c r="AY17" s="494"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58">
        <v>0.25</v>
      </c>
      <c r="AK18" s="124"/>
      <c r="AL18" s="124"/>
      <c r="AM18" s="454">
        <v>0.25</v>
      </c>
      <c r="AN18" s="471"/>
      <c r="AO18" s="471"/>
      <c r="AP18" s="454">
        <v>0.25</v>
      </c>
      <c r="AQ18" s="471"/>
      <c r="AR18" s="471"/>
      <c r="AS18" s="454"/>
      <c r="AT18" s="469">
        <f t="shared" si="0"/>
        <v>0.75</v>
      </c>
      <c r="AU18" s="469">
        <f t="shared" si="1"/>
        <v>0.75</v>
      </c>
      <c r="AV18" s="544" t="s">
        <v>996</v>
      </c>
      <c r="AW18" s="544" t="s">
        <v>997</v>
      </c>
      <c r="AX18" s="545" t="s">
        <v>896</v>
      </c>
      <c r="AY18" s="545"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58">
        <v>0.14</v>
      </c>
      <c r="AK19" s="124"/>
      <c r="AL19" s="124"/>
      <c r="AM19" s="454">
        <v>0.21</v>
      </c>
      <c r="AN19" s="471"/>
      <c r="AO19" s="471"/>
      <c r="AP19" s="454">
        <v>0.23</v>
      </c>
      <c r="AQ19" s="471"/>
      <c r="AR19" s="471"/>
      <c r="AS19" s="454"/>
      <c r="AT19" s="469">
        <f t="shared" si="0"/>
        <v>0.58</v>
      </c>
      <c r="AU19" s="469">
        <f t="shared" si="1"/>
        <v>0.58</v>
      </c>
      <c r="AV19" s="491" t="s">
        <v>998</v>
      </c>
      <c r="AW19" s="491" t="s">
        <v>999</v>
      </c>
      <c r="AX19" s="412" t="s">
        <v>896</v>
      </c>
      <c r="AY19" s="412"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58">
        <v>0.14</v>
      </c>
      <c r="AK20" s="124"/>
      <c r="AL20" s="124"/>
      <c r="AM20" s="454">
        <v>0.21</v>
      </c>
      <c r="AN20" s="471"/>
      <c r="AO20" s="471"/>
      <c r="AP20" s="454">
        <v>0.23</v>
      </c>
      <c r="AQ20" s="471"/>
      <c r="AR20" s="471"/>
      <c r="AS20" s="454"/>
      <c r="AT20" s="469">
        <f t="shared" si="0"/>
        <v>0.58</v>
      </c>
      <c r="AU20" s="469">
        <f t="shared" si="1"/>
        <v>0.58</v>
      </c>
      <c r="AV20" s="491" t="s">
        <v>1000</v>
      </c>
      <c r="AW20" s="491" t="s">
        <v>1001</v>
      </c>
      <c r="AX20" s="412" t="s">
        <v>896</v>
      </c>
      <c r="AY20" s="412" t="s">
        <v>450</v>
      </c>
    </row>
    <row r="21" spans="1:51" s="113" customFormat="1" ht="54" customHeight="1">
      <c r="A21" s="809" t="s">
        <v>64</v>
      </c>
      <c r="B21" s="809"/>
      <c r="C21" s="809"/>
      <c r="D21" s="805" t="s">
        <v>66</v>
      </c>
      <c r="E21" s="805"/>
      <c r="F21" s="805"/>
      <c r="G21" s="805"/>
      <c r="H21" s="805"/>
      <c r="I21" s="805"/>
      <c r="J21" s="804" t="s">
        <v>300</v>
      </c>
      <c r="K21" s="804"/>
      <c r="L21" s="804"/>
      <c r="M21" s="804"/>
      <c r="N21" s="804"/>
      <c r="O21" s="804"/>
      <c r="P21" s="805" t="s">
        <v>66</v>
      </c>
      <c r="Q21" s="805"/>
      <c r="R21" s="805"/>
      <c r="S21" s="805"/>
      <c r="T21" s="805"/>
      <c r="U21" s="805"/>
      <c r="V21" s="805" t="s">
        <v>66</v>
      </c>
      <c r="W21" s="805"/>
      <c r="X21" s="805"/>
      <c r="Y21" s="805"/>
      <c r="Z21" s="805"/>
      <c r="AA21" s="805"/>
      <c r="AB21" s="805"/>
      <c r="AC21" s="805"/>
      <c r="AD21" s="805" t="s">
        <v>66</v>
      </c>
      <c r="AE21" s="805"/>
      <c r="AF21" s="805"/>
      <c r="AG21" s="805"/>
      <c r="AH21" s="805"/>
      <c r="AI21" s="805"/>
      <c r="AJ21" s="805"/>
      <c r="AK21" s="805"/>
      <c r="AL21" s="805"/>
      <c r="AM21" s="805"/>
      <c r="AN21" s="805"/>
      <c r="AO21" s="805"/>
      <c r="AP21" s="804" t="s">
        <v>318</v>
      </c>
      <c r="AQ21" s="804"/>
      <c r="AR21" s="804"/>
      <c r="AS21" s="804"/>
      <c r="AT21" s="805" t="s">
        <v>13</v>
      </c>
      <c r="AU21" s="805"/>
      <c r="AV21" s="805"/>
      <c r="AW21" s="805"/>
      <c r="AX21" s="805"/>
      <c r="AY21" s="805"/>
    </row>
    <row r="22" spans="1:51" s="113" customFormat="1" ht="30" customHeight="1">
      <c r="A22" s="809"/>
      <c r="B22" s="809"/>
      <c r="C22" s="809"/>
      <c r="D22" s="805" t="s">
        <v>808</v>
      </c>
      <c r="E22" s="805"/>
      <c r="F22" s="805"/>
      <c r="G22" s="805"/>
      <c r="H22" s="805"/>
      <c r="I22" s="805"/>
      <c r="J22" s="804"/>
      <c r="K22" s="804"/>
      <c r="L22" s="804"/>
      <c r="M22" s="804"/>
      <c r="N22" s="804"/>
      <c r="O22" s="804"/>
      <c r="P22" s="805" t="s">
        <v>809</v>
      </c>
      <c r="Q22" s="805"/>
      <c r="R22" s="805"/>
      <c r="S22" s="805"/>
      <c r="T22" s="805"/>
      <c r="U22" s="805"/>
      <c r="V22" s="805" t="s">
        <v>65</v>
      </c>
      <c r="W22" s="805"/>
      <c r="X22" s="805"/>
      <c r="Y22" s="805"/>
      <c r="Z22" s="805"/>
      <c r="AA22" s="805"/>
      <c r="AB22" s="805"/>
      <c r="AC22" s="805"/>
      <c r="AD22" s="805" t="s">
        <v>65</v>
      </c>
      <c r="AE22" s="805"/>
      <c r="AF22" s="805"/>
      <c r="AG22" s="805"/>
      <c r="AH22" s="805"/>
      <c r="AI22" s="805"/>
      <c r="AJ22" s="805"/>
      <c r="AK22" s="805"/>
      <c r="AL22" s="805"/>
      <c r="AM22" s="805"/>
      <c r="AN22" s="805"/>
      <c r="AO22" s="805"/>
      <c r="AP22" s="804"/>
      <c r="AQ22" s="804"/>
      <c r="AR22" s="804"/>
      <c r="AS22" s="804"/>
      <c r="AT22" s="805" t="s">
        <v>771</v>
      </c>
      <c r="AU22" s="805"/>
      <c r="AV22" s="805"/>
      <c r="AW22" s="805"/>
      <c r="AX22" s="805"/>
      <c r="AY22" s="805"/>
    </row>
    <row r="23" spans="1:51" s="113" customFormat="1" ht="30" customHeight="1">
      <c r="A23" s="809"/>
      <c r="B23" s="809"/>
      <c r="C23" s="809"/>
      <c r="D23" s="805" t="s">
        <v>811</v>
      </c>
      <c r="E23" s="805"/>
      <c r="F23" s="805"/>
      <c r="G23" s="805"/>
      <c r="H23" s="805"/>
      <c r="I23" s="805"/>
      <c r="J23" s="804"/>
      <c r="K23" s="804"/>
      <c r="L23" s="804"/>
      <c r="M23" s="804"/>
      <c r="N23" s="804"/>
      <c r="O23" s="804"/>
      <c r="P23" s="805" t="s">
        <v>810</v>
      </c>
      <c r="Q23" s="805"/>
      <c r="R23" s="805"/>
      <c r="S23" s="805"/>
      <c r="T23" s="805"/>
      <c r="U23" s="805"/>
      <c r="V23" s="805" t="s">
        <v>297</v>
      </c>
      <c r="W23" s="805"/>
      <c r="X23" s="805"/>
      <c r="Y23" s="805"/>
      <c r="Z23" s="805"/>
      <c r="AA23" s="805"/>
      <c r="AB23" s="805"/>
      <c r="AC23" s="805"/>
      <c r="AD23" s="805" t="s">
        <v>297</v>
      </c>
      <c r="AE23" s="805"/>
      <c r="AF23" s="805"/>
      <c r="AG23" s="805"/>
      <c r="AH23" s="805"/>
      <c r="AI23" s="805"/>
      <c r="AJ23" s="805"/>
      <c r="AK23" s="805"/>
      <c r="AL23" s="805"/>
      <c r="AM23" s="805"/>
      <c r="AN23" s="805"/>
      <c r="AO23" s="805"/>
      <c r="AP23" s="804"/>
      <c r="AQ23" s="804"/>
      <c r="AR23" s="804"/>
      <c r="AS23" s="804"/>
      <c r="AT23" s="805" t="s">
        <v>75</v>
      </c>
      <c r="AU23" s="805"/>
      <c r="AV23" s="805"/>
      <c r="AW23" s="805"/>
      <c r="AX23" s="805"/>
      <c r="AY23" s="805"/>
    </row>
  </sheetData>
  <sheetProtection/>
  <mergeCells count="56">
    <mergeCell ref="AT23:AY23"/>
    <mergeCell ref="AT21:AY21"/>
    <mergeCell ref="D22:I22"/>
    <mergeCell ref="P22:U22"/>
    <mergeCell ref="V22:AC22"/>
    <mergeCell ref="AD22:AO22"/>
    <mergeCell ref="AT22:AY22"/>
    <mergeCell ref="P23:U23"/>
    <mergeCell ref="V23:AC23"/>
    <mergeCell ref="AD23:AO23"/>
    <mergeCell ref="AH11:AS11"/>
    <mergeCell ref="AT11:AU11"/>
    <mergeCell ref="A21:C23"/>
    <mergeCell ref="D21:I21"/>
    <mergeCell ref="J21:O23"/>
    <mergeCell ref="P21:U21"/>
    <mergeCell ref="V21:AC21"/>
    <mergeCell ref="AD21:AO21"/>
    <mergeCell ref="D23:I23"/>
    <mergeCell ref="AP21:AS23"/>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landscape" scale="17"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AY25"/>
  <sheetViews>
    <sheetView view="pageBreakPreview" zoomScale="60" zoomScaleNormal="85" zoomScalePageLayoutView="0" workbookViewId="0" topLeftCell="AG21">
      <selection activeCell="AV20" sqref="AV20"/>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8.28125" style="113" customWidth="1"/>
    <col min="46" max="46" width="17.140625" style="113" customWidth="1"/>
    <col min="47" max="47" width="15.8515625" style="217" customWidth="1"/>
    <col min="48" max="48" width="54.8515625" style="113" customWidth="1"/>
    <col min="49" max="49" width="71.7109375" style="113" customWidth="1"/>
    <col min="50" max="51" width="24.42187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790</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83"/>
      <c r="AW12" s="783"/>
      <c r="AX12" s="783"/>
      <c r="AY12" s="783"/>
    </row>
    <row r="13" spans="1:51" ht="195">
      <c r="A13" s="121"/>
      <c r="B13" s="121"/>
      <c r="C13" s="121"/>
      <c r="D13" s="121"/>
      <c r="E13" s="121" t="s">
        <v>425</v>
      </c>
      <c r="F13" s="121"/>
      <c r="G13" s="122" t="s">
        <v>427</v>
      </c>
      <c r="H13" s="122" t="s">
        <v>842</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1"/>
      <c r="AM13" s="470">
        <v>0.25</v>
      </c>
      <c r="AN13" s="465"/>
      <c r="AO13" s="124"/>
      <c r="AP13" s="454">
        <v>0.25</v>
      </c>
      <c r="AQ13" s="124"/>
      <c r="AR13" s="124"/>
      <c r="AS13" s="124"/>
      <c r="AT13" s="127">
        <f>SUM(AH13:AS13)</f>
        <v>0.75</v>
      </c>
      <c r="AU13" s="379">
        <f>+AT13/R13</f>
        <v>0.75</v>
      </c>
      <c r="AV13" s="544" t="s">
        <v>1002</v>
      </c>
      <c r="AW13" s="473" t="s">
        <v>1003</v>
      </c>
      <c r="AX13" s="547" t="s">
        <v>896</v>
      </c>
      <c r="AY13" s="478" t="s">
        <v>450</v>
      </c>
    </row>
    <row r="14" spans="1:51" ht="195">
      <c r="A14" s="121"/>
      <c r="B14" s="121"/>
      <c r="C14" s="121"/>
      <c r="D14" s="121"/>
      <c r="E14" s="121" t="s">
        <v>425</v>
      </c>
      <c r="F14" s="121"/>
      <c r="G14" s="122" t="s">
        <v>427</v>
      </c>
      <c r="H14" s="122" t="s">
        <v>842</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1"/>
      <c r="AM14" s="471"/>
      <c r="AN14" s="465"/>
      <c r="AO14" s="124"/>
      <c r="AP14" s="465"/>
      <c r="AQ14" s="124"/>
      <c r="AR14" s="124"/>
      <c r="AS14" s="124"/>
      <c r="AT14" s="124">
        <f aca="true" t="shared" si="0" ref="AT14:AT22">SUM(AH14:AS14)</f>
        <v>0</v>
      </c>
      <c r="AU14" s="379">
        <f aca="true" t="shared" si="1" ref="AU14:AU22">+AT14/R14</f>
        <v>0</v>
      </c>
      <c r="AV14" s="473" t="s">
        <v>897</v>
      </c>
      <c r="AW14" s="473" t="s">
        <v>1004</v>
      </c>
      <c r="AX14" s="477" t="s">
        <v>450</v>
      </c>
      <c r="AY14" s="478" t="s">
        <v>450</v>
      </c>
    </row>
    <row r="15" spans="1:51" ht="390">
      <c r="A15" s="121"/>
      <c r="B15" s="121"/>
      <c r="C15" s="121"/>
      <c r="D15" s="121"/>
      <c r="E15" s="121" t="s">
        <v>425</v>
      </c>
      <c r="F15" s="121"/>
      <c r="G15" s="122" t="s">
        <v>427</v>
      </c>
      <c r="H15" s="122" t="s">
        <v>842</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1"/>
      <c r="AM15" s="471"/>
      <c r="AN15" s="465"/>
      <c r="AO15" s="124">
        <v>5</v>
      </c>
      <c r="AP15" s="465"/>
      <c r="AQ15" s="124"/>
      <c r="AR15" s="124"/>
      <c r="AS15" s="124"/>
      <c r="AT15" s="124">
        <f t="shared" si="0"/>
        <v>9</v>
      </c>
      <c r="AU15" s="379">
        <f t="shared" si="1"/>
        <v>0.75</v>
      </c>
      <c r="AV15" s="473" t="s">
        <v>897</v>
      </c>
      <c r="AW15" s="473" t="s">
        <v>1005</v>
      </c>
      <c r="AX15" s="467" t="s">
        <v>896</v>
      </c>
      <c r="AY15" s="478" t="s">
        <v>450</v>
      </c>
    </row>
    <row r="16" spans="1:51" ht="267" customHeight="1">
      <c r="A16" s="121"/>
      <c r="B16" s="121"/>
      <c r="C16" s="121"/>
      <c r="D16" s="121"/>
      <c r="E16" s="121" t="s">
        <v>425</v>
      </c>
      <c r="F16" s="121"/>
      <c r="G16" s="122" t="s">
        <v>427</v>
      </c>
      <c r="H16" s="122" t="s">
        <v>842</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1"/>
      <c r="AM16" s="471"/>
      <c r="AN16" s="465"/>
      <c r="AO16" s="124">
        <v>2</v>
      </c>
      <c r="AP16" s="465"/>
      <c r="AQ16" s="124"/>
      <c r="AR16" s="124"/>
      <c r="AS16" s="124"/>
      <c r="AT16" s="124">
        <f t="shared" si="0"/>
        <v>6</v>
      </c>
      <c r="AU16" s="379">
        <f>+AT16/R16</f>
        <v>1</v>
      </c>
      <c r="AV16" s="473" t="s">
        <v>897</v>
      </c>
      <c r="AW16" s="473" t="s">
        <v>1006</v>
      </c>
      <c r="AX16" s="467" t="s">
        <v>896</v>
      </c>
      <c r="AY16" s="478" t="s">
        <v>450</v>
      </c>
    </row>
    <row r="17" spans="1:51" ht="15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63"/>
      <c r="AM17" s="469">
        <v>1</v>
      </c>
      <c r="AN17" s="465"/>
      <c r="AO17" s="124"/>
      <c r="AP17" s="465"/>
      <c r="AQ17" s="124"/>
      <c r="AR17" s="124"/>
      <c r="AS17" s="124"/>
      <c r="AT17" s="464">
        <f>AVERAGE(AH17:AS17)</f>
        <v>1</v>
      </c>
      <c r="AU17" s="382">
        <f>+(SUM(AH17:AS17)/+SUM(V17:AG17))</f>
        <v>0.5</v>
      </c>
      <c r="AV17" s="473" t="s">
        <v>897</v>
      </c>
      <c r="AW17" s="473" t="s">
        <v>1007</v>
      </c>
      <c r="AX17" s="467" t="s">
        <v>896</v>
      </c>
      <c r="AY17" s="478"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54">
        <v>1</v>
      </c>
      <c r="AL18" s="380">
        <v>1</v>
      </c>
      <c r="AM18" s="470">
        <v>1</v>
      </c>
      <c r="AN18" s="454">
        <v>1</v>
      </c>
      <c r="AO18" s="458">
        <v>1</v>
      </c>
      <c r="AP18" s="454">
        <v>1</v>
      </c>
      <c r="AQ18" s="124"/>
      <c r="AR18" s="124"/>
      <c r="AS18" s="124"/>
      <c r="AT18" s="127">
        <f>AVERAGE(AH18:AS18)</f>
        <v>1</v>
      </c>
      <c r="AU18" s="379">
        <f>+(SUM(AH18:AS18)/+SUM(V18:AG18))</f>
        <v>0.75</v>
      </c>
      <c r="AV18" s="546" t="s">
        <v>1008</v>
      </c>
      <c r="AW18" s="474" t="s">
        <v>1009</v>
      </c>
      <c r="AX18" s="467" t="s">
        <v>896</v>
      </c>
      <c r="AY18" s="478" t="s">
        <v>450</v>
      </c>
    </row>
    <row r="19" spans="1:51" ht="358.5" customHeight="1">
      <c r="A19" s="121"/>
      <c r="B19" s="121"/>
      <c r="C19" s="121"/>
      <c r="D19" s="121"/>
      <c r="E19" s="121" t="s">
        <v>425</v>
      </c>
      <c r="F19" s="121"/>
      <c r="G19" s="122" t="s">
        <v>427</v>
      </c>
      <c r="H19" s="122" t="s">
        <v>842</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54">
        <v>1</v>
      </c>
      <c r="AL19" s="381"/>
      <c r="AM19" s="471"/>
      <c r="AN19" s="465"/>
      <c r="AO19" s="458">
        <v>1</v>
      </c>
      <c r="AP19" s="465"/>
      <c r="AQ19" s="124"/>
      <c r="AR19" s="124"/>
      <c r="AS19" s="124"/>
      <c r="AT19" s="127">
        <f>+AO19</f>
        <v>1</v>
      </c>
      <c r="AU19" s="379">
        <f>+(SUM(AH19:AS19)/+SUM(V19:AG19))</f>
        <v>0.6666666666666666</v>
      </c>
      <c r="AV19" s="473" t="s">
        <v>897</v>
      </c>
      <c r="AW19" s="473" t="s">
        <v>1010</v>
      </c>
      <c r="AX19" s="467" t="s">
        <v>896</v>
      </c>
      <c r="AY19" s="478" t="s">
        <v>450</v>
      </c>
    </row>
    <row r="20" spans="1:51" ht="268.5" customHeight="1">
      <c r="A20" s="121"/>
      <c r="B20" s="121"/>
      <c r="C20" s="121"/>
      <c r="D20" s="121"/>
      <c r="E20" s="121" t="s">
        <v>425</v>
      </c>
      <c r="F20" s="121"/>
      <c r="G20" s="122" t="s">
        <v>427</v>
      </c>
      <c r="H20" s="122" t="s">
        <v>842</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1"/>
      <c r="AM20" s="465"/>
      <c r="AN20" s="465">
        <v>1</v>
      </c>
      <c r="AO20" s="124"/>
      <c r="AP20" s="465"/>
      <c r="AQ20" s="124"/>
      <c r="AR20" s="124"/>
      <c r="AS20" s="124"/>
      <c r="AT20" s="124">
        <f t="shared" si="0"/>
        <v>1</v>
      </c>
      <c r="AU20" s="379">
        <f t="shared" si="1"/>
        <v>0.5</v>
      </c>
      <c r="AV20" s="473" t="s">
        <v>897</v>
      </c>
      <c r="AW20" s="473" t="s">
        <v>1011</v>
      </c>
      <c r="AX20" s="467" t="s">
        <v>896</v>
      </c>
      <c r="AY20" s="478" t="s">
        <v>450</v>
      </c>
    </row>
    <row r="21" spans="1:51" ht="216" customHeight="1">
      <c r="A21" s="121"/>
      <c r="B21" s="121"/>
      <c r="C21" s="121"/>
      <c r="D21" s="121"/>
      <c r="E21" s="121" t="s">
        <v>425</v>
      </c>
      <c r="F21" s="121"/>
      <c r="G21" s="122" t="s">
        <v>427</v>
      </c>
      <c r="H21" s="122" t="s">
        <v>842</v>
      </c>
      <c r="I21" s="232" t="s">
        <v>470</v>
      </c>
      <c r="J21" s="233" t="s">
        <v>471</v>
      </c>
      <c r="K21" s="124" t="s">
        <v>430</v>
      </c>
      <c r="L21" s="124"/>
      <c r="M21" s="121" t="s">
        <v>437</v>
      </c>
      <c r="N21" s="122" t="s">
        <v>472</v>
      </c>
      <c r="O21" s="124"/>
      <c r="P21" s="124"/>
      <c r="Q21" s="124"/>
      <c r="R21" s="241">
        <v>12</v>
      </c>
      <c r="S21" s="124"/>
      <c r="T21" s="235" t="s">
        <v>460</v>
      </c>
      <c r="U21" s="232" t="s">
        <v>473</v>
      </c>
      <c r="V21" s="121">
        <v>1</v>
      </c>
      <c r="W21" s="451">
        <v>1</v>
      </c>
      <c r="X21" s="451">
        <v>1</v>
      </c>
      <c r="Y21" s="451">
        <v>1</v>
      </c>
      <c r="Z21" s="451">
        <v>1</v>
      </c>
      <c r="AA21" s="451">
        <v>1</v>
      </c>
      <c r="AB21" s="451">
        <v>1</v>
      </c>
      <c r="AC21" s="451">
        <v>1</v>
      </c>
      <c r="AD21" s="451">
        <v>1</v>
      </c>
      <c r="AE21" s="451">
        <v>1</v>
      </c>
      <c r="AF21" s="451">
        <v>1</v>
      </c>
      <c r="AG21" s="451">
        <v>1</v>
      </c>
      <c r="AH21" s="451">
        <v>1</v>
      </c>
      <c r="AI21" s="451">
        <v>1</v>
      </c>
      <c r="AJ21" s="451">
        <v>1</v>
      </c>
      <c r="AK21" s="451">
        <v>1</v>
      </c>
      <c r="AL21" s="128">
        <v>1</v>
      </c>
      <c r="AM21" s="465">
        <v>1</v>
      </c>
      <c r="AN21" s="465">
        <v>1</v>
      </c>
      <c r="AO21" s="451">
        <v>1</v>
      </c>
      <c r="AP21" s="465">
        <v>1</v>
      </c>
      <c r="AQ21" s="451"/>
      <c r="AR21" s="451"/>
      <c r="AS21" s="451"/>
      <c r="AT21" s="124">
        <f t="shared" si="0"/>
        <v>9</v>
      </c>
      <c r="AU21" s="379">
        <f t="shared" si="1"/>
        <v>0.75</v>
      </c>
      <c r="AV21" s="474" t="s">
        <v>1012</v>
      </c>
      <c r="AW21" s="474" t="s">
        <v>1013</v>
      </c>
      <c r="AX21" s="467" t="s">
        <v>896</v>
      </c>
      <c r="AY21" s="478" t="s">
        <v>450</v>
      </c>
    </row>
    <row r="22" spans="1:51" ht="214.5" customHeight="1">
      <c r="A22" s="121"/>
      <c r="B22" s="121"/>
      <c r="C22" s="121"/>
      <c r="D22" s="121"/>
      <c r="E22" s="121" t="s">
        <v>425</v>
      </c>
      <c r="F22" s="121"/>
      <c r="G22" s="122" t="s">
        <v>427</v>
      </c>
      <c r="H22" s="122" t="s">
        <v>842</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1"/>
      <c r="AM22" s="471"/>
      <c r="AN22" s="465">
        <v>1</v>
      </c>
      <c r="AO22" s="124"/>
      <c r="AP22" s="465"/>
      <c r="AQ22" s="124"/>
      <c r="AR22" s="124"/>
      <c r="AS22" s="124"/>
      <c r="AT22" s="124">
        <f t="shared" si="0"/>
        <v>1</v>
      </c>
      <c r="AU22" s="379">
        <f t="shared" si="1"/>
        <v>0.5</v>
      </c>
      <c r="AV22" s="473" t="s">
        <v>897</v>
      </c>
      <c r="AW22" s="365" t="s">
        <v>1014</v>
      </c>
      <c r="AX22" s="473" t="s">
        <v>896</v>
      </c>
      <c r="AY22" s="477" t="s">
        <v>450</v>
      </c>
    </row>
    <row r="23" spans="1:51" ht="54" customHeight="1">
      <c r="A23" s="809" t="s">
        <v>64</v>
      </c>
      <c r="B23" s="809"/>
      <c r="C23" s="809"/>
      <c r="D23" s="805" t="s">
        <v>66</v>
      </c>
      <c r="E23" s="805"/>
      <c r="F23" s="805"/>
      <c r="G23" s="805"/>
      <c r="H23" s="805"/>
      <c r="I23" s="805"/>
      <c r="J23" s="804" t="s">
        <v>300</v>
      </c>
      <c r="K23" s="804"/>
      <c r="L23" s="804"/>
      <c r="M23" s="804"/>
      <c r="N23" s="804"/>
      <c r="O23" s="804"/>
      <c r="P23" s="805" t="s">
        <v>66</v>
      </c>
      <c r="Q23" s="805"/>
      <c r="R23" s="805"/>
      <c r="S23" s="805"/>
      <c r="T23" s="805"/>
      <c r="U23" s="805"/>
      <c r="V23" s="805" t="s">
        <v>66</v>
      </c>
      <c r="W23" s="805"/>
      <c r="X23" s="805"/>
      <c r="Y23" s="805"/>
      <c r="Z23" s="805"/>
      <c r="AA23" s="805"/>
      <c r="AB23" s="805"/>
      <c r="AC23" s="805"/>
      <c r="AD23" s="805" t="s">
        <v>66</v>
      </c>
      <c r="AE23" s="805"/>
      <c r="AF23" s="805"/>
      <c r="AG23" s="805"/>
      <c r="AH23" s="805"/>
      <c r="AI23" s="805"/>
      <c r="AJ23" s="805"/>
      <c r="AK23" s="805"/>
      <c r="AL23" s="805"/>
      <c r="AM23" s="805"/>
      <c r="AN23" s="805"/>
      <c r="AO23" s="805"/>
      <c r="AP23" s="804" t="s">
        <v>318</v>
      </c>
      <c r="AQ23" s="804"/>
      <c r="AR23" s="804"/>
      <c r="AS23" s="804"/>
      <c r="AT23" s="805" t="s">
        <v>13</v>
      </c>
      <c r="AU23" s="805"/>
      <c r="AV23" s="805"/>
      <c r="AW23" s="805"/>
      <c r="AX23" s="805"/>
      <c r="AY23" s="805"/>
    </row>
    <row r="24" spans="1:51" ht="30" customHeight="1">
      <c r="A24" s="809"/>
      <c r="B24" s="809"/>
      <c r="C24" s="809"/>
      <c r="D24" s="805" t="s">
        <v>796</v>
      </c>
      <c r="E24" s="805"/>
      <c r="F24" s="805"/>
      <c r="G24" s="805"/>
      <c r="H24" s="805"/>
      <c r="I24" s="805"/>
      <c r="J24" s="804"/>
      <c r="K24" s="804"/>
      <c r="L24" s="804"/>
      <c r="M24" s="804"/>
      <c r="N24" s="804"/>
      <c r="O24" s="804"/>
      <c r="P24" s="805" t="s">
        <v>798</v>
      </c>
      <c r="Q24" s="805"/>
      <c r="R24" s="805"/>
      <c r="S24" s="805"/>
      <c r="T24" s="805"/>
      <c r="U24" s="805"/>
      <c r="V24" s="805" t="s">
        <v>799</v>
      </c>
      <c r="W24" s="805"/>
      <c r="X24" s="805"/>
      <c r="Y24" s="805"/>
      <c r="Z24" s="805"/>
      <c r="AA24" s="805"/>
      <c r="AB24" s="805"/>
      <c r="AC24" s="805"/>
      <c r="AD24" s="805" t="s">
        <v>65</v>
      </c>
      <c r="AE24" s="805"/>
      <c r="AF24" s="805"/>
      <c r="AG24" s="805"/>
      <c r="AH24" s="805"/>
      <c r="AI24" s="805"/>
      <c r="AJ24" s="805"/>
      <c r="AK24" s="805"/>
      <c r="AL24" s="805"/>
      <c r="AM24" s="805"/>
      <c r="AN24" s="805"/>
      <c r="AO24" s="805"/>
      <c r="AP24" s="804"/>
      <c r="AQ24" s="804"/>
      <c r="AR24" s="804"/>
      <c r="AS24" s="804"/>
      <c r="AT24" s="805" t="s">
        <v>771</v>
      </c>
      <c r="AU24" s="805"/>
      <c r="AV24" s="805"/>
      <c r="AW24" s="805"/>
      <c r="AX24" s="805"/>
      <c r="AY24" s="805"/>
    </row>
    <row r="25" spans="1:51" ht="30" customHeight="1">
      <c r="A25" s="809"/>
      <c r="B25" s="809"/>
      <c r="C25" s="809"/>
      <c r="D25" s="805" t="s">
        <v>797</v>
      </c>
      <c r="E25" s="805"/>
      <c r="F25" s="805"/>
      <c r="G25" s="805"/>
      <c r="H25" s="805"/>
      <c r="I25" s="805"/>
      <c r="J25" s="804"/>
      <c r="K25" s="804"/>
      <c r="L25" s="804"/>
      <c r="M25" s="804"/>
      <c r="N25" s="804"/>
      <c r="O25" s="804"/>
      <c r="P25" s="805" t="s">
        <v>797</v>
      </c>
      <c r="Q25" s="805"/>
      <c r="R25" s="805"/>
      <c r="S25" s="805"/>
      <c r="T25" s="805"/>
      <c r="U25" s="805"/>
      <c r="V25" s="805" t="s">
        <v>800</v>
      </c>
      <c r="W25" s="805"/>
      <c r="X25" s="805"/>
      <c r="Y25" s="805"/>
      <c r="Z25" s="805"/>
      <c r="AA25" s="805"/>
      <c r="AB25" s="805"/>
      <c r="AC25" s="805"/>
      <c r="AD25" s="805" t="s">
        <v>297</v>
      </c>
      <c r="AE25" s="805"/>
      <c r="AF25" s="805"/>
      <c r="AG25" s="805"/>
      <c r="AH25" s="805"/>
      <c r="AI25" s="805"/>
      <c r="AJ25" s="805"/>
      <c r="AK25" s="805"/>
      <c r="AL25" s="805"/>
      <c r="AM25" s="805"/>
      <c r="AN25" s="805"/>
      <c r="AO25" s="805"/>
      <c r="AP25" s="804"/>
      <c r="AQ25" s="804"/>
      <c r="AR25" s="804"/>
      <c r="AS25" s="804"/>
      <c r="AT25" s="805" t="s">
        <v>75</v>
      </c>
      <c r="AU25" s="805"/>
      <c r="AV25" s="805"/>
      <c r="AW25" s="805"/>
      <c r="AX25" s="805"/>
      <c r="AY25" s="805"/>
    </row>
  </sheetData>
  <sheetProtection/>
  <mergeCells count="56">
    <mergeCell ref="AT25:AY25"/>
    <mergeCell ref="AT23:AY23"/>
    <mergeCell ref="D24:I24"/>
    <mergeCell ref="P24:U24"/>
    <mergeCell ref="V24:AC24"/>
    <mergeCell ref="AD24:AO24"/>
    <mergeCell ref="AT24:AY24"/>
    <mergeCell ref="P25:U25"/>
    <mergeCell ref="V25:AC25"/>
    <mergeCell ref="AD25:AO25"/>
    <mergeCell ref="AH11:AS11"/>
    <mergeCell ref="AT11:AU11"/>
    <mergeCell ref="A23:C25"/>
    <mergeCell ref="D23:I23"/>
    <mergeCell ref="J23:O25"/>
    <mergeCell ref="P23:U23"/>
    <mergeCell ref="V23:AC23"/>
    <mergeCell ref="AD23:AO23"/>
    <mergeCell ref="D25:I25"/>
    <mergeCell ref="AP23:AS25"/>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AY22"/>
  <sheetViews>
    <sheetView view="pageBreakPreview" zoomScale="60" zoomScaleNormal="80" zoomScalePageLayoutView="0" workbookViewId="0" topLeftCell="AB11">
      <selection activeCell="AV15" sqref="AV15"/>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8.281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1130" t="s">
        <v>423</v>
      </c>
      <c r="AY1" s="1131"/>
    </row>
    <row r="2" spans="1:51" ht="15.75" customHeight="1">
      <c r="A2" s="1147" t="s">
        <v>17</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9"/>
      <c r="AX2" s="1133" t="s">
        <v>418</v>
      </c>
      <c r="AY2" s="1134"/>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1133" t="s">
        <v>424</v>
      </c>
      <c r="AY3" s="1134"/>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791</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1143">
        <v>45205</v>
      </c>
      <c r="E6" s="788"/>
      <c r="F6" s="789" t="s">
        <v>67</v>
      </c>
      <c r="G6" s="790"/>
      <c r="H6" s="1171" t="s">
        <v>70</v>
      </c>
      <c r="I6" s="1171"/>
      <c r="J6" s="121"/>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1170"/>
      <c r="AJ6" s="1170"/>
      <c r="AK6" s="1170"/>
      <c r="AL6" s="1170"/>
      <c r="AM6" s="1170"/>
      <c r="AN6" s="1170"/>
      <c r="AO6" s="1170"/>
      <c r="AP6" s="1170"/>
      <c r="AQ6" s="1170"/>
      <c r="AR6" s="1170"/>
      <c r="AS6" s="1170"/>
      <c r="AT6" s="1170"/>
      <c r="AU6" s="792"/>
      <c r="AV6" s="782"/>
      <c r="AW6" s="782"/>
      <c r="AX6" s="782"/>
      <c r="AY6" s="782"/>
    </row>
    <row r="7" spans="1:51" ht="15" customHeight="1">
      <c r="A7" s="787"/>
      <c r="B7" s="787"/>
      <c r="C7" s="787"/>
      <c r="D7" s="788"/>
      <c r="E7" s="788"/>
      <c r="F7" s="791"/>
      <c r="G7" s="792"/>
      <c r="H7" s="1171" t="s">
        <v>68</v>
      </c>
      <c r="I7" s="1171"/>
      <c r="J7" s="121"/>
      <c r="K7" s="791"/>
      <c r="L7" s="1170"/>
      <c r="M7" s="1170"/>
      <c r="N7" s="1170"/>
      <c r="O7" s="1170"/>
      <c r="P7" s="1170"/>
      <c r="Q7" s="1170"/>
      <c r="R7" s="1170"/>
      <c r="S7" s="1170"/>
      <c r="T7" s="1170"/>
      <c r="U7" s="1170"/>
      <c r="V7" s="231"/>
      <c r="W7" s="231"/>
      <c r="X7" s="231"/>
      <c r="Y7" s="231"/>
      <c r="Z7" s="231"/>
      <c r="AA7" s="231"/>
      <c r="AB7" s="231"/>
      <c r="AC7" s="231"/>
      <c r="AD7" s="231"/>
      <c r="AE7" s="231"/>
      <c r="AF7" s="231"/>
      <c r="AG7" s="117"/>
      <c r="AH7" s="791"/>
      <c r="AI7" s="1170"/>
      <c r="AJ7" s="1170"/>
      <c r="AK7" s="1170"/>
      <c r="AL7" s="1170"/>
      <c r="AM7" s="1170"/>
      <c r="AN7" s="1170"/>
      <c r="AO7" s="1170"/>
      <c r="AP7" s="1170"/>
      <c r="AQ7" s="1170"/>
      <c r="AR7" s="1170"/>
      <c r="AS7" s="1170"/>
      <c r="AT7" s="1170"/>
      <c r="AU7" s="792"/>
      <c r="AV7" s="782"/>
      <c r="AW7" s="782"/>
      <c r="AX7" s="782"/>
      <c r="AY7" s="782"/>
    </row>
    <row r="8" spans="1:51" ht="15" customHeight="1">
      <c r="A8" s="787"/>
      <c r="B8" s="787"/>
      <c r="C8" s="787"/>
      <c r="D8" s="788"/>
      <c r="E8" s="788"/>
      <c r="F8" s="793"/>
      <c r="G8" s="794"/>
      <c r="H8" s="1171" t="s">
        <v>69</v>
      </c>
      <c r="I8" s="1171"/>
      <c r="J8" s="121" t="s">
        <v>425</v>
      </c>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1170"/>
      <c r="AJ8" s="1170"/>
      <c r="AK8" s="1170"/>
      <c r="AL8" s="1170"/>
      <c r="AM8" s="1170"/>
      <c r="AN8" s="1170"/>
      <c r="AO8" s="1170"/>
      <c r="AP8" s="1170"/>
      <c r="AQ8" s="1170"/>
      <c r="AR8" s="1170"/>
      <c r="AS8" s="1170"/>
      <c r="AT8" s="1170"/>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1170"/>
      <c r="AJ9" s="1170"/>
      <c r="AK9" s="1170"/>
      <c r="AL9" s="1170"/>
      <c r="AM9" s="1170"/>
      <c r="AN9" s="1170"/>
      <c r="AO9" s="1170"/>
      <c r="AP9" s="1170"/>
      <c r="AQ9" s="1170"/>
      <c r="AR9" s="1170"/>
      <c r="AS9" s="1170"/>
      <c r="AT9" s="1170"/>
      <c r="AU9" s="792"/>
      <c r="AV9" s="782"/>
      <c r="AW9" s="782"/>
      <c r="AX9" s="782"/>
      <c r="AY9" s="782"/>
    </row>
    <row r="10" spans="1:51" ht="15" customHeight="1">
      <c r="A10" s="796" t="s">
        <v>287</v>
      </c>
      <c r="B10" s="797"/>
      <c r="C10" s="798"/>
      <c r="D10" s="803" t="s">
        <v>500</v>
      </c>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292" t="s">
        <v>169</v>
      </c>
      <c r="B12" s="292" t="s">
        <v>170</v>
      </c>
      <c r="C12" s="292" t="s">
        <v>171</v>
      </c>
      <c r="D12" s="292" t="s">
        <v>178</v>
      </c>
      <c r="E12" s="292" t="s">
        <v>185</v>
      </c>
      <c r="F12" s="292" t="s">
        <v>186</v>
      </c>
      <c r="G12" s="292" t="s">
        <v>277</v>
      </c>
      <c r="H12" s="292" t="s">
        <v>184</v>
      </c>
      <c r="I12" s="783"/>
      <c r="J12" s="783"/>
      <c r="K12" s="783"/>
      <c r="L12" s="783"/>
      <c r="M12" s="783"/>
      <c r="N12" s="783"/>
      <c r="O12" s="292">
        <v>2020</v>
      </c>
      <c r="P12" s="292">
        <v>2021</v>
      </c>
      <c r="Q12" s="292">
        <v>2022</v>
      </c>
      <c r="R12" s="292">
        <v>2023</v>
      </c>
      <c r="S12" s="292">
        <v>2024</v>
      </c>
      <c r="T12" s="783"/>
      <c r="U12" s="78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83"/>
      <c r="AW12" s="783"/>
      <c r="AX12" s="783"/>
      <c r="AY12" s="783"/>
    </row>
    <row r="13" spans="1:51" ht="158.25" customHeight="1">
      <c r="A13" s="310"/>
      <c r="B13" s="121"/>
      <c r="C13" s="121"/>
      <c r="D13" s="121"/>
      <c r="E13" s="451"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464">
        <v>1</v>
      </c>
      <c r="AN13" s="124"/>
      <c r="AO13" s="124"/>
      <c r="AP13" s="464">
        <v>1</v>
      </c>
      <c r="AQ13" s="124"/>
      <c r="AR13" s="124"/>
      <c r="AS13" s="124"/>
      <c r="AT13" s="127">
        <f aca="true" t="shared" si="0" ref="AT13:AT18">AVERAGE(AH13:AS13)</f>
        <v>1</v>
      </c>
      <c r="AU13" s="379">
        <f aca="true" t="shared" si="1" ref="AU13:AU18">+(SUM(AH13:AS13)/+SUM(V13:AG13))</f>
        <v>0.75</v>
      </c>
      <c r="AV13" s="476" t="s">
        <v>1015</v>
      </c>
      <c r="AW13" s="476" t="s">
        <v>1016</v>
      </c>
      <c r="AX13" s="467" t="s">
        <v>896</v>
      </c>
      <c r="AY13" s="467" t="s">
        <v>450</v>
      </c>
    </row>
    <row r="14" spans="1:51" ht="124.5" customHeight="1">
      <c r="A14" s="310"/>
      <c r="B14" s="121"/>
      <c r="C14" s="121"/>
      <c r="D14" s="121"/>
      <c r="E14" s="451"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464">
        <v>1</v>
      </c>
      <c r="AN14" s="124"/>
      <c r="AO14" s="124"/>
      <c r="AP14" s="464">
        <v>1</v>
      </c>
      <c r="AQ14" s="124"/>
      <c r="AR14" s="124"/>
      <c r="AS14" s="124"/>
      <c r="AT14" s="464">
        <f t="shared" si="0"/>
        <v>1</v>
      </c>
      <c r="AU14" s="379">
        <f t="shared" si="1"/>
        <v>0.75</v>
      </c>
      <c r="AV14" s="476" t="s">
        <v>1017</v>
      </c>
      <c r="AW14" s="476" t="s">
        <v>1018</v>
      </c>
      <c r="AX14" s="467" t="s">
        <v>896</v>
      </c>
      <c r="AY14" s="467" t="s">
        <v>450</v>
      </c>
    </row>
    <row r="15" spans="1:51" ht="138" customHeight="1">
      <c r="A15" s="310"/>
      <c r="B15" s="121"/>
      <c r="C15" s="121"/>
      <c r="D15" s="121"/>
      <c r="E15" s="451"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464">
        <v>1</v>
      </c>
      <c r="AN15" s="124"/>
      <c r="AO15" s="124"/>
      <c r="AP15" s="464">
        <v>1</v>
      </c>
      <c r="AQ15" s="124"/>
      <c r="AR15" s="124"/>
      <c r="AS15" s="124"/>
      <c r="AT15" s="464">
        <f t="shared" si="0"/>
        <v>1</v>
      </c>
      <c r="AU15" s="379">
        <f t="shared" si="1"/>
        <v>0.75</v>
      </c>
      <c r="AV15" s="476" t="s">
        <v>1019</v>
      </c>
      <c r="AW15" s="476" t="s">
        <v>1020</v>
      </c>
      <c r="AX15" s="467" t="s">
        <v>896</v>
      </c>
      <c r="AY15" s="467" t="s">
        <v>450</v>
      </c>
    </row>
    <row r="16" spans="1:51" ht="124.5" customHeight="1">
      <c r="A16" s="310"/>
      <c r="B16" s="121"/>
      <c r="C16" s="121"/>
      <c r="D16" s="121"/>
      <c r="E16" s="451"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464">
        <v>1</v>
      </c>
      <c r="AN16" s="124"/>
      <c r="AO16" s="124"/>
      <c r="AP16" s="464">
        <v>1</v>
      </c>
      <c r="AQ16" s="124"/>
      <c r="AR16" s="124"/>
      <c r="AS16" s="124"/>
      <c r="AT16" s="464">
        <f t="shared" si="0"/>
        <v>1</v>
      </c>
      <c r="AU16" s="379">
        <f t="shared" si="1"/>
        <v>0.75</v>
      </c>
      <c r="AV16" s="466" t="s">
        <v>1021</v>
      </c>
      <c r="AW16" s="466" t="s">
        <v>1022</v>
      </c>
      <c r="AX16" s="467" t="s">
        <v>896</v>
      </c>
      <c r="AY16" s="467" t="s">
        <v>450</v>
      </c>
    </row>
    <row r="17" spans="1:51" ht="124.5" customHeight="1">
      <c r="A17" s="310"/>
      <c r="B17" s="121"/>
      <c r="C17" s="121"/>
      <c r="D17" s="121"/>
      <c r="E17" s="451"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464">
        <v>1</v>
      </c>
      <c r="AN17" s="124"/>
      <c r="AO17" s="124"/>
      <c r="AP17" s="464">
        <v>1</v>
      </c>
      <c r="AQ17" s="124"/>
      <c r="AR17" s="124"/>
      <c r="AS17" s="124"/>
      <c r="AT17" s="464">
        <f t="shared" si="0"/>
        <v>1</v>
      </c>
      <c r="AU17" s="379">
        <f t="shared" si="1"/>
        <v>0.75</v>
      </c>
      <c r="AV17" s="476" t="s">
        <v>1023</v>
      </c>
      <c r="AW17" s="476" t="s">
        <v>1024</v>
      </c>
      <c r="AX17" s="467" t="s">
        <v>896</v>
      </c>
      <c r="AY17" s="467" t="s">
        <v>450</v>
      </c>
    </row>
    <row r="18" spans="1:51" ht="124.5" customHeight="1">
      <c r="A18" s="310"/>
      <c r="B18" s="121"/>
      <c r="C18" s="121"/>
      <c r="D18" s="121"/>
      <c r="E18" s="451"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464">
        <v>1</v>
      </c>
      <c r="AN18" s="124"/>
      <c r="AO18" s="124"/>
      <c r="AP18" s="464">
        <v>1</v>
      </c>
      <c r="AQ18" s="124"/>
      <c r="AR18" s="124"/>
      <c r="AS18" s="124"/>
      <c r="AT18" s="464">
        <f t="shared" si="0"/>
        <v>1</v>
      </c>
      <c r="AU18" s="379">
        <f t="shared" si="1"/>
        <v>0.75</v>
      </c>
      <c r="AV18" s="476" t="s">
        <v>1025</v>
      </c>
      <c r="AW18" s="476" t="s">
        <v>1026</v>
      </c>
      <c r="AX18" s="467" t="s">
        <v>896</v>
      </c>
      <c r="AY18" s="467" t="s">
        <v>450</v>
      </c>
    </row>
    <row r="19" spans="1:51" ht="124.5" customHeight="1">
      <c r="A19" s="310"/>
      <c r="B19" s="121"/>
      <c r="C19" s="121"/>
      <c r="D19" s="121"/>
      <c r="E19" s="451"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464">
        <v>0.25</v>
      </c>
      <c r="AN19" s="124"/>
      <c r="AO19" s="124"/>
      <c r="AP19" s="464">
        <v>0.25</v>
      </c>
      <c r="AQ19" s="124"/>
      <c r="AR19" s="124"/>
      <c r="AS19" s="124"/>
      <c r="AT19" s="127">
        <f>SUM(AH19:AS19)</f>
        <v>0.75</v>
      </c>
      <c r="AU19" s="379">
        <f>+AT19/R19</f>
        <v>0.75</v>
      </c>
      <c r="AV19" s="476" t="s">
        <v>1027</v>
      </c>
      <c r="AW19" s="476" t="s">
        <v>1028</v>
      </c>
      <c r="AX19" s="467" t="s">
        <v>896</v>
      </c>
      <c r="AY19" s="467" t="s">
        <v>450</v>
      </c>
    </row>
    <row r="20" spans="1:51" ht="54" customHeight="1">
      <c r="A20" s="809" t="s">
        <v>64</v>
      </c>
      <c r="B20" s="809"/>
      <c r="C20" s="809"/>
      <c r="D20" s="805" t="s">
        <v>66</v>
      </c>
      <c r="E20" s="805"/>
      <c r="F20" s="805"/>
      <c r="G20" s="805"/>
      <c r="H20" s="805"/>
      <c r="I20" s="805"/>
      <c r="J20" s="804" t="s">
        <v>300</v>
      </c>
      <c r="K20" s="804"/>
      <c r="L20" s="804"/>
      <c r="M20" s="804"/>
      <c r="N20" s="804"/>
      <c r="O20" s="804"/>
      <c r="P20" s="805" t="s">
        <v>66</v>
      </c>
      <c r="Q20" s="805"/>
      <c r="R20" s="805"/>
      <c r="S20" s="805"/>
      <c r="T20" s="805"/>
      <c r="U20" s="805"/>
      <c r="V20" s="805" t="s">
        <v>66</v>
      </c>
      <c r="W20" s="805"/>
      <c r="X20" s="805"/>
      <c r="Y20" s="805"/>
      <c r="Z20" s="805"/>
      <c r="AA20" s="805"/>
      <c r="AB20" s="805"/>
      <c r="AC20" s="805"/>
      <c r="AD20" s="805" t="s">
        <v>66</v>
      </c>
      <c r="AE20" s="805"/>
      <c r="AF20" s="805"/>
      <c r="AG20" s="805"/>
      <c r="AH20" s="805"/>
      <c r="AI20" s="805"/>
      <c r="AJ20" s="805"/>
      <c r="AK20" s="805"/>
      <c r="AL20" s="805"/>
      <c r="AM20" s="805"/>
      <c r="AN20" s="805"/>
      <c r="AO20" s="805"/>
      <c r="AP20" s="804" t="s">
        <v>318</v>
      </c>
      <c r="AQ20" s="804"/>
      <c r="AR20" s="804"/>
      <c r="AS20" s="804"/>
      <c r="AT20" s="805" t="s">
        <v>13</v>
      </c>
      <c r="AU20" s="805"/>
      <c r="AV20" s="805"/>
      <c r="AW20" s="805"/>
      <c r="AX20" s="805"/>
      <c r="AY20" s="805"/>
    </row>
    <row r="21" spans="1:51" ht="30" customHeight="1">
      <c r="A21" s="809"/>
      <c r="B21" s="809"/>
      <c r="C21" s="809"/>
      <c r="D21" s="805" t="s">
        <v>803</v>
      </c>
      <c r="E21" s="805"/>
      <c r="F21" s="805"/>
      <c r="G21" s="805"/>
      <c r="H21" s="805"/>
      <c r="I21" s="805"/>
      <c r="J21" s="804"/>
      <c r="K21" s="804"/>
      <c r="L21" s="804"/>
      <c r="M21" s="804"/>
      <c r="N21" s="804"/>
      <c r="O21" s="804"/>
      <c r="P21" s="805" t="s">
        <v>805</v>
      </c>
      <c r="Q21" s="805"/>
      <c r="R21" s="805"/>
      <c r="S21" s="805"/>
      <c r="T21" s="805"/>
      <c r="U21" s="805"/>
      <c r="V21" s="805" t="s">
        <v>65</v>
      </c>
      <c r="W21" s="805"/>
      <c r="X21" s="805"/>
      <c r="Y21" s="805"/>
      <c r="Z21" s="805"/>
      <c r="AA21" s="805"/>
      <c r="AB21" s="805"/>
      <c r="AC21" s="805"/>
      <c r="AD21" s="805" t="s">
        <v>65</v>
      </c>
      <c r="AE21" s="805"/>
      <c r="AF21" s="805"/>
      <c r="AG21" s="805"/>
      <c r="AH21" s="805"/>
      <c r="AI21" s="805"/>
      <c r="AJ21" s="805"/>
      <c r="AK21" s="805"/>
      <c r="AL21" s="805"/>
      <c r="AM21" s="805"/>
      <c r="AN21" s="805"/>
      <c r="AO21" s="805"/>
      <c r="AP21" s="804"/>
      <c r="AQ21" s="804"/>
      <c r="AR21" s="804"/>
      <c r="AS21" s="804"/>
      <c r="AT21" s="805" t="s">
        <v>771</v>
      </c>
      <c r="AU21" s="805"/>
      <c r="AV21" s="805"/>
      <c r="AW21" s="805"/>
      <c r="AX21" s="805"/>
      <c r="AY21" s="805"/>
    </row>
    <row r="22" spans="1:51" ht="30" customHeight="1">
      <c r="A22" s="809"/>
      <c r="B22" s="809"/>
      <c r="C22" s="809"/>
      <c r="D22" s="805" t="s">
        <v>804</v>
      </c>
      <c r="E22" s="805"/>
      <c r="F22" s="805"/>
      <c r="G22" s="805"/>
      <c r="H22" s="805"/>
      <c r="I22" s="805"/>
      <c r="J22" s="804"/>
      <c r="K22" s="804"/>
      <c r="L22" s="804"/>
      <c r="M22" s="804"/>
      <c r="N22" s="804"/>
      <c r="O22" s="804"/>
      <c r="P22" s="805" t="s">
        <v>806</v>
      </c>
      <c r="Q22" s="805"/>
      <c r="R22" s="805"/>
      <c r="S22" s="805"/>
      <c r="T22" s="805"/>
      <c r="U22" s="805"/>
      <c r="V22" s="805" t="s">
        <v>297</v>
      </c>
      <c r="W22" s="805"/>
      <c r="X22" s="805"/>
      <c r="Y22" s="805"/>
      <c r="Z22" s="805"/>
      <c r="AA22" s="805"/>
      <c r="AB22" s="805"/>
      <c r="AC22" s="805"/>
      <c r="AD22" s="805" t="s">
        <v>297</v>
      </c>
      <c r="AE22" s="805"/>
      <c r="AF22" s="805"/>
      <c r="AG22" s="805"/>
      <c r="AH22" s="805"/>
      <c r="AI22" s="805"/>
      <c r="AJ22" s="805"/>
      <c r="AK22" s="805"/>
      <c r="AL22" s="805"/>
      <c r="AM22" s="805"/>
      <c r="AN22" s="805"/>
      <c r="AO22" s="805"/>
      <c r="AP22" s="804"/>
      <c r="AQ22" s="804"/>
      <c r="AR22" s="804"/>
      <c r="AS22" s="804"/>
      <c r="AT22" s="805" t="s">
        <v>75</v>
      </c>
      <c r="AU22" s="805"/>
      <c r="AV22" s="805"/>
      <c r="AW22" s="805"/>
      <c r="AX22" s="805"/>
      <c r="AY22" s="805"/>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0:C22"/>
    <mergeCell ref="D20:I20"/>
    <mergeCell ref="J20:O22"/>
    <mergeCell ref="P20:U20"/>
    <mergeCell ref="V20:AC20"/>
    <mergeCell ref="AD20:AO20"/>
    <mergeCell ref="D22:I22"/>
    <mergeCell ref="AP20:AS22"/>
    <mergeCell ref="AT22:AY22"/>
    <mergeCell ref="AT20:AY20"/>
    <mergeCell ref="D21:I21"/>
    <mergeCell ref="P21:U21"/>
    <mergeCell ref="V21:AC21"/>
    <mergeCell ref="AD21:AO21"/>
    <mergeCell ref="AT21:AY21"/>
    <mergeCell ref="P22:U22"/>
    <mergeCell ref="V22:AC22"/>
    <mergeCell ref="AD22:AO22"/>
  </mergeCells>
  <printOptions/>
  <pageMargins left="0.7" right="0.7" top="0.75" bottom="0.75" header="0.3" footer="0.3"/>
  <pageSetup fitToHeight="1" fitToWidth="1" horizontalDpi="600" verticalDpi="600" orientation="landscape" scale="16" r:id="rId3"/>
  <legacyDrawing r:id="rId2"/>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W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A1" sqref="A1:AW1"/>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205" t="s">
        <v>20</v>
      </c>
      <c r="D1" s="1205"/>
      <c r="E1" s="1205"/>
      <c r="F1" s="1205"/>
      <c r="G1" s="1206" t="s">
        <v>22</v>
      </c>
      <c r="H1" s="1207"/>
      <c r="I1" s="1207"/>
      <c r="J1" s="1208"/>
      <c r="K1" s="1204" t="s">
        <v>23</v>
      </c>
      <c r="L1" s="1204"/>
      <c r="M1" s="1204"/>
      <c r="N1" s="1204"/>
    </row>
    <row r="2" spans="3:14" ht="15">
      <c r="C2" s="5"/>
      <c r="D2" s="5"/>
      <c r="E2" s="5"/>
      <c r="F2" s="5" t="s">
        <v>21</v>
      </c>
      <c r="G2" s="31"/>
      <c r="H2" s="5"/>
      <c r="I2" s="5"/>
      <c r="J2" s="32" t="s">
        <v>21</v>
      </c>
      <c r="K2" s="5"/>
      <c r="L2" s="5"/>
      <c r="M2" s="5"/>
      <c r="N2" s="5" t="s">
        <v>21</v>
      </c>
    </row>
    <row r="3" spans="1:14" ht="15">
      <c r="A3" s="1201"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201"/>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201"/>
      <c r="B5" s="6">
        <v>3</v>
      </c>
      <c r="C5" s="7">
        <v>0.05</v>
      </c>
      <c r="D5" s="7">
        <v>0.05</v>
      </c>
      <c r="E5" s="7">
        <v>0.1</v>
      </c>
      <c r="F5" s="8">
        <f>(C5+D5+E5)</f>
        <v>0.2</v>
      </c>
      <c r="G5" s="33">
        <v>0.1</v>
      </c>
      <c r="H5" s="7">
        <v>0.1</v>
      </c>
      <c r="I5" s="7">
        <v>0.1</v>
      </c>
      <c r="J5" s="34">
        <f>(G5+H5+I5)</f>
        <v>0.30000000000000004</v>
      </c>
      <c r="K5" s="25"/>
      <c r="L5" s="6"/>
      <c r="M5" s="6"/>
      <c r="N5" s="6"/>
    </row>
    <row r="6" spans="1:14" ht="15">
      <c r="A6" s="1201"/>
      <c r="B6" s="6">
        <v>4</v>
      </c>
      <c r="C6" s="7">
        <v>0.1</v>
      </c>
      <c r="D6" s="7">
        <v>0.1</v>
      </c>
      <c r="E6" s="7">
        <v>0.2</v>
      </c>
      <c r="F6" s="8">
        <f>(C6+D6+E6)</f>
        <v>0.4</v>
      </c>
      <c r="G6" s="33">
        <v>0</v>
      </c>
      <c r="H6" s="7">
        <v>0</v>
      </c>
      <c r="I6" s="7">
        <v>0.1</v>
      </c>
      <c r="J6" s="34">
        <f>(G6+H6+I6)</f>
        <v>0.1</v>
      </c>
      <c r="K6" s="25"/>
      <c r="L6" s="6"/>
      <c r="M6" s="6"/>
      <c r="N6" s="6"/>
    </row>
    <row r="7" spans="1:14" ht="15">
      <c r="A7" s="1201"/>
      <c r="B7" s="6">
        <v>5</v>
      </c>
      <c r="C7" s="7">
        <v>0</v>
      </c>
      <c r="D7" s="7">
        <v>0</v>
      </c>
      <c r="E7" s="7">
        <v>0</v>
      </c>
      <c r="F7" s="8">
        <f>(C7+D7+E7)</f>
        <v>0</v>
      </c>
      <c r="G7" s="33">
        <v>0</v>
      </c>
      <c r="H7" s="7">
        <v>0</v>
      </c>
      <c r="I7" s="7">
        <v>0</v>
      </c>
      <c r="J7" s="34">
        <f>(G7+H7+I7)</f>
        <v>0</v>
      </c>
      <c r="K7" s="25"/>
      <c r="L7" s="6"/>
      <c r="M7" s="6"/>
      <c r="N7" s="6"/>
    </row>
    <row r="8" spans="1:14" ht="15">
      <c r="A8" s="1201" t="s">
        <v>25</v>
      </c>
      <c r="B8" s="10">
        <v>6</v>
      </c>
      <c r="C8" s="11">
        <v>0.1</v>
      </c>
      <c r="D8" s="11">
        <v>0.1</v>
      </c>
      <c r="E8" s="11">
        <v>0.1</v>
      </c>
      <c r="F8" s="12">
        <f>C8+D8+E8</f>
        <v>0.30000000000000004</v>
      </c>
      <c r="G8" s="35"/>
      <c r="H8" s="10"/>
      <c r="I8" s="10"/>
      <c r="J8" s="36"/>
      <c r="K8" s="26"/>
      <c r="L8" s="10"/>
      <c r="M8" s="10"/>
      <c r="N8" s="10"/>
    </row>
    <row r="9" spans="1:14" ht="15">
      <c r="A9" s="1201"/>
      <c r="B9" s="10">
        <v>7</v>
      </c>
      <c r="C9" s="10"/>
      <c r="D9" s="10"/>
      <c r="E9" s="10"/>
      <c r="F9" s="20"/>
      <c r="G9" s="37"/>
      <c r="H9" s="10"/>
      <c r="I9" s="10"/>
      <c r="J9" s="36"/>
      <c r="K9" s="26"/>
      <c r="L9" s="10"/>
      <c r="M9" s="10"/>
      <c r="N9" s="10"/>
    </row>
    <row r="10" spans="1:14" ht="15">
      <c r="A10" s="1201"/>
      <c r="B10" s="10">
        <v>8</v>
      </c>
      <c r="C10" s="10"/>
      <c r="D10" s="10"/>
      <c r="E10" s="10"/>
      <c r="F10" s="20"/>
      <c r="G10" s="37"/>
      <c r="H10" s="10"/>
      <c r="I10" s="10"/>
      <c r="J10" s="36"/>
      <c r="K10" s="26"/>
      <c r="L10" s="10"/>
      <c r="M10" s="10"/>
      <c r="N10" s="10"/>
    </row>
    <row r="11" spans="1:14" ht="15">
      <c r="A11" s="1201"/>
      <c r="B11" s="10">
        <v>9</v>
      </c>
      <c r="C11" s="10"/>
      <c r="D11" s="10"/>
      <c r="E11" s="10"/>
      <c r="F11" s="20"/>
      <c r="G11" s="37"/>
      <c r="H11" s="10"/>
      <c r="I11" s="10"/>
      <c r="J11" s="36"/>
      <c r="K11" s="26"/>
      <c r="L11" s="10"/>
      <c r="M11" s="10"/>
      <c r="N11" s="10"/>
    </row>
    <row r="12" spans="1:14" ht="15">
      <c r="A12" s="1201" t="s">
        <v>26</v>
      </c>
      <c r="B12" s="15">
        <v>10</v>
      </c>
      <c r="C12" s="15"/>
      <c r="D12" s="15"/>
      <c r="E12" s="15"/>
      <c r="F12" s="21"/>
      <c r="G12" s="38"/>
      <c r="H12" s="15"/>
      <c r="I12" s="15"/>
      <c r="J12" s="39"/>
      <c r="K12" s="27"/>
      <c r="L12" s="15"/>
      <c r="M12" s="15"/>
      <c r="N12" s="15"/>
    </row>
    <row r="13" spans="1:14" ht="15">
      <c r="A13" s="1201"/>
      <c r="B13" s="15">
        <v>11</v>
      </c>
      <c r="C13" s="15"/>
      <c r="D13" s="15"/>
      <c r="E13" s="15"/>
      <c r="F13" s="21"/>
      <c r="G13" s="38"/>
      <c r="H13" s="15"/>
      <c r="I13" s="15"/>
      <c r="J13" s="39"/>
      <c r="K13" s="27"/>
      <c r="L13" s="15"/>
      <c r="M13" s="15"/>
      <c r="N13" s="15"/>
    </row>
    <row r="14" spans="1:14" ht="15">
      <c r="A14" s="1201"/>
      <c r="B14" s="15">
        <v>12</v>
      </c>
      <c r="C14" s="15"/>
      <c r="D14" s="15"/>
      <c r="E14" s="15"/>
      <c r="F14" s="21"/>
      <c r="G14" s="38"/>
      <c r="H14" s="15"/>
      <c r="I14" s="15"/>
      <c r="J14" s="39"/>
      <c r="K14" s="27"/>
      <c r="L14" s="15"/>
      <c r="M14" s="15"/>
      <c r="N14" s="15"/>
    </row>
    <row r="15" spans="1:14" ht="15">
      <c r="A15" s="1201"/>
      <c r="B15" s="15">
        <v>13</v>
      </c>
      <c r="C15" s="15"/>
      <c r="D15" s="15"/>
      <c r="E15" s="15"/>
      <c r="F15" s="21"/>
      <c r="G15" s="38"/>
      <c r="H15" s="15"/>
      <c r="I15" s="15"/>
      <c r="J15" s="39"/>
      <c r="K15" s="27"/>
      <c r="L15" s="15"/>
      <c r="M15" s="15"/>
      <c r="N15" s="15"/>
    </row>
    <row r="16" spans="1:14" ht="15">
      <c r="A16" s="1201" t="s">
        <v>27</v>
      </c>
      <c r="B16" s="16">
        <v>14</v>
      </c>
      <c r="C16" s="16"/>
      <c r="D16" s="16"/>
      <c r="E16" s="16"/>
      <c r="F16" s="22"/>
      <c r="G16" s="40"/>
      <c r="H16" s="16"/>
      <c r="I16" s="16"/>
      <c r="J16" s="41"/>
      <c r="K16" s="28"/>
      <c r="L16" s="16"/>
      <c r="M16" s="16"/>
      <c r="N16" s="16"/>
    </row>
    <row r="17" spans="1:14" ht="15">
      <c r="A17" s="1201"/>
      <c r="B17" s="16">
        <v>15</v>
      </c>
      <c r="C17" s="16"/>
      <c r="D17" s="16"/>
      <c r="E17" s="16"/>
      <c r="F17" s="22"/>
      <c r="G17" s="40"/>
      <c r="H17" s="16"/>
      <c r="I17" s="16"/>
      <c r="J17" s="41"/>
      <c r="K17" s="28"/>
      <c r="L17" s="16"/>
      <c r="M17" s="16"/>
      <c r="N17" s="16"/>
    </row>
    <row r="18" spans="1:14" ht="15">
      <c r="A18" s="1201"/>
      <c r="B18" s="16">
        <v>16</v>
      </c>
      <c r="C18" s="16"/>
      <c r="D18" s="16"/>
      <c r="E18" s="16"/>
      <c r="F18" s="22"/>
      <c r="G18" s="40"/>
      <c r="H18" s="16"/>
      <c r="I18" s="16"/>
      <c r="J18" s="41"/>
      <c r="K18" s="28"/>
      <c r="L18" s="16"/>
      <c r="M18" s="16"/>
      <c r="N18" s="16"/>
    </row>
    <row r="19" spans="1:14" ht="15">
      <c r="A19" s="1201" t="s">
        <v>28</v>
      </c>
      <c r="B19" s="19">
        <v>17</v>
      </c>
      <c r="C19" s="19"/>
      <c r="D19" s="19"/>
      <c r="E19" s="19"/>
      <c r="F19" s="23"/>
      <c r="G19" s="42"/>
      <c r="H19" s="19"/>
      <c r="I19" s="19"/>
      <c r="J19" s="43"/>
      <c r="K19" s="29"/>
      <c r="L19" s="19"/>
      <c r="M19" s="19"/>
      <c r="N19" s="19"/>
    </row>
    <row r="20" spans="1:14" ht="15">
      <c r="A20" s="1201"/>
      <c r="B20" s="19">
        <v>18</v>
      </c>
      <c r="C20" s="19"/>
      <c r="D20" s="19"/>
      <c r="E20" s="19"/>
      <c r="F20" s="23"/>
      <c r="G20" s="42"/>
      <c r="H20" s="19"/>
      <c r="I20" s="19"/>
      <c r="J20" s="43"/>
      <c r="K20" s="29"/>
      <c r="L20" s="19"/>
      <c r="M20" s="19"/>
      <c r="N20" s="19"/>
    </row>
    <row r="21" spans="1:14" ht="15">
      <c r="A21" s="1201"/>
      <c r="B21" s="19">
        <v>19</v>
      </c>
      <c r="C21" s="19"/>
      <c r="D21" s="19"/>
      <c r="E21" s="19"/>
      <c r="F21" s="23"/>
      <c r="G21" s="42"/>
      <c r="H21" s="19"/>
      <c r="I21" s="19"/>
      <c r="J21" s="43"/>
      <c r="K21" s="29"/>
      <c r="L21" s="19"/>
      <c r="M21" s="19"/>
      <c r="N21" s="19"/>
    </row>
    <row r="22" spans="1:14" ht="15">
      <c r="A22" s="1201"/>
      <c r="B22" s="19">
        <v>20</v>
      </c>
      <c r="C22" s="19"/>
      <c r="D22" s="19"/>
      <c r="E22" s="19"/>
      <c r="F22" s="23"/>
      <c r="G22" s="42"/>
      <c r="H22" s="19"/>
      <c r="I22" s="19"/>
      <c r="J22" s="43"/>
      <c r="K22" s="29"/>
      <c r="L22" s="19"/>
      <c r="M22" s="19"/>
      <c r="N22" s="19"/>
    </row>
    <row r="23" spans="1:14" ht="15">
      <c r="A23" s="1201" t="s">
        <v>29</v>
      </c>
      <c r="B23" s="14">
        <v>21</v>
      </c>
      <c r="C23" s="14"/>
      <c r="D23" s="14"/>
      <c r="E23" s="14"/>
      <c r="F23" s="24"/>
      <c r="G23" s="44"/>
      <c r="H23" s="14"/>
      <c r="I23" s="14"/>
      <c r="J23" s="45"/>
      <c r="K23" s="30"/>
      <c r="L23" s="14"/>
      <c r="M23" s="14"/>
      <c r="N23" s="14"/>
    </row>
    <row r="24" spans="1:14" ht="15">
      <c r="A24" s="1201"/>
      <c r="B24" s="14">
        <v>22</v>
      </c>
      <c r="C24" s="14"/>
      <c r="D24" s="14"/>
      <c r="E24" s="14"/>
      <c r="F24" s="24"/>
      <c r="G24" s="44"/>
      <c r="H24" s="14"/>
      <c r="I24" s="14"/>
      <c r="J24" s="45"/>
      <c r="K24" s="30"/>
      <c r="L24" s="14"/>
      <c r="M24" s="14"/>
      <c r="N24" s="14"/>
    </row>
    <row r="25" spans="1:14" ht="15">
      <c r="A25" s="1201"/>
      <c r="B25" s="14">
        <v>23</v>
      </c>
      <c r="C25" s="14"/>
      <c r="D25" s="14"/>
      <c r="E25" s="14"/>
      <c r="F25" s="24"/>
      <c r="G25" s="44"/>
      <c r="H25" s="14"/>
      <c r="I25" s="14"/>
      <c r="J25" s="45"/>
      <c r="K25" s="30"/>
      <c r="L25" s="14"/>
      <c r="M25" s="14"/>
      <c r="N25" s="14"/>
    </row>
    <row r="26" spans="1:14" ht="15">
      <c r="A26" s="1201"/>
      <c r="B26" s="14">
        <v>24</v>
      </c>
      <c r="C26" s="14"/>
      <c r="D26" s="14"/>
      <c r="E26" s="14"/>
      <c r="F26" s="24"/>
      <c r="G26" s="44"/>
      <c r="H26" s="14"/>
      <c r="I26" s="14"/>
      <c r="J26" s="45"/>
      <c r="K26" s="30"/>
      <c r="L26" s="14"/>
      <c r="M26" s="14"/>
      <c r="N26" s="14"/>
    </row>
    <row r="27" spans="1:14" ht="15">
      <c r="A27" s="1201" t="s">
        <v>30</v>
      </c>
      <c r="B27" s="10">
        <v>25</v>
      </c>
      <c r="C27" s="10"/>
      <c r="D27" s="10"/>
      <c r="E27" s="10"/>
      <c r="F27" s="10"/>
      <c r="G27" s="10"/>
      <c r="H27" s="10"/>
      <c r="I27" s="10"/>
      <c r="J27" s="10"/>
      <c r="K27" s="10"/>
      <c r="L27" s="10"/>
      <c r="M27" s="10"/>
      <c r="N27" s="10"/>
    </row>
    <row r="28" spans="1:14" ht="15">
      <c r="A28" s="1201"/>
      <c r="B28" s="10">
        <v>26</v>
      </c>
      <c r="C28" s="10"/>
      <c r="D28" s="10"/>
      <c r="E28" s="10"/>
      <c r="F28" s="10"/>
      <c r="G28" s="10"/>
      <c r="H28" s="10"/>
      <c r="I28" s="10"/>
      <c r="J28" s="10"/>
      <c r="K28" s="10"/>
      <c r="L28" s="10"/>
      <c r="M28" s="10"/>
      <c r="N28" s="10"/>
    </row>
    <row r="29" spans="1:14" ht="15">
      <c r="A29" s="1201"/>
      <c r="B29" s="10">
        <v>27</v>
      </c>
      <c r="C29" s="10"/>
      <c r="D29" s="10"/>
      <c r="E29" s="10"/>
      <c r="F29" s="10"/>
      <c r="G29" s="10"/>
      <c r="H29" s="10"/>
      <c r="I29" s="10"/>
      <c r="J29" s="10"/>
      <c r="K29" s="10"/>
      <c r="L29" s="10"/>
      <c r="M29" s="10"/>
      <c r="N29" s="10"/>
    </row>
    <row r="30" spans="1:14" ht="15">
      <c r="A30" s="1201"/>
      <c r="B30" s="10">
        <v>28</v>
      </c>
      <c r="C30" s="10"/>
      <c r="D30" s="10"/>
      <c r="E30" s="10"/>
      <c r="F30" s="10"/>
      <c r="G30" s="10"/>
      <c r="H30" s="10"/>
      <c r="I30" s="10"/>
      <c r="J30" s="10"/>
      <c r="K30" s="10"/>
      <c r="L30" s="10"/>
      <c r="M30" s="10"/>
      <c r="N30" s="10"/>
    </row>
    <row r="31" spans="1:14" ht="15">
      <c r="A31" s="1201"/>
      <c r="B31" s="10">
        <v>29</v>
      </c>
      <c r="C31" s="10"/>
      <c r="D31" s="10"/>
      <c r="E31" s="10"/>
      <c r="F31" s="10"/>
      <c r="G31" s="10"/>
      <c r="H31" s="10"/>
      <c r="I31" s="10"/>
      <c r="J31" s="10"/>
      <c r="K31" s="10"/>
      <c r="L31" s="10"/>
      <c r="M31" s="10"/>
      <c r="N31" s="10"/>
    </row>
    <row r="32" spans="1:14" ht="15">
      <c r="A32" s="1201" t="s">
        <v>31</v>
      </c>
      <c r="B32" s="17">
        <v>30</v>
      </c>
      <c r="C32" s="17"/>
      <c r="D32" s="17"/>
      <c r="E32" s="17"/>
      <c r="F32" s="17"/>
      <c r="G32" s="17"/>
      <c r="H32" s="17"/>
      <c r="I32" s="17"/>
      <c r="J32" s="17"/>
      <c r="K32" s="17"/>
      <c r="L32" s="17"/>
      <c r="M32" s="17"/>
      <c r="N32" s="17"/>
    </row>
    <row r="33" spans="1:14" ht="15">
      <c r="A33" s="1201"/>
      <c r="B33" s="17">
        <v>31</v>
      </c>
      <c r="C33" s="17"/>
      <c r="D33" s="17"/>
      <c r="E33" s="17"/>
      <c r="F33" s="17"/>
      <c r="G33" s="17"/>
      <c r="H33" s="17"/>
      <c r="I33" s="17"/>
      <c r="J33" s="17"/>
      <c r="K33" s="17"/>
      <c r="L33" s="17"/>
      <c r="M33" s="17"/>
      <c r="N33" s="17"/>
    </row>
    <row r="34" spans="1:14" ht="15">
      <c r="A34" s="1201"/>
      <c r="B34" s="17">
        <v>32</v>
      </c>
      <c r="C34" s="17"/>
      <c r="D34" s="17"/>
      <c r="E34" s="17"/>
      <c r="F34" s="17"/>
      <c r="G34" s="17"/>
      <c r="H34" s="17"/>
      <c r="I34" s="17"/>
      <c r="J34" s="17"/>
      <c r="K34" s="17"/>
      <c r="L34" s="17"/>
      <c r="M34" s="17"/>
      <c r="N34" s="17"/>
    </row>
    <row r="35" spans="1:14" ht="15">
      <c r="A35" s="1201" t="s">
        <v>32</v>
      </c>
      <c r="B35" s="18">
        <v>33</v>
      </c>
      <c r="C35" s="15"/>
      <c r="D35" s="15"/>
      <c r="E35" s="15"/>
      <c r="F35" s="15"/>
      <c r="G35" s="15"/>
      <c r="H35" s="15"/>
      <c r="I35" s="15"/>
      <c r="J35" s="15"/>
      <c r="K35" s="15"/>
      <c r="L35" s="15"/>
      <c r="M35" s="15"/>
      <c r="N35" s="15"/>
    </row>
    <row r="36" spans="1:14" ht="15">
      <c r="A36" s="1201"/>
      <c r="B36" s="15">
        <v>34</v>
      </c>
      <c r="C36" s="15"/>
      <c r="D36" s="15"/>
      <c r="E36" s="15"/>
      <c r="F36" s="15"/>
      <c r="G36" s="15"/>
      <c r="H36" s="15"/>
      <c r="I36" s="15"/>
      <c r="J36" s="15"/>
      <c r="K36" s="15"/>
      <c r="L36" s="15"/>
      <c r="M36" s="15"/>
      <c r="N36" s="15"/>
    </row>
    <row r="37" spans="1:14" ht="15">
      <c r="A37" s="1201"/>
      <c r="B37" s="46">
        <v>35</v>
      </c>
      <c r="C37" s="15"/>
      <c r="D37" s="15"/>
      <c r="E37" s="15"/>
      <c r="F37" s="15"/>
      <c r="G37" s="15"/>
      <c r="H37" s="15"/>
      <c r="I37" s="15"/>
      <c r="J37" s="15"/>
      <c r="K37" s="15"/>
      <c r="L37" s="15"/>
      <c r="M37" s="15"/>
      <c r="N37" s="15"/>
    </row>
    <row r="38" spans="1:14" ht="15">
      <c r="A38" s="1201" t="s">
        <v>33</v>
      </c>
      <c r="B38" s="9">
        <v>36</v>
      </c>
      <c r="C38" s="9"/>
      <c r="D38" s="9"/>
      <c r="E38" s="9"/>
      <c r="F38" s="9"/>
      <c r="G38" s="9"/>
      <c r="H38" s="9"/>
      <c r="I38" s="9"/>
      <c r="J38" s="9"/>
      <c r="K38" s="9"/>
      <c r="L38" s="9"/>
      <c r="M38" s="9"/>
      <c r="N38" s="9"/>
    </row>
    <row r="39" spans="1:14" ht="15">
      <c r="A39" s="1201"/>
      <c r="B39" s="9">
        <v>37</v>
      </c>
      <c r="C39" s="9"/>
      <c r="D39" s="9"/>
      <c r="E39" s="9"/>
      <c r="F39" s="9"/>
      <c r="G39" s="9"/>
      <c r="H39" s="9"/>
      <c r="I39" s="9"/>
      <c r="J39" s="9"/>
      <c r="K39" s="9"/>
      <c r="L39" s="9"/>
      <c r="M39" s="9"/>
      <c r="N39" s="9"/>
    </row>
    <row r="40" spans="1:14" ht="15">
      <c r="A40" s="1201"/>
      <c r="B40" s="9">
        <v>38</v>
      </c>
      <c r="C40" s="9"/>
      <c r="D40" s="9"/>
      <c r="E40" s="9"/>
      <c r="F40" s="9"/>
      <c r="G40" s="9"/>
      <c r="H40" s="9"/>
      <c r="I40" s="9"/>
      <c r="J40" s="9"/>
      <c r="K40" s="9"/>
      <c r="L40" s="9"/>
      <c r="M40" s="9"/>
      <c r="N40" s="9"/>
    </row>
    <row r="41" spans="1:14" ht="15">
      <c r="A41" s="1202" t="s">
        <v>34</v>
      </c>
      <c r="B41" s="47">
        <v>39</v>
      </c>
      <c r="C41" s="48"/>
      <c r="D41" s="48"/>
      <c r="E41" s="48"/>
      <c r="F41" s="48"/>
      <c r="G41" s="48"/>
      <c r="H41" s="48"/>
      <c r="I41" s="48"/>
      <c r="J41" s="48"/>
      <c r="K41" s="48"/>
      <c r="L41" s="48"/>
      <c r="M41" s="48"/>
      <c r="N41" s="48"/>
    </row>
    <row r="42" spans="1:14" ht="15">
      <c r="A42" s="1202"/>
      <c r="B42" s="48">
        <v>40</v>
      </c>
      <c r="C42" s="48"/>
      <c r="D42" s="48"/>
      <c r="E42" s="48"/>
      <c r="F42" s="48"/>
      <c r="G42" s="48"/>
      <c r="H42" s="48"/>
      <c r="I42" s="48"/>
      <c r="J42" s="48"/>
      <c r="K42" s="48"/>
      <c r="L42" s="48"/>
      <c r="M42" s="48"/>
      <c r="N42" s="48"/>
    </row>
    <row r="43" spans="1:14" ht="15">
      <c r="A43" s="1202"/>
      <c r="B43" s="48">
        <v>41</v>
      </c>
      <c r="C43" s="48"/>
      <c r="D43" s="48"/>
      <c r="E43" s="48"/>
      <c r="F43" s="48"/>
      <c r="G43" s="48"/>
      <c r="H43" s="48"/>
      <c r="I43" s="48"/>
      <c r="J43" s="48"/>
      <c r="K43" s="48"/>
      <c r="L43" s="48"/>
      <c r="M43" s="48"/>
      <c r="N43" s="48"/>
    </row>
    <row r="44" spans="1:14" ht="15">
      <c r="A44" s="1202"/>
      <c r="B44" s="49">
        <v>42</v>
      </c>
      <c r="C44" s="48"/>
      <c r="D44" s="48"/>
      <c r="E44" s="48"/>
      <c r="F44" s="48"/>
      <c r="G44" s="48"/>
      <c r="H44" s="48"/>
      <c r="I44" s="48"/>
      <c r="J44" s="48"/>
      <c r="K44" s="48"/>
      <c r="L44" s="48"/>
      <c r="M44" s="48"/>
      <c r="N44" s="48"/>
    </row>
    <row r="45" spans="1:14" ht="15">
      <c r="A45" s="1203" t="s">
        <v>35</v>
      </c>
      <c r="B45" s="13">
        <v>43</v>
      </c>
      <c r="C45" s="13"/>
      <c r="D45" s="13"/>
      <c r="E45" s="13"/>
      <c r="F45" s="13"/>
      <c r="G45" s="13"/>
      <c r="H45" s="13"/>
      <c r="I45" s="13"/>
      <c r="J45" s="13"/>
      <c r="K45" s="13"/>
      <c r="L45" s="13"/>
      <c r="M45" s="13"/>
      <c r="N45" s="13"/>
    </row>
    <row r="46" spans="1:14" ht="15">
      <c r="A46" s="120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819" t="s">
        <v>16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1"/>
      <c r="AX1" s="764" t="s">
        <v>423</v>
      </c>
      <c r="AY1" s="765"/>
    </row>
    <row r="2" spans="1:51" ht="15.75" customHeight="1">
      <c r="A2" s="825" t="s">
        <v>17</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7"/>
      <c r="AX2" s="816" t="s">
        <v>418</v>
      </c>
      <c r="AY2" s="817"/>
    </row>
    <row r="3" spans="1:51" ht="15" customHeight="1">
      <c r="A3" s="828" t="s">
        <v>195</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30"/>
      <c r="AX3" s="816" t="s">
        <v>424</v>
      </c>
      <c r="AY3" s="817"/>
    </row>
    <row r="4" spans="1:51" ht="15.75" customHeight="1">
      <c r="A4" s="819"/>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1"/>
      <c r="AX4" s="818" t="s">
        <v>176</v>
      </c>
      <c r="AY4" s="818"/>
    </row>
    <row r="5" spans="1:51" ht="15" customHeight="1">
      <c r="A5" s="784" t="s">
        <v>174</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6"/>
      <c r="AH5" s="789" t="s">
        <v>69</v>
      </c>
      <c r="AI5" s="806"/>
      <c r="AJ5" s="806"/>
      <c r="AK5" s="806"/>
      <c r="AL5" s="806"/>
      <c r="AM5" s="806"/>
      <c r="AN5" s="806"/>
      <c r="AO5" s="806"/>
      <c r="AP5" s="806"/>
      <c r="AQ5" s="806"/>
      <c r="AR5" s="806"/>
      <c r="AS5" s="806"/>
      <c r="AT5" s="806"/>
      <c r="AU5" s="790"/>
      <c r="AV5" s="781" t="s">
        <v>409</v>
      </c>
      <c r="AW5" s="781" t="s">
        <v>410</v>
      </c>
      <c r="AX5" s="781" t="s">
        <v>298</v>
      </c>
      <c r="AY5" s="781" t="s">
        <v>299</v>
      </c>
    </row>
    <row r="6" spans="1:51" ht="15" customHeight="1">
      <c r="A6" s="787" t="s">
        <v>71</v>
      </c>
      <c r="B6" s="787"/>
      <c r="C6" s="787"/>
      <c r="D6" s="788" t="s">
        <v>74</v>
      </c>
      <c r="E6" s="788"/>
      <c r="F6" s="789" t="s">
        <v>67</v>
      </c>
      <c r="G6" s="790"/>
      <c r="H6" s="795" t="s">
        <v>70</v>
      </c>
      <c r="I6" s="795"/>
      <c r="J6" s="128"/>
      <c r="K6" s="789"/>
      <c r="L6" s="806"/>
      <c r="M6" s="806"/>
      <c r="N6" s="806"/>
      <c r="O6" s="806"/>
      <c r="P6" s="806"/>
      <c r="Q6" s="806"/>
      <c r="R6" s="806"/>
      <c r="S6" s="806"/>
      <c r="T6" s="806"/>
      <c r="U6" s="806"/>
      <c r="V6" s="114"/>
      <c r="W6" s="114"/>
      <c r="X6" s="114"/>
      <c r="Y6" s="114"/>
      <c r="Z6" s="114"/>
      <c r="AA6" s="114"/>
      <c r="AB6" s="114"/>
      <c r="AC6" s="114"/>
      <c r="AD6" s="114"/>
      <c r="AE6" s="114"/>
      <c r="AF6" s="114"/>
      <c r="AG6" s="115"/>
      <c r="AH6" s="791"/>
      <c r="AI6" s="807"/>
      <c r="AJ6" s="807"/>
      <c r="AK6" s="807"/>
      <c r="AL6" s="807"/>
      <c r="AM6" s="807"/>
      <c r="AN6" s="807"/>
      <c r="AO6" s="807"/>
      <c r="AP6" s="807"/>
      <c r="AQ6" s="807"/>
      <c r="AR6" s="807"/>
      <c r="AS6" s="807"/>
      <c r="AT6" s="807"/>
      <c r="AU6" s="792"/>
      <c r="AV6" s="782"/>
      <c r="AW6" s="782"/>
      <c r="AX6" s="782"/>
      <c r="AY6" s="782"/>
    </row>
    <row r="7" spans="1:51" ht="15" customHeight="1">
      <c r="A7" s="787"/>
      <c r="B7" s="787"/>
      <c r="C7" s="787"/>
      <c r="D7" s="788"/>
      <c r="E7" s="788"/>
      <c r="F7" s="791"/>
      <c r="G7" s="792"/>
      <c r="H7" s="795" t="s">
        <v>68</v>
      </c>
      <c r="I7" s="795"/>
      <c r="J7" s="128"/>
      <c r="K7" s="791"/>
      <c r="L7" s="807"/>
      <c r="M7" s="807"/>
      <c r="N7" s="807"/>
      <c r="O7" s="807"/>
      <c r="P7" s="807"/>
      <c r="Q7" s="807"/>
      <c r="R7" s="807"/>
      <c r="S7" s="807"/>
      <c r="T7" s="807"/>
      <c r="U7" s="807"/>
      <c r="V7" s="116"/>
      <c r="W7" s="116"/>
      <c r="X7" s="116"/>
      <c r="Y7" s="116"/>
      <c r="Z7" s="116"/>
      <c r="AA7" s="116"/>
      <c r="AB7" s="116"/>
      <c r="AC7" s="116"/>
      <c r="AD7" s="116"/>
      <c r="AE7" s="116"/>
      <c r="AF7" s="116"/>
      <c r="AG7" s="117"/>
      <c r="AH7" s="791"/>
      <c r="AI7" s="807"/>
      <c r="AJ7" s="807"/>
      <c r="AK7" s="807"/>
      <c r="AL7" s="807"/>
      <c r="AM7" s="807"/>
      <c r="AN7" s="807"/>
      <c r="AO7" s="807"/>
      <c r="AP7" s="807"/>
      <c r="AQ7" s="807"/>
      <c r="AR7" s="807"/>
      <c r="AS7" s="807"/>
      <c r="AT7" s="807"/>
      <c r="AU7" s="792"/>
      <c r="AV7" s="782"/>
      <c r="AW7" s="782"/>
      <c r="AX7" s="782"/>
      <c r="AY7" s="782"/>
    </row>
    <row r="8" spans="1:51" ht="15" customHeight="1">
      <c r="A8" s="787"/>
      <c r="B8" s="787"/>
      <c r="C8" s="787"/>
      <c r="D8" s="788"/>
      <c r="E8" s="788"/>
      <c r="F8" s="793"/>
      <c r="G8" s="794"/>
      <c r="H8" s="795" t="s">
        <v>69</v>
      </c>
      <c r="I8" s="795"/>
      <c r="J8" s="128"/>
      <c r="K8" s="793"/>
      <c r="L8" s="808"/>
      <c r="M8" s="808"/>
      <c r="N8" s="808"/>
      <c r="O8" s="808"/>
      <c r="P8" s="808"/>
      <c r="Q8" s="808"/>
      <c r="R8" s="808"/>
      <c r="S8" s="808"/>
      <c r="T8" s="808"/>
      <c r="U8" s="808"/>
      <c r="V8" s="118"/>
      <c r="W8" s="118"/>
      <c r="X8" s="118"/>
      <c r="Y8" s="118"/>
      <c r="Z8" s="118"/>
      <c r="AA8" s="118"/>
      <c r="AB8" s="118"/>
      <c r="AC8" s="118"/>
      <c r="AD8" s="118"/>
      <c r="AE8" s="118"/>
      <c r="AF8" s="118"/>
      <c r="AG8" s="119"/>
      <c r="AH8" s="791"/>
      <c r="AI8" s="807"/>
      <c r="AJ8" s="807"/>
      <c r="AK8" s="807"/>
      <c r="AL8" s="807"/>
      <c r="AM8" s="807"/>
      <c r="AN8" s="807"/>
      <c r="AO8" s="807"/>
      <c r="AP8" s="807"/>
      <c r="AQ8" s="807"/>
      <c r="AR8" s="807"/>
      <c r="AS8" s="807"/>
      <c r="AT8" s="807"/>
      <c r="AU8" s="792"/>
      <c r="AV8" s="782"/>
      <c r="AW8" s="782"/>
      <c r="AX8" s="782"/>
      <c r="AY8" s="782"/>
    </row>
    <row r="9" spans="1:51" ht="15" customHeight="1">
      <c r="A9" s="822" t="s">
        <v>399</v>
      </c>
      <c r="B9" s="823"/>
      <c r="C9" s="824"/>
      <c r="D9" s="799"/>
      <c r="E9" s="800"/>
      <c r="F9" s="800"/>
      <c r="G9" s="800"/>
      <c r="H9" s="800"/>
      <c r="I9" s="800"/>
      <c r="J9" s="800"/>
      <c r="K9" s="801"/>
      <c r="L9" s="801"/>
      <c r="M9" s="801"/>
      <c r="N9" s="801"/>
      <c r="O9" s="801"/>
      <c r="P9" s="801"/>
      <c r="Q9" s="801"/>
      <c r="R9" s="801"/>
      <c r="S9" s="801"/>
      <c r="T9" s="801"/>
      <c r="U9" s="801"/>
      <c r="V9" s="801"/>
      <c r="W9" s="801"/>
      <c r="X9" s="801"/>
      <c r="Y9" s="801"/>
      <c r="Z9" s="801"/>
      <c r="AA9" s="801"/>
      <c r="AB9" s="801"/>
      <c r="AC9" s="801"/>
      <c r="AD9" s="801"/>
      <c r="AE9" s="801"/>
      <c r="AF9" s="801"/>
      <c r="AG9" s="802"/>
      <c r="AH9" s="791"/>
      <c r="AI9" s="807"/>
      <c r="AJ9" s="807"/>
      <c r="AK9" s="807"/>
      <c r="AL9" s="807"/>
      <c r="AM9" s="807"/>
      <c r="AN9" s="807"/>
      <c r="AO9" s="807"/>
      <c r="AP9" s="807"/>
      <c r="AQ9" s="807"/>
      <c r="AR9" s="807"/>
      <c r="AS9" s="807"/>
      <c r="AT9" s="807"/>
      <c r="AU9" s="792"/>
      <c r="AV9" s="782"/>
      <c r="AW9" s="782"/>
      <c r="AX9" s="782"/>
      <c r="AY9" s="782"/>
    </row>
    <row r="10" spans="1:51" ht="15" customHeight="1">
      <c r="A10" s="796" t="s">
        <v>287</v>
      </c>
      <c r="B10" s="797"/>
      <c r="C10" s="798"/>
      <c r="D10" s="803"/>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2"/>
      <c r="AH10" s="793"/>
      <c r="AI10" s="808"/>
      <c r="AJ10" s="808"/>
      <c r="AK10" s="808"/>
      <c r="AL10" s="808"/>
      <c r="AM10" s="808"/>
      <c r="AN10" s="808"/>
      <c r="AO10" s="808"/>
      <c r="AP10" s="808"/>
      <c r="AQ10" s="808"/>
      <c r="AR10" s="808"/>
      <c r="AS10" s="808"/>
      <c r="AT10" s="808"/>
      <c r="AU10" s="794"/>
      <c r="AV10" s="782"/>
      <c r="AW10" s="782"/>
      <c r="AX10" s="782"/>
      <c r="AY10" s="782"/>
    </row>
    <row r="11" spans="1:51" ht="39.75" customHeight="1">
      <c r="A11" s="813" t="s">
        <v>168</v>
      </c>
      <c r="B11" s="814"/>
      <c r="C11" s="814"/>
      <c r="D11" s="814"/>
      <c r="E11" s="814"/>
      <c r="F11" s="815"/>
      <c r="G11" s="813" t="s">
        <v>278</v>
      </c>
      <c r="H11" s="815"/>
      <c r="I11" s="781" t="s">
        <v>179</v>
      </c>
      <c r="J11" s="781" t="s">
        <v>279</v>
      </c>
      <c r="K11" s="781" t="s">
        <v>323</v>
      </c>
      <c r="L11" s="781" t="s">
        <v>363</v>
      </c>
      <c r="M11" s="781" t="s">
        <v>167</v>
      </c>
      <c r="N11" s="781" t="s">
        <v>182</v>
      </c>
      <c r="O11" s="813" t="s">
        <v>284</v>
      </c>
      <c r="P11" s="814"/>
      <c r="Q11" s="814"/>
      <c r="R11" s="814"/>
      <c r="S11" s="815"/>
      <c r="T11" s="781" t="s">
        <v>173</v>
      </c>
      <c r="U11" s="781" t="s">
        <v>285</v>
      </c>
      <c r="V11" s="784" t="s">
        <v>370</v>
      </c>
      <c r="W11" s="785"/>
      <c r="X11" s="785"/>
      <c r="Y11" s="785"/>
      <c r="Z11" s="785"/>
      <c r="AA11" s="785"/>
      <c r="AB11" s="785"/>
      <c r="AC11" s="785"/>
      <c r="AD11" s="785"/>
      <c r="AE11" s="785"/>
      <c r="AF11" s="785"/>
      <c r="AG11" s="786"/>
      <c r="AH11" s="784" t="s">
        <v>87</v>
      </c>
      <c r="AI11" s="785"/>
      <c r="AJ11" s="785"/>
      <c r="AK11" s="785"/>
      <c r="AL11" s="785"/>
      <c r="AM11" s="785"/>
      <c r="AN11" s="785"/>
      <c r="AO11" s="785"/>
      <c r="AP11" s="785"/>
      <c r="AQ11" s="785"/>
      <c r="AR11" s="785"/>
      <c r="AS11" s="786"/>
      <c r="AT11" s="813" t="s">
        <v>8</v>
      </c>
      <c r="AU11" s="815"/>
      <c r="AV11" s="782"/>
      <c r="AW11" s="782"/>
      <c r="AX11" s="782"/>
      <c r="AY11" s="782"/>
    </row>
    <row r="12" spans="1:51" ht="42.75">
      <c r="A12" s="120" t="s">
        <v>169</v>
      </c>
      <c r="B12" s="120" t="s">
        <v>170</v>
      </c>
      <c r="C12" s="120" t="s">
        <v>171</v>
      </c>
      <c r="D12" s="120" t="s">
        <v>178</v>
      </c>
      <c r="E12" s="120" t="s">
        <v>185</v>
      </c>
      <c r="F12" s="120" t="s">
        <v>186</v>
      </c>
      <c r="G12" s="120" t="s">
        <v>277</v>
      </c>
      <c r="H12" s="120" t="s">
        <v>184</v>
      </c>
      <c r="I12" s="783"/>
      <c r="J12" s="783"/>
      <c r="K12" s="783"/>
      <c r="L12" s="783"/>
      <c r="M12" s="783"/>
      <c r="N12" s="783"/>
      <c r="O12" s="120">
        <v>2020</v>
      </c>
      <c r="P12" s="120">
        <v>2021</v>
      </c>
      <c r="Q12" s="120">
        <v>2022</v>
      </c>
      <c r="R12" s="120">
        <v>2023</v>
      </c>
      <c r="S12" s="120">
        <v>2024</v>
      </c>
      <c r="T12" s="783"/>
      <c r="U12" s="783"/>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83"/>
      <c r="AW12" s="783"/>
      <c r="AX12" s="783"/>
      <c r="AY12" s="783"/>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810" t="s">
        <v>294</v>
      </c>
      <c r="B28" s="8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2"/>
    </row>
    <row r="29" spans="1:51" ht="15">
      <c r="A29" s="809" t="s">
        <v>64</v>
      </c>
      <c r="B29" s="809"/>
      <c r="C29" s="809"/>
      <c r="D29" s="805" t="s">
        <v>66</v>
      </c>
      <c r="E29" s="805"/>
      <c r="F29" s="805"/>
      <c r="G29" s="805"/>
      <c r="H29" s="805"/>
      <c r="I29" s="805"/>
      <c r="J29" s="804" t="s">
        <v>300</v>
      </c>
      <c r="K29" s="804"/>
      <c r="L29" s="804"/>
      <c r="M29" s="804"/>
      <c r="N29" s="804"/>
      <c r="O29" s="804"/>
      <c r="P29" s="805" t="s">
        <v>66</v>
      </c>
      <c r="Q29" s="805"/>
      <c r="R29" s="805"/>
      <c r="S29" s="805"/>
      <c r="T29" s="805"/>
      <c r="U29" s="805"/>
      <c r="V29" s="805" t="s">
        <v>66</v>
      </c>
      <c r="W29" s="805"/>
      <c r="X29" s="805"/>
      <c r="Y29" s="805"/>
      <c r="Z29" s="805"/>
      <c r="AA29" s="805"/>
      <c r="AB29" s="805"/>
      <c r="AC29" s="805"/>
      <c r="AD29" s="805" t="s">
        <v>66</v>
      </c>
      <c r="AE29" s="805"/>
      <c r="AF29" s="805"/>
      <c r="AG29" s="805"/>
      <c r="AH29" s="805"/>
      <c r="AI29" s="805"/>
      <c r="AJ29" s="805"/>
      <c r="AK29" s="805"/>
      <c r="AL29" s="805"/>
      <c r="AM29" s="805"/>
      <c r="AN29" s="805"/>
      <c r="AO29" s="805"/>
      <c r="AP29" s="804" t="s">
        <v>318</v>
      </c>
      <c r="AQ29" s="804"/>
      <c r="AR29" s="804"/>
      <c r="AS29" s="804"/>
      <c r="AT29" s="805" t="s">
        <v>13</v>
      </c>
      <c r="AU29" s="805"/>
      <c r="AV29" s="805"/>
      <c r="AW29" s="805"/>
      <c r="AX29" s="805"/>
      <c r="AY29" s="805"/>
    </row>
    <row r="30" spans="1:51" ht="15">
      <c r="A30" s="809"/>
      <c r="B30" s="809"/>
      <c r="C30" s="809"/>
      <c r="D30" s="805" t="s">
        <v>65</v>
      </c>
      <c r="E30" s="805"/>
      <c r="F30" s="805"/>
      <c r="G30" s="805"/>
      <c r="H30" s="805"/>
      <c r="I30" s="805"/>
      <c r="J30" s="804"/>
      <c r="K30" s="804"/>
      <c r="L30" s="804"/>
      <c r="M30" s="804"/>
      <c r="N30" s="804"/>
      <c r="O30" s="804"/>
      <c r="P30" s="805" t="s">
        <v>65</v>
      </c>
      <c r="Q30" s="805"/>
      <c r="R30" s="805"/>
      <c r="S30" s="805"/>
      <c r="T30" s="805"/>
      <c r="U30" s="805"/>
      <c r="V30" s="805" t="s">
        <v>65</v>
      </c>
      <c r="W30" s="805"/>
      <c r="X30" s="805"/>
      <c r="Y30" s="805"/>
      <c r="Z30" s="805"/>
      <c r="AA30" s="805"/>
      <c r="AB30" s="805"/>
      <c r="AC30" s="805"/>
      <c r="AD30" s="805" t="s">
        <v>65</v>
      </c>
      <c r="AE30" s="805"/>
      <c r="AF30" s="805"/>
      <c r="AG30" s="805"/>
      <c r="AH30" s="805"/>
      <c r="AI30" s="805"/>
      <c r="AJ30" s="805"/>
      <c r="AK30" s="805"/>
      <c r="AL30" s="805"/>
      <c r="AM30" s="805"/>
      <c r="AN30" s="805"/>
      <c r="AO30" s="805"/>
      <c r="AP30" s="804"/>
      <c r="AQ30" s="804"/>
      <c r="AR30" s="804"/>
      <c r="AS30" s="804"/>
      <c r="AT30" s="805" t="s">
        <v>65</v>
      </c>
      <c r="AU30" s="805"/>
      <c r="AV30" s="805"/>
      <c r="AW30" s="805"/>
      <c r="AX30" s="805"/>
      <c r="AY30" s="805"/>
    </row>
    <row r="31" spans="1:51" ht="15.75" customHeight="1">
      <c r="A31" s="809"/>
      <c r="B31" s="809"/>
      <c r="C31" s="809"/>
      <c r="D31" s="805" t="s">
        <v>297</v>
      </c>
      <c r="E31" s="805"/>
      <c r="F31" s="805"/>
      <c r="G31" s="805"/>
      <c r="H31" s="805"/>
      <c r="I31" s="805"/>
      <c r="J31" s="804"/>
      <c r="K31" s="804"/>
      <c r="L31" s="804"/>
      <c r="M31" s="804"/>
      <c r="N31" s="804"/>
      <c r="O31" s="804"/>
      <c r="P31" s="805" t="s">
        <v>297</v>
      </c>
      <c r="Q31" s="805"/>
      <c r="R31" s="805"/>
      <c r="S31" s="805"/>
      <c r="T31" s="805"/>
      <c r="U31" s="805"/>
      <c r="V31" s="805" t="s">
        <v>297</v>
      </c>
      <c r="W31" s="805"/>
      <c r="X31" s="805"/>
      <c r="Y31" s="805"/>
      <c r="Z31" s="805"/>
      <c r="AA31" s="805"/>
      <c r="AB31" s="805"/>
      <c r="AC31" s="805"/>
      <c r="AD31" s="805" t="s">
        <v>297</v>
      </c>
      <c r="AE31" s="805"/>
      <c r="AF31" s="805"/>
      <c r="AG31" s="805"/>
      <c r="AH31" s="805"/>
      <c r="AI31" s="805"/>
      <c r="AJ31" s="805"/>
      <c r="AK31" s="805"/>
      <c r="AL31" s="805"/>
      <c r="AM31" s="805"/>
      <c r="AN31" s="805"/>
      <c r="AO31" s="805"/>
      <c r="AP31" s="804"/>
      <c r="AQ31" s="804"/>
      <c r="AR31" s="804"/>
      <c r="AS31" s="804"/>
      <c r="AT31" s="805" t="s">
        <v>75</v>
      </c>
      <c r="AU31" s="805"/>
      <c r="AV31" s="805"/>
      <c r="AW31" s="805"/>
      <c r="AX31" s="805"/>
      <c r="AY31" s="805"/>
    </row>
  </sheetData>
  <sheetProtection/>
  <mergeCells count="57">
    <mergeCell ref="AX1:AY1"/>
    <mergeCell ref="AX2:AY2"/>
    <mergeCell ref="AX3:AY3"/>
    <mergeCell ref="AX4:AY4"/>
    <mergeCell ref="A1:AW1"/>
    <mergeCell ref="V11:AG11"/>
    <mergeCell ref="A9:C9"/>
    <mergeCell ref="A2:AW2"/>
    <mergeCell ref="A3:AW4"/>
    <mergeCell ref="AT11:AU11"/>
    <mergeCell ref="D30:I30"/>
    <mergeCell ref="D31:I31"/>
    <mergeCell ref="AD29:AO29"/>
    <mergeCell ref="AD30:AO30"/>
    <mergeCell ref="AD31:AO31"/>
    <mergeCell ref="AH11:AS11"/>
    <mergeCell ref="P29:U29"/>
    <mergeCell ref="I11:I12"/>
    <mergeCell ref="J11:J12"/>
    <mergeCell ref="K11:K12"/>
    <mergeCell ref="U11:U12"/>
    <mergeCell ref="O11:S11"/>
    <mergeCell ref="T11:T12"/>
    <mergeCell ref="N11:N12"/>
    <mergeCell ref="A11:F11"/>
    <mergeCell ref="G11:H11"/>
    <mergeCell ref="M11:M12"/>
    <mergeCell ref="A29:C31"/>
    <mergeCell ref="J29:O31"/>
    <mergeCell ref="P30:U30"/>
    <mergeCell ref="P31:U31"/>
    <mergeCell ref="V29:AC29"/>
    <mergeCell ref="A28:AY28"/>
    <mergeCell ref="AT30:AY30"/>
    <mergeCell ref="AT29:AY29"/>
    <mergeCell ref="AT31:AY31"/>
    <mergeCell ref="D29:I29"/>
    <mergeCell ref="AP29:AS31"/>
    <mergeCell ref="AX5:AX12"/>
    <mergeCell ref="AY5:AY12"/>
    <mergeCell ref="H7:I7"/>
    <mergeCell ref="H8:I8"/>
    <mergeCell ref="V30:AC30"/>
    <mergeCell ref="V31:AC31"/>
    <mergeCell ref="AW5:AW12"/>
    <mergeCell ref="AH5:AU10"/>
    <mergeCell ref="K6:U8"/>
    <mergeCell ref="AV5:AV12"/>
    <mergeCell ref="A5:AG5"/>
    <mergeCell ref="A6:C8"/>
    <mergeCell ref="D6:E8"/>
    <mergeCell ref="F6:G8"/>
    <mergeCell ref="H6:I6"/>
    <mergeCell ref="A10:C10"/>
    <mergeCell ref="D9:AG9"/>
    <mergeCell ref="D10:AG10"/>
    <mergeCell ref="L11:L12"/>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42" t="s">
        <v>16</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2"/>
      <c r="BI1" s="843" t="s">
        <v>18</v>
      </c>
      <c r="BJ1" s="843"/>
      <c r="BK1" s="843"/>
    </row>
    <row r="2" spans="1:63" ht="15.75" customHeight="1">
      <c r="A2" s="842" t="s">
        <v>17</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4" t="s">
        <v>418</v>
      </c>
      <c r="BJ2" s="844"/>
      <c r="BK2" s="844"/>
    </row>
    <row r="3" spans="1:63" ht="25.5" customHeight="1">
      <c r="A3" s="842" t="s">
        <v>187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842"/>
      <c r="AT3" s="842"/>
      <c r="AU3" s="842"/>
      <c r="AV3" s="842"/>
      <c r="AW3" s="842"/>
      <c r="AX3" s="842"/>
      <c r="AY3" s="842"/>
      <c r="AZ3" s="842"/>
      <c r="BA3" s="842"/>
      <c r="BB3" s="842"/>
      <c r="BC3" s="842"/>
      <c r="BD3" s="842"/>
      <c r="BE3" s="842"/>
      <c r="BF3" s="842"/>
      <c r="BG3" s="842"/>
      <c r="BH3" s="842"/>
      <c r="BI3" s="844" t="s">
        <v>424</v>
      </c>
      <c r="BJ3" s="844"/>
      <c r="BK3" s="844"/>
    </row>
    <row r="4" spans="1:63" ht="15.75" customHeight="1">
      <c r="A4" s="842" t="s">
        <v>172</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39" t="s">
        <v>183</v>
      </c>
      <c r="BJ4" s="840"/>
      <c r="BK4" s="841"/>
    </row>
    <row r="5" spans="1:63" ht="25.5" customHeight="1">
      <c r="A5" s="836" t="s">
        <v>319</v>
      </c>
      <c r="B5" s="836"/>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G5" s="836" t="s">
        <v>320</v>
      </c>
      <c r="AH5" s="836"/>
      <c r="AI5" s="836"/>
      <c r="AJ5" s="836"/>
      <c r="AK5" s="836"/>
      <c r="AL5" s="836"/>
      <c r="AM5" s="836"/>
      <c r="AN5" s="836"/>
      <c r="AO5" s="836"/>
      <c r="AP5" s="836"/>
      <c r="AQ5" s="836"/>
      <c r="AR5" s="836"/>
      <c r="AS5" s="836"/>
      <c r="AT5" s="836"/>
      <c r="AU5" s="836"/>
      <c r="AV5" s="836"/>
      <c r="AW5" s="836"/>
      <c r="AX5" s="836"/>
      <c r="AY5" s="836"/>
      <c r="AZ5" s="836"/>
      <c r="BA5" s="836"/>
      <c r="BB5" s="836"/>
      <c r="BC5" s="836"/>
      <c r="BD5" s="836"/>
      <c r="BE5" s="836"/>
      <c r="BF5" s="836"/>
      <c r="BG5" s="836"/>
      <c r="BH5" s="836"/>
      <c r="BI5" s="837"/>
      <c r="BJ5" s="837"/>
      <c r="BK5" s="837"/>
    </row>
    <row r="6" spans="1:63" ht="31.5" customHeight="1">
      <c r="A6" s="169" t="s">
        <v>290</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row>
    <row r="7" spans="1:63" ht="31.5" customHeight="1">
      <c r="A7" s="170" t="s">
        <v>177</v>
      </c>
      <c r="B7" s="831"/>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3"/>
      <c r="AY7" s="833"/>
      <c r="AZ7" s="833"/>
      <c r="BA7" s="833"/>
      <c r="BB7" s="833"/>
      <c r="BC7" s="833"/>
      <c r="BD7" s="833"/>
      <c r="BE7" s="833"/>
      <c r="BF7" s="833"/>
      <c r="BG7" s="833"/>
      <c r="BH7" s="833"/>
      <c r="BI7" s="833"/>
      <c r="BJ7" s="833"/>
      <c r="BK7" s="832"/>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34" t="s">
        <v>90</v>
      </c>
      <c r="B9" s="213" t="s">
        <v>39</v>
      </c>
      <c r="C9" s="213" t="s">
        <v>40</v>
      </c>
      <c r="D9" s="831" t="s">
        <v>41</v>
      </c>
      <c r="E9" s="832"/>
      <c r="F9" s="213" t="s">
        <v>42</v>
      </c>
      <c r="G9" s="213" t="s">
        <v>43</v>
      </c>
      <c r="H9" s="831" t="s">
        <v>44</v>
      </c>
      <c r="I9" s="832"/>
      <c r="J9" s="213" t="s">
        <v>45</v>
      </c>
      <c r="K9" s="213" t="s">
        <v>46</v>
      </c>
      <c r="L9" s="831" t="s">
        <v>47</v>
      </c>
      <c r="M9" s="832"/>
      <c r="N9" s="213" t="s">
        <v>48</v>
      </c>
      <c r="O9" s="213" t="s">
        <v>49</v>
      </c>
      <c r="P9" s="831" t="s">
        <v>50</v>
      </c>
      <c r="Q9" s="832"/>
      <c r="R9" s="831" t="s">
        <v>91</v>
      </c>
      <c r="S9" s="832"/>
      <c r="T9" s="831" t="s">
        <v>289</v>
      </c>
      <c r="U9" s="833"/>
      <c r="V9" s="833"/>
      <c r="W9" s="833"/>
      <c r="X9" s="833"/>
      <c r="Y9" s="832"/>
      <c r="Z9" s="831" t="s">
        <v>288</v>
      </c>
      <c r="AA9" s="833"/>
      <c r="AB9" s="833"/>
      <c r="AC9" s="833"/>
      <c r="AD9" s="833"/>
      <c r="AE9" s="832"/>
      <c r="AG9" s="834" t="s">
        <v>90</v>
      </c>
      <c r="AH9" s="213" t="s">
        <v>39</v>
      </c>
      <c r="AI9" s="213" t="s">
        <v>40</v>
      </c>
      <c r="AJ9" s="831" t="s">
        <v>41</v>
      </c>
      <c r="AK9" s="832"/>
      <c r="AL9" s="213" t="s">
        <v>42</v>
      </c>
      <c r="AM9" s="213" t="s">
        <v>43</v>
      </c>
      <c r="AN9" s="831" t="s">
        <v>44</v>
      </c>
      <c r="AO9" s="832"/>
      <c r="AP9" s="213" t="s">
        <v>45</v>
      </c>
      <c r="AQ9" s="213" t="s">
        <v>46</v>
      </c>
      <c r="AR9" s="831" t="s">
        <v>47</v>
      </c>
      <c r="AS9" s="832"/>
      <c r="AT9" s="213" t="s">
        <v>48</v>
      </c>
      <c r="AU9" s="213" t="s">
        <v>49</v>
      </c>
      <c r="AV9" s="831" t="s">
        <v>50</v>
      </c>
      <c r="AW9" s="832"/>
      <c r="AX9" s="831" t="s">
        <v>91</v>
      </c>
      <c r="AY9" s="832"/>
      <c r="AZ9" s="831" t="s">
        <v>289</v>
      </c>
      <c r="BA9" s="833"/>
      <c r="BB9" s="833"/>
      <c r="BC9" s="833"/>
      <c r="BD9" s="833"/>
      <c r="BE9" s="832"/>
      <c r="BF9" s="831" t="s">
        <v>288</v>
      </c>
      <c r="BG9" s="833"/>
      <c r="BH9" s="833"/>
      <c r="BI9" s="833"/>
      <c r="BJ9" s="833"/>
      <c r="BK9" s="832"/>
    </row>
    <row r="10" spans="1:63" ht="36" customHeight="1">
      <c r="A10" s="835"/>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35"/>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34" t="s">
        <v>90</v>
      </c>
      <c r="B35" s="213" t="s">
        <v>39</v>
      </c>
      <c r="C35" s="213" t="s">
        <v>40</v>
      </c>
      <c r="D35" s="831" t="s">
        <v>41</v>
      </c>
      <c r="E35" s="832"/>
      <c r="F35" s="213" t="s">
        <v>42</v>
      </c>
      <c r="G35" s="213" t="s">
        <v>43</v>
      </c>
      <c r="H35" s="831" t="s">
        <v>44</v>
      </c>
      <c r="I35" s="832"/>
      <c r="J35" s="213" t="s">
        <v>45</v>
      </c>
      <c r="K35" s="213" t="s">
        <v>46</v>
      </c>
      <c r="L35" s="831" t="s">
        <v>47</v>
      </c>
      <c r="M35" s="832"/>
      <c r="N35" s="213" t="s">
        <v>48</v>
      </c>
      <c r="O35" s="213" t="s">
        <v>49</v>
      </c>
      <c r="P35" s="831" t="s">
        <v>50</v>
      </c>
      <c r="Q35" s="832"/>
      <c r="R35" s="831" t="s">
        <v>91</v>
      </c>
      <c r="S35" s="832"/>
      <c r="T35" s="831" t="s">
        <v>289</v>
      </c>
      <c r="U35" s="833"/>
      <c r="V35" s="833"/>
      <c r="W35" s="833"/>
      <c r="X35" s="833"/>
      <c r="Y35" s="832"/>
      <c r="Z35" s="831" t="s">
        <v>288</v>
      </c>
      <c r="AA35" s="833"/>
      <c r="AB35" s="833"/>
      <c r="AC35" s="833"/>
      <c r="AD35" s="833"/>
      <c r="AE35" s="832"/>
      <c r="AG35" s="834" t="s">
        <v>90</v>
      </c>
      <c r="AH35" s="213" t="s">
        <v>39</v>
      </c>
      <c r="AI35" s="213" t="s">
        <v>40</v>
      </c>
      <c r="AJ35" s="831" t="s">
        <v>41</v>
      </c>
      <c r="AK35" s="832"/>
      <c r="AL35" s="213" t="s">
        <v>42</v>
      </c>
      <c r="AM35" s="213" t="s">
        <v>43</v>
      </c>
      <c r="AN35" s="831" t="s">
        <v>44</v>
      </c>
      <c r="AO35" s="832"/>
      <c r="AP35" s="213" t="s">
        <v>45</v>
      </c>
      <c r="AQ35" s="213" t="s">
        <v>46</v>
      </c>
      <c r="AR35" s="831" t="s">
        <v>47</v>
      </c>
      <c r="AS35" s="832"/>
      <c r="AT35" s="213" t="s">
        <v>48</v>
      </c>
      <c r="AU35" s="213" t="s">
        <v>49</v>
      </c>
      <c r="AV35" s="831" t="s">
        <v>50</v>
      </c>
      <c r="AW35" s="832"/>
      <c r="AX35" s="831" t="s">
        <v>91</v>
      </c>
      <c r="AY35" s="832"/>
      <c r="AZ35" s="831" t="s">
        <v>289</v>
      </c>
      <c r="BA35" s="833"/>
      <c r="BB35" s="833"/>
      <c r="BC35" s="833"/>
      <c r="BD35" s="833"/>
      <c r="BE35" s="832"/>
      <c r="BF35" s="831" t="s">
        <v>288</v>
      </c>
      <c r="BG35" s="833"/>
      <c r="BH35" s="833"/>
      <c r="BI35" s="833"/>
      <c r="BJ35" s="833"/>
      <c r="BK35" s="832"/>
    </row>
    <row r="36" spans="1:63" ht="36" customHeight="1">
      <c r="A36" s="835"/>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35"/>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47" t="s">
        <v>195</v>
      </c>
      <c r="B1" s="848"/>
    </row>
    <row r="2" spans="1:2" ht="25.5" customHeight="1">
      <c r="A2" s="849" t="s">
        <v>400</v>
      </c>
      <c r="B2" s="850"/>
    </row>
    <row r="3" spans="1:2" ht="15">
      <c r="A3" s="218" t="s">
        <v>324</v>
      </c>
      <c r="B3" s="147" t="s">
        <v>325</v>
      </c>
    </row>
    <row r="4" spans="1:2" ht="15">
      <c r="A4" s="219" t="s">
        <v>71</v>
      </c>
      <c r="B4" s="155" t="s">
        <v>357</v>
      </c>
    </row>
    <row r="5" spans="1:2" ht="105">
      <c r="A5" s="219" t="s">
        <v>67</v>
      </c>
      <c r="B5" s="223" t="s">
        <v>422</v>
      </c>
    </row>
    <row r="6" spans="1:2" s="146" customFormat="1" ht="15">
      <c r="A6" s="219" t="s">
        <v>0</v>
      </c>
      <c r="B6" s="851" t="s">
        <v>352</v>
      </c>
    </row>
    <row r="7" spans="1:2" s="146" customFormat="1" ht="15">
      <c r="A7" s="219" t="s">
        <v>77</v>
      </c>
      <c r="B7" s="852"/>
    </row>
    <row r="8" spans="1:2" s="146" customFormat="1" ht="15">
      <c r="A8" s="219" t="s">
        <v>73</v>
      </c>
      <c r="B8" s="852"/>
    </row>
    <row r="9" spans="1:2" s="146" customFormat="1" ht="15">
      <c r="A9" s="219" t="s">
        <v>333</v>
      </c>
      <c r="B9" s="853"/>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49" t="s">
        <v>401</v>
      </c>
      <c r="B17" s="850"/>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60">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49" t="s">
        <v>350</v>
      </c>
      <c r="B41" s="850"/>
    </row>
    <row r="42" spans="1:2" ht="15">
      <c r="A42" s="847" t="s">
        <v>351</v>
      </c>
      <c r="B42" s="848"/>
    </row>
    <row r="43" spans="1:2" ht="72" customHeight="1">
      <c r="A43" s="845" t="s">
        <v>397</v>
      </c>
      <c r="B43" s="846"/>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54" t="s">
        <v>222</v>
      </c>
      <c r="E27" s="134" t="s">
        <v>223</v>
      </c>
    </row>
    <row r="28" spans="4:5" ht="15">
      <c r="D28" s="855"/>
      <c r="E28" s="134" t="s">
        <v>224</v>
      </c>
    </row>
    <row r="29" spans="4:5" ht="15">
      <c r="D29" s="855"/>
      <c r="E29" s="134" t="s">
        <v>225</v>
      </c>
    </row>
    <row r="30" spans="4:5" ht="15">
      <c r="D30" s="856"/>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O3">
      <selection activeCell="S20" sqref="S20"/>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customWidth="1"/>
    <col min="15" max="15" width="13.00390625" style="0" customWidth="1"/>
    <col min="16" max="16" width="15.28125" style="0" customWidth="1"/>
    <col min="17" max="17" width="13.00390625" style="0" customWidth="1"/>
    <col min="18" max="18" width="15.8515625" style="0" customWidth="1"/>
    <col min="19" max="19" width="16.140625" style="0" customWidth="1"/>
    <col min="20" max="20" width="15.28125" style="0" bestFit="1" customWidth="1"/>
    <col min="21" max="21" width="13.00390625" style="0" bestFit="1" customWidth="1"/>
    <col min="22"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857" t="s">
        <v>818</v>
      </c>
      <c r="E11" s="857"/>
      <c r="F11" s="857" t="s">
        <v>819</v>
      </c>
      <c r="G11" s="857"/>
      <c r="H11" s="857" t="s">
        <v>820</v>
      </c>
      <c r="I11" s="857"/>
      <c r="J11" s="857" t="s">
        <v>821</v>
      </c>
      <c r="K11" s="857"/>
      <c r="L11" s="857" t="s">
        <v>822</v>
      </c>
      <c r="M11" s="857"/>
      <c r="N11" s="857" t="s">
        <v>823</v>
      </c>
      <c r="O11" s="857"/>
      <c r="P11" s="857" t="s">
        <v>824</v>
      </c>
      <c r="Q11" s="857"/>
      <c r="R11" s="857" t="s">
        <v>825</v>
      </c>
      <c r="S11" s="857"/>
      <c r="T11" s="857" t="s">
        <v>826</v>
      </c>
      <c r="U11" s="857"/>
      <c r="V11" s="857" t="s">
        <v>827</v>
      </c>
      <c r="W11" s="857"/>
      <c r="X11" s="857" t="s">
        <v>828</v>
      </c>
      <c r="Y11" s="857"/>
      <c r="Z11" s="857" t="s">
        <v>829</v>
      </c>
      <c r="AA11" s="857"/>
      <c r="AB11" s="858" t="s">
        <v>63</v>
      </c>
      <c r="AC11" s="859"/>
      <c r="AD11" s="860"/>
    </row>
    <row r="12" spans="2:30" s="387" customFormat="1" ht="15">
      <c r="B12" s="420"/>
      <c r="C12" s="421" t="s">
        <v>830</v>
      </c>
      <c r="D12" s="421" t="s">
        <v>831</v>
      </c>
      <c r="E12" s="422" t="s">
        <v>381</v>
      </c>
      <c r="F12" s="421" t="s">
        <v>831</v>
      </c>
      <c r="G12" s="422" t="s">
        <v>381</v>
      </c>
      <c r="H12" s="421" t="s">
        <v>831</v>
      </c>
      <c r="I12" s="422" t="s">
        <v>381</v>
      </c>
      <c r="J12" s="421" t="s">
        <v>831</v>
      </c>
      <c r="K12" s="422" t="s">
        <v>381</v>
      </c>
      <c r="L12" s="421" t="s">
        <v>831</v>
      </c>
      <c r="M12" s="422" t="s">
        <v>381</v>
      </c>
      <c r="N12" s="421" t="s">
        <v>831</v>
      </c>
      <c r="O12" s="422" t="s">
        <v>381</v>
      </c>
      <c r="P12" s="421" t="s">
        <v>831</v>
      </c>
      <c r="Q12" s="422" t="s">
        <v>381</v>
      </c>
      <c r="R12" s="421" t="s">
        <v>831</v>
      </c>
      <c r="S12" s="422" t="s">
        <v>381</v>
      </c>
      <c r="T12" s="421" t="s">
        <v>831</v>
      </c>
      <c r="U12" s="422" t="s">
        <v>381</v>
      </c>
      <c r="V12" s="421" t="s">
        <v>831</v>
      </c>
      <c r="W12" s="422" t="s">
        <v>381</v>
      </c>
      <c r="X12" s="421" t="s">
        <v>831</v>
      </c>
      <c r="Y12" s="422" t="s">
        <v>381</v>
      </c>
      <c r="Z12" s="421" t="s">
        <v>831</v>
      </c>
      <c r="AA12" s="422" t="s">
        <v>381</v>
      </c>
      <c r="AB12" s="422" t="s">
        <v>831</v>
      </c>
      <c r="AC12" s="421" t="s">
        <v>830</v>
      </c>
      <c r="AD12" s="422" t="s">
        <v>381</v>
      </c>
    </row>
    <row r="13" spans="1:31" s="387" customFormat="1" ht="15">
      <c r="A13" s="861" t="s">
        <v>832</v>
      </c>
      <c r="B13" s="420" t="s">
        <v>24</v>
      </c>
      <c r="C13" s="420">
        <f>+C5</f>
        <v>78887973</v>
      </c>
      <c r="D13" s="420">
        <v>0</v>
      </c>
      <c r="E13" s="420">
        <v>10197469</v>
      </c>
      <c r="F13" s="420">
        <v>0</v>
      </c>
      <c r="G13" s="420">
        <v>10197468</v>
      </c>
      <c r="H13" s="420">
        <f>0-D13-F13</f>
        <v>0</v>
      </c>
      <c r="I13" s="420">
        <f>30592405-E13-G13</f>
        <v>10197468</v>
      </c>
      <c r="J13" s="420">
        <f>0-D13-F13-H13</f>
        <v>0</v>
      </c>
      <c r="K13" s="420">
        <f>30592405-E13-G13-I13</f>
        <v>0</v>
      </c>
      <c r="L13" s="420">
        <f>9782202-D13-F13-H13-J13</f>
        <v>9782202</v>
      </c>
      <c r="M13" s="420">
        <f>36486058-E13-G13-I13-K13</f>
        <v>5893653</v>
      </c>
      <c r="N13" s="420">
        <f>9782202-D13-F13-H13-J13-L13</f>
        <v>0</v>
      </c>
      <c r="O13" s="420">
        <f>36486058-E13-G13-I13-K13-M13</f>
        <v>0</v>
      </c>
      <c r="P13" s="420">
        <f>9782202-D13-F13-H13-J13-L13-N13</f>
        <v>0</v>
      </c>
      <c r="Q13" s="420">
        <f>40674894-E13-G13-I13-K13-M13-O13</f>
        <v>4188836</v>
      </c>
      <c r="R13" s="420">
        <f>9782203-D13-F13-H13-J13-L13-N13-P13</f>
        <v>1</v>
      </c>
      <c r="S13" s="420">
        <f>40674894-E13-G13-I13-K13-M13-O13-Q13</f>
        <v>0</v>
      </c>
      <c r="T13" s="420">
        <f>9782203-D13-F13-H13-J13-L13-N13-P13-R13</f>
        <v>0</v>
      </c>
      <c r="U13" s="420">
        <f>40674894-E13-G13-I13-K13-M13-O13-Q13-S13</f>
        <v>0</v>
      </c>
      <c r="V13" s="420"/>
      <c r="W13" s="420"/>
      <c r="X13" s="420"/>
      <c r="Y13" s="420"/>
      <c r="Z13" s="420"/>
      <c r="AA13" s="420"/>
      <c r="AB13" s="420">
        <f>+D13+F13+H13+J13+L13+N13+P13+R13+T13</f>
        <v>9782203</v>
      </c>
      <c r="AC13" s="420">
        <f>+C13-D13-F13-H13-J13-L13-N13-P13-R13-T13</f>
        <v>69105770</v>
      </c>
      <c r="AD13" s="420">
        <f>+E13+G13+I13+K13+M13+O13+Q13+S13+U13</f>
        <v>40674894</v>
      </c>
      <c r="AE13" s="387">
        <v>40674894</v>
      </c>
    </row>
    <row r="14" spans="1:31" s="387" customFormat="1" ht="15">
      <c r="A14" s="861"/>
      <c r="B14" s="420" t="s">
        <v>25</v>
      </c>
      <c r="C14" s="420">
        <f>+C6</f>
        <v>148248728</v>
      </c>
      <c r="D14" s="420">
        <v>12360000</v>
      </c>
      <c r="E14" s="420">
        <v>613145</v>
      </c>
      <c r="F14" s="420">
        <v>0</v>
      </c>
      <c r="G14" s="420">
        <v>450994</v>
      </c>
      <c r="H14" s="420">
        <f>12360000-D14-F14</f>
        <v>0</v>
      </c>
      <c r="I14" s="420">
        <f>1698219-E14-G14</f>
        <v>634080</v>
      </c>
      <c r="J14" s="420">
        <f>12360000-D14-F14-H14</f>
        <v>0</v>
      </c>
      <c r="K14" s="420">
        <f>2213447-E14-G14-I14</f>
        <v>515228</v>
      </c>
      <c r="L14" s="420">
        <f>13013334-D14-F14-H14-J14</f>
        <v>653334</v>
      </c>
      <c r="M14" s="420">
        <f>3831685-E14-G14-I14-K14</f>
        <v>1618238</v>
      </c>
      <c r="N14" s="420">
        <f>36413334-D14-F14-H14-J14-L14</f>
        <v>23400000</v>
      </c>
      <c r="O14" s="420">
        <f>6706689-E14-G14-I14-K14-M14</f>
        <v>2875004</v>
      </c>
      <c r="P14" s="420">
        <f>36449334-D14-F14-H14-J14-L14-N14</f>
        <v>36000</v>
      </c>
      <c r="Q14" s="420">
        <f>7512535-E14-G14-I14-K14-M14-O14</f>
        <v>805846</v>
      </c>
      <c r="R14" s="420">
        <f>36449334-D14-F14-H14-J14-L14-N14-P14</f>
        <v>0</v>
      </c>
      <c r="S14" s="420">
        <f>8144067-E14-G14-I14-K14-M14-O14-Q14</f>
        <v>631532</v>
      </c>
      <c r="T14" s="420">
        <f>37989334-D14-F14-H14-J14-L14-N14-P14-R14</f>
        <v>1540000</v>
      </c>
      <c r="U14" s="420">
        <f>12105977-E14-G14-I14-K14-M14-O14-Q14-S14</f>
        <v>3961910</v>
      </c>
      <c r="V14" s="420"/>
      <c r="W14" s="420"/>
      <c r="X14" s="420"/>
      <c r="Y14" s="420"/>
      <c r="Z14" s="420"/>
      <c r="AA14" s="420"/>
      <c r="AB14" s="420">
        <f>+D14+F14+H14+J14+L14+N14+P14+R14+T14</f>
        <v>37989334</v>
      </c>
      <c r="AC14" s="420">
        <f>+C14-D14-F14-H14-J14-L14-N14-P14-R14-T14</f>
        <v>110259394</v>
      </c>
      <c r="AD14" s="420">
        <f>+E14+G14+I14+K14+M14+O14+Q14+S14+U14</f>
        <v>12105977</v>
      </c>
      <c r="AE14" s="387">
        <v>12105977</v>
      </c>
    </row>
    <row r="15" spans="1:31" s="387" customFormat="1" ht="15">
      <c r="A15" s="861"/>
      <c r="B15" s="420" t="s">
        <v>26</v>
      </c>
      <c r="C15" s="420">
        <f>+C7</f>
        <v>49583934</v>
      </c>
      <c r="D15" s="420">
        <v>25434667</v>
      </c>
      <c r="E15" s="420">
        <v>8240000</v>
      </c>
      <c r="F15" s="420">
        <v>12943667</v>
      </c>
      <c r="G15" s="420">
        <v>0</v>
      </c>
      <c r="H15" s="420">
        <f>38378334-D15-F15</f>
        <v>0</v>
      </c>
      <c r="I15" s="420">
        <f>8240000-E15-G15</f>
        <v>0</v>
      </c>
      <c r="J15" s="420">
        <f>38378334-D15-F15-H15</f>
        <v>0</v>
      </c>
      <c r="K15" s="420">
        <f>8240000-E15-G15-I15</f>
        <v>0</v>
      </c>
      <c r="L15" s="420">
        <f>38378334-D15-F15-H15-J15</f>
        <v>0</v>
      </c>
      <c r="M15" s="420">
        <f>8240000-E15-G15-I15-K15</f>
        <v>0</v>
      </c>
      <c r="N15" s="420">
        <f>38378334-D15-F15-H15-J15-L15</f>
        <v>0</v>
      </c>
      <c r="O15" s="420">
        <f>8240000-E15-G15-I15-K15-M15</f>
        <v>0</v>
      </c>
      <c r="P15" s="420">
        <f>38378334-D15-F15-H15-J15-L15-N15</f>
        <v>0</v>
      </c>
      <c r="Q15" s="420">
        <f>8240000-E15-G15-I15-K15-M15-O15</f>
        <v>0</v>
      </c>
      <c r="R15" s="420">
        <f>38378334-D15-F15-H15-J15-L15-N15-P15</f>
        <v>0</v>
      </c>
      <c r="S15" s="420">
        <f>8240000-E15-G15-I15-K15-M15-O15-Q15</f>
        <v>0</v>
      </c>
      <c r="T15" s="420">
        <f>41343934-D15-F15-H15-J15-L15-N15-P15-R15</f>
        <v>2965600</v>
      </c>
      <c r="U15" s="420">
        <f>8240000-E15-G15-I15-K15-M15-O15-Q15-S15</f>
        <v>0</v>
      </c>
      <c r="V15" s="420"/>
      <c r="W15" s="420"/>
      <c r="X15" s="420"/>
      <c r="Y15" s="420"/>
      <c r="Z15" s="420"/>
      <c r="AA15" s="420"/>
      <c r="AB15" s="420">
        <f>+D15+F15+H15+J15+L15+N15+P15+R15+T15</f>
        <v>41343934</v>
      </c>
      <c r="AC15" s="420">
        <f>+C15-D15-F15-H15-J15-L15-N15-P15-R15-T15</f>
        <v>8240000</v>
      </c>
      <c r="AD15" s="420">
        <f>+E15+G15+I15+K15+M15+O15+Q15+S15+U15</f>
        <v>8240000</v>
      </c>
      <c r="AE15" s="387">
        <v>8240000</v>
      </c>
    </row>
    <row r="16" spans="1:31" s="387" customFormat="1" ht="15">
      <c r="A16" s="861"/>
      <c r="B16" s="420" t="s">
        <v>27</v>
      </c>
      <c r="C16" s="420">
        <f>+C8</f>
        <v>20783308</v>
      </c>
      <c r="D16" s="420">
        <v>0</v>
      </c>
      <c r="E16" s="420">
        <v>10423312</v>
      </c>
      <c r="F16" s="420">
        <v>22323</v>
      </c>
      <c r="G16" s="420">
        <v>0</v>
      </c>
      <c r="H16" s="420">
        <f>22323-D16-F16</f>
        <v>0</v>
      </c>
      <c r="I16" s="420">
        <f>10423312-E16-G16</f>
        <v>0</v>
      </c>
      <c r="J16" s="420">
        <f>22323-D16-F16-H16</f>
        <v>0</v>
      </c>
      <c r="K16" s="420">
        <f>10423312-E16-G16-I16</f>
        <v>0</v>
      </c>
      <c r="L16" s="420">
        <f>22323-D16-F16-H16-J16</f>
        <v>0</v>
      </c>
      <c r="M16" s="420">
        <f>16912312-E16-G16-I16-K16</f>
        <v>6489000</v>
      </c>
      <c r="N16" s="420">
        <f>1744323-D16-F16-H16-J16-L16</f>
        <v>1722000</v>
      </c>
      <c r="O16" s="420">
        <f>16912312-E16-G16-I16-K16-M16</f>
        <v>0</v>
      </c>
      <c r="P16" s="420">
        <f>1744323-D16-F16-H16-J16-L16-N16</f>
        <v>0</v>
      </c>
      <c r="Q16" s="420">
        <f>16912312-E16-G16-I16-K16-M16-O16</f>
        <v>0</v>
      </c>
      <c r="R16" s="420">
        <f>1744323-D16-F16-H16-J16-L16-N16-P16</f>
        <v>0</v>
      </c>
      <c r="S16" s="420">
        <f>16912312-E16-G16-I16-K16-M16-O16-Q16</f>
        <v>0</v>
      </c>
      <c r="T16" s="420">
        <f>3870996-D16-F16-H16-J16-L16-N16-P16-R16</f>
        <v>2126673</v>
      </c>
      <c r="U16" s="420">
        <f>16912312-E16-G16-I16-K16-M16-O16-Q16-S16</f>
        <v>0</v>
      </c>
      <c r="V16" s="420"/>
      <c r="W16" s="420"/>
      <c r="X16" s="420"/>
      <c r="Y16" s="420"/>
      <c r="Z16" s="420"/>
      <c r="AA16" s="420"/>
      <c r="AB16" s="420">
        <f>+D16+F16+H16+J16+L16+N16+P16+R16+T16</f>
        <v>3870996</v>
      </c>
      <c r="AC16" s="420">
        <f>+C16-D16-F16-H16-J16-L16-N16-P16-R16-T16</f>
        <v>16912312</v>
      </c>
      <c r="AD16" s="420">
        <f>+E16+G16+I16+K16+M16+O16+Q16+S16+U16</f>
        <v>16912312</v>
      </c>
      <c r="AE16" s="387">
        <v>16912312</v>
      </c>
    </row>
    <row r="17" spans="1:30" s="387" customFormat="1" ht="15">
      <c r="A17" s="861"/>
      <c r="B17" s="421" t="s">
        <v>8</v>
      </c>
      <c r="C17" s="421">
        <f aca="true" t="shared" si="0" ref="C17:U17">SUM(C13:C16)</f>
        <v>297503943</v>
      </c>
      <c r="D17" s="421">
        <f t="shared" si="0"/>
        <v>37794667</v>
      </c>
      <c r="E17" s="421">
        <f t="shared" si="0"/>
        <v>29473926</v>
      </c>
      <c r="F17" s="421">
        <f t="shared" si="0"/>
        <v>12965990</v>
      </c>
      <c r="G17" s="421">
        <f t="shared" si="0"/>
        <v>10648462</v>
      </c>
      <c r="H17" s="421">
        <f t="shared" si="0"/>
        <v>0</v>
      </c>
      <c r="I17" s="421">
        <f t="shared" si="0"/>
        <v>10831548</v>
      </c>
      <c r="J17" s="421">
        <f t="shared" si="0"/>
        <v>0</v>
      </c>
      <c r="K17" s="421">
        <f t="shared" si="0"/>
        <v>515228</v>
      </c>
      <c r="L17" s="421">
        <f t="shared" si="0"/>
        <v>10435536</v>
      </c>
      <c r="M17" s="421">
        <f t="shared" si="0"/>
        <v>14000891</v>
      </c>
      <c r="N17" s="421">
        <f t="shared" si="0"/>
        <v>25122000</v>
      </c>
      <c r="O17" s="421">
        <f t="shared" si="0"/>
        <v>2875004</v>
      </c>
      <c r="P17" s="421">
        <f t="shared" si="0"/>
        <v>36000</v>
      </c>
      <c r="Q17" s="421">
        <f t="shared" si="0"/>
        <v>4994682</v>
      </c>
      <c r="R17" s="421">
        <f t="shared" si="0"/>
        <v>1</v>
      </c>
      <c r="S17" s="421">
        <f t="shared" si="0"/>
        <v>631532</v>
      </c>
      <c r="T17" s="421">
        <f t="shared" si="0"/>
        <v>6632273</v>
      </c>
      <c r="U17" s="421">
        <f t="shared" si="0"/>
        <v>3961910</v>
      </c>
      <c r="V17" s="420"/>
      <c r="W17" s="421"/>
      <c r="X17" s="420"/>
      <c r="Y17" s="421"/>
      <c r="Z17" s="420"/>
      <c r="AA17" s="421"/>
      <c r="AB17" s="421">
        <f>SUM(AB13:AB16)</f>
        <v>92986467</v>
      </c>
      <c r="AC17" s="421">
        <f>SUM(AC13:AC16)</f>
        <v>204517476</v>
      </c>
      <c r="AD17" s="421">
        <f>SUM(AD13:AD16)</f>
        <v>77933183</v>
      </c>
    </row>
    <row r="18" spans="3:31" ht="15">
      <c r="C18" s="427">
        <v>297503943</v>
      </c>
      <c r="AB18" s="455">
        <v>92986467</v>
      </c>
      <c r="AC18" s="456">
        <v>204517476</v>
      </c>
      <c r="AD18" s="428">
        <v>77933183</v>
      </c>
      <c r="AE18" s="441">
        <f>+AD18/AC18</f>
        <v>0.3810587951906858</v>
      </c>
    </row>
    <row r="19" spans="28:30" ht="15">
      <c r="AB19" s="435">
        <f>+AB17-AB18</f>
        <v>0</v>
      </c>
      <c r="AC19" s="435">
        <f>+AC17-AC18</f>
        <v>0</v>
      </c>
      <c r="AD19" s="435">
        <f>+AD17-AD18</f>
        <v>0</v>
      </c>
    </row>
    <row r="20" spans="2:3" ht="15">
      <c r="B20" t="s">
        <v>24</v>
      </c>
      <c r="C20" s="387">
        <f>+'Meta 1'!O24</f>
        <v>69105770</v>
      </c>
    </row>
    <row r="21" spans="2:29" ht="15">
      <c r="B21" t="s">
        <v>25</v>
      </c>
      <c r="C21" s="387">
        <f>+'Metas 2'!O24</f>
        <v>110259394</v>
      </c>
      <c r="AC21" s="442"/>
    </row>
    <row r="22" spans="2:29" ht="15">
      <c r="B22" t="s">
        <v>26</v>
      </c>
      <c r="C22" s="387">
        <f>+'Meta 3'!O24</f>
        <v>8240000</v>
      </c>
      <c r="AC22" s="442"/>
    </row>
    <row r="23" spans="2:29" ht="15">
      <c r="B23" t="s">
        <v>27</v>
      </c>
      <c r="C23" s="387">
        <f>+'Meta 4'!O24</f>
        <v>16912312</v>
      </c>
      <c r="AC23" s="442"/>
    </row>
    <row r="24" spans="2:29" ht="15">
      <c r="B24" t="s">
        <v>8</v>
      </c>
      <c r="AC24" s="442"/>
    </row>
    <row r="25" ht="15">
      <c r="C25" s="387">
        <f>+C13-C20</f>
        <v>9782203</v>
      </c>
    </row>
    <row r="26" ht="15">
      <c r="C26" s="442">
        <f>+C14-C21</f>
        <v>37989334</v>
      </c>
    </row>
    <row r="27" ht="15">
      <c r="C27" s="442">
        <f>+C15-C22</f>
        <v>41343934</v>
      </c>
    </row>
    <row r="28" ht="15">
      <c r="C28" s="442">
        <f>+C16-C23</f>
        <v>3870996</v>
      </c>
    </row>
  </sheetData>
  <sheetProtection/>
  <mergeCells count="14">
    <mergeCell ref="A13:A17"/>
    <mergeCell ref="P11:Q11"/>
    <mergeCell ref="R11:S11"/>
    <mergeCell ref="T11:U11"/>
    <mergeCell ref="V11:W11"/>
    <mergeCell ref="X11:Y11"/>
    <mergeCell ref="Z11:AA11"/>
    <mergeCell ref="D11:E11"/>
    <mergeCell ref="F11:G11"/>
    <mergeCell ref="AB11:AD11"/>
    <mergeCell ref="H11:I11"/>
    <mergeCell ref="J11:K11"/>
    <mergeCell ref="L11:M11"/>
    <mergeCell ref="N11:O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2"/>
  <sheetViews>
    <sheetView zoomScalePageLayoutView="0" workbookViewId="0" topLeftCell="N8">
      <selection activeCell="AB15" sqref="AB15:AB18"/>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customWidth="1"/>
    <col min="7" max="7" width="14.00390625" style="0" customWidth="1"/>
    <col min="8" max="8" width="16.57421875" style="0" customWidth="1"/>
    <col min="9" max="9" width="16.421875" style="0" customWidth="1"/>
    <col min="10" max="10" width="16.57421875" style="0" customWidth="1"/>
    <col min="11" max="11" width="15.8515625" style="0" customWidth="1"/>
    <col min="12" max="12" width="16.7109375" style="0" customWidth="1"/>
    <col min="13" max="13" width="19.421875" style="0" customWidth="1"/>
    <col min="14" max="14" width="16.7109375" style="0" customWidth="1"/>
    <col min="15" max="15" width="15.57421875" style="0" customWidth="1"/>
    <col min="16" max="16" width="16.7109375" style="0" customWidth="1"/>
    <col min="17" max="17" width="15.57421875" style="0" customWidth="1"/>
    <col min="18" max="19" width="16.57421875" style="0" customWidth="1"/>
    <col min="20" max="21" width="16.8515625" style="0" customWidth="1"/>
    <col min="22"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834</v>
      </c>
      <c r="F5" t="s">
        <v>835</v>
      </c>
    </row>
    <row r="6" spans="2:6" ht="15">
      <c r="B6" t="s">
        <v>753</v>
      </c>
      <c r="C6" s="387">
        <v>2430523029</v>
      </c>
      <c r="D6" s="389">
        <v>0.21</v>
      </c>
      <c r="E6" s="423">
        <f>+'Meta 1'!AC22</f>
        <v>2430523029</v>
      </c>
      <c r="F6" s="424">
        <f>+C6-E6</f>
        <v>0</v>
      </c>
    </row>
    <row r="7" spans="2:6" ht="15">
      <c r="B7" t="s">
        <v>754</v>
      </c>
      <c r="C7" s="387">
        <v>6698541216</v>
      </c>
      <c r="D7" s="389">
        <v>0.58</v>
      </c>
      <c r="E7" s="423">
        <f>+'Metas 2'!AC22</f>
        <v>6698541216</v>
      </c>
      <c r="F7" s="424">
        <f>+C7-E7</f>
        <v>0</v>
      </c>
    </row>
    <row r="8" spans="2:6" ht="15">
      <c r="B8" t="s">
        <v>755</v>
      </c>
      <c r="C8" s="387">
        <v>1523808689</v>
      </c>
      <c r="D8" s="389">
        <v>0.13</v>
      </c>
      <c r="E8" s="423">
        <f>+'Meta 3'!AC22</f>
        <v>1523808689</v>
      </c>
      <c r="F8" s="424">
        <f>+C8-E8</f>
        <v>0</v>
      </c>
    </row>
    <row r="9" spans="2:6" ht="15">
      <c r="B9" t="s">
        <v>756</v>
      </c>
      <c r="C9" s="387">
        <v>937784066</v>
      </c>
      <c r="D9" s="389">
        <v>0.08</v>
      </c>
      <c r="E9" s="423">
        <f>+'Meta 4'!AC22</f>
        <v>937784066</v>
      </c>
      <c r="F9" s="424">
        <f>+C9-E9</f>
        <v>0</v>
      </c>
    </row>
    <row r="10" spans="2:5" ht="15">
      <c r="B10" t="s">
        <v>757</v>
      </c>
      <c r="C10" s="387">
        <v>11590657000</v>
      </c>
      <c r="E10" s="424">
        <f>SUM(E6:E9)</f>
        <v>11590657000</v>
      </c>
    </row>
    <row r="13" spans="4:29" s="387" customFormat="1" ht="15">
      <c r="D13" s="857" t="s">
        <v>818</v>
      </c>
      <c r="E13" s="857"/>
      <c r="F13" s="857" t="s">
        <v>819</v>
      </c>
      <c r="G13" s="857"/>
      <c r="H13" s="857" t="s">
        <v>820</v>
      </c>
      <c r="I13" s="857"/>
      <c r="J13" s="857" t="s">
        <v>821</v>
      </c>
      <c r="K13" s="857"/>
      <c r="L13" s="857" t="s">
        <v>822</v>
      </c>
      <c r="M13" s="857"/>
      <c r="N13" s="857" t="s">
        <v>823</v>
      </c>
      <c r="O13" s="857"/>
      <c r="P13" s="857" t="s">
        <v>824</v>
      </c>
      <c r="Q13" s="857"/>
      <c r="R13" s="857" t="s">
        <v>825</v>
      </c>
      <c r="S13" s="857"/>
      <c r="T13" s="857" t="s">
        <v>826</v>
      </c>
      <c r="U13" s="857"/>
      <c r="V13" s="857" t="s">
        <v>827</v>
      </c>
      <c r="W13" s="857"/>
      <c r="X13" s="857" t="s">
        <v>828</v>
      </c>
      <c r="Y13" s="857"/>
      <c r="Z13" s="857" t="s">
        <v>829</v>
      </c>
      <c r="AA13" s="857"/>
      <c r="AB13" s="857" t="s">
        <v>63</v>
      </c>
      <c r="AC13" s="857"/>
    </row>
    <row r="14" spans="2:29" s="387" customFormat="1" ht="15">
      <c r="B14" s="420"/>
      <c r="C14" s="421" t="s">
        <v>833</v>
      </c>
      <c r="D14" s="421" t="s">
        <v>379</v>
      </c>
      <c r="E14" s="422" t="s">
        <v>381</v>
      </c>
      <c r="F14" s="421" t="s">
        <v>379</v>
      </c>
      <c r="G14" s="422" t="s">
        <v>381</v>
      </c>
      <c r="H14" s="421" t="s">
        <v>379</v>
      </c>
      <c r="I14" s="422" t="s">
        <v>381</v>
      </c>
      <c r="J14" s="421" t="s">
        <v>379</v>
      </c>
      <c r="K14" s="422" t="s">
        <v>381</v>
      </c>
      <c r="L14" s="421" t="s">
        <v>379</v>
      </c>
      <c r="M14" s="422" t="s">
        <v>381</v>
      </c>
      <c r="N14" s="421" t="s">
        <v>379</v>
      </c>
      <c r="O14" s="422" t="s">
        <v>381</v>
      </c>
      <c r="P14" s="421" t="s">
        <v>379</v>
      </c>
      <c r="Q14" s="422" t="s">
        <v>381</v>
      </c>
      <c r="R14" s="421" t="s">
        <v>379</v>
      </c>
      <c r="S14" s="422" t="s">
        <v>381</v>
      </c>
      <c r="T14" s="421" t="s">
        <v>379</v>
      </c>
      <c r="U14" s="422" t="s">
        <v>381</v>
      </c>
      <c r="V14" s="421" t="s">
        <v>379</v>
      </c>
      <c r="W14" s="422" t="s">
        <v>381</v>
      </c>
      <c r="X14" s="421" t="s">
        <v>379</v>
      </c>
      <c r="Y14" s="422" t="s">
        <v>381</v>
      </c>
      <c r="Z14" s="421" t="s">
        <v>379</v>
      </c>
      <c r="AA14" s="422" t="s">
        <v>381</v>
      </c>
      <c r="AB14" s="421" t="s">
        <v>379</v>
      </c>
      <c r="AC14" s="422" t="s">
        <v>381</v>
      </c>
    </row>
    <row r="15" spans="1:33" s="387" customFormat="1" ht="15">
      <c r="A15" s="861" t="s">
        <v>832</v>
      </c>
      <c r="B15" s="420" t="s">
        <v>24</v>
      </c>
      <c r="C15" s="420">
        <f>+C6</f>
        <v>2430523029</v>
      </c>
      <c r="D15" s="420">
        <v>525838496</v>
      </c>
      <c r="E15" s="420">
        <v>0</v>
      </c>
      <c r="F15" s="420">
        <v>142212061</v>
      </c>
      <c r="G15" s="420">
        <v>12534268</v>
      </c>
      <c r="H15" s="420">
        <f>649450759-D15-F15</f>
        <v>-18599798</v>
      </c>
      <c r="I15" s="420">
        <f>59840731-E15-G15</f>
        <v>47306463</v>
      </c>
      <c r="J15" s="420">
        <f>930184092-D15-F15-H15</f>
        <v>280733333</v>
      </c>
      <c r="K15" s="420">
        <f>114813861-E15-G15-I15</f>
        <v>54973130</v>
      </c>
      <c r="L15" s="420">
        <f>1739755706-D15-F15-H15-J15</f>
        <v>809571614</v>
      </c>
      <c r="M15" s="420">
        <f>482499236-E15-G15-I15-K15</f>
        <v>367685375</v>
      </c>
      <c r="N15" s="420">
        <f>2043191375-D15-F15-H15-J15-L15</f>
        <v>303435669</v>
      </c>
      <c r="O15" s="420">
        <f>537472366-E15-G15-I15-K15-M15</f>
        <v>54973130</v>
      </c>
      <c r="P15" s="420">
        <f>2120333880-D15-F15-H15-J15-L15-N15</f>
        <v>77142505</v>
      </c>
      <c r="Q15" s="420">
        <f>1415742392-E15-G15-I15-K15-M15-O15</f>
        <v>878270026</v>
      </c>
      <c r="R15" s="420">
        <f>2107718872-D15-F15-H15-J15-L15-N15-P15</f>
        <v>-12615008</v>
      </c>
      <c r="S15" s="420">
        <f>1539571527-E15-G15-I15-K15-M15-O15-Q15</f>
        <v>123829135</v>
      </c>
      <c r="T15" s="420">
        <f>2167191671-D15-F15-H15-J15-L15-N15-P15-R15</f>
        <v>59472799</v>
      </c>
      <c r="U15" s="420">
        <f>1673380431-E15-G15-I15-K15-M15-O15-Q15-S15</f>
        <v>133808904</v>
      </c>
      <c r="V15" s="420"/>
      <c r="W15" s="420"/>
      <c r="X15" s="420"/>
      <c r="Y15" s="420"/>
      <c r="Z15" s="420"/>
      <c r="AA15" s="420"/>
      <c r="AB15" s="420">
        <f aca="true" t="shared" si="0" ref="AB15:AC18">+D15+F15+H15+J15+L15+N15+P15+R15+T15</f>
        <v>2167191671</v>
      </c>
      <c r="AC15" s="420">
        <f t="shared" si="0"/>
        <v>1673380431</v>
      </c>
      <c r="AD15" s="387">
        <v>1673380431</v>
      </c>
      <c r="AE15" s="438">
        <f>+AC15/AB15</f>
        <v>0.7721423321213936</v>
      </c>
      <c r="AG15" s="387">
        <v>649450759</v>
      </c>
    </row>
    <row r="16" spans="1:33" s="387" customFormat="1" ht="15">
      <c r="A16" s="861"/>
      <c r="B16" s="420" t="s">
        <v>25</v>
      </c>
      <c r="C16" s="420">
        <f>+C7</f>
        <v>6698541216</v>
      </c>
      <c r="D16" s="420">
        <v>6153982761</v>
      </c>
      <c r="E16" s="420">
        <v>7763070</v>
      </c>
      <c r="F16" s="420">
        <v>187249867</v>
      </c>
      <c r="G16" s="420">
        <v>354001805</v>
      </c>
      <c r="H16" s="420">
        <f>6353623948-D16-F16</f>
        <v>12391320</v>
      </c>
      <c r="I16" s="420">
        <f>887313432-E16-G16</f>
        <v>525548557</v>
      </c>
      <c r="J16" s="420">
        <f>6430070848-D16-F16-H16</f>
        <v>76446900</v>
      </c>
      <c r="K16" s="420">
        <f>1434537815-E16-G16-I16</f>
        <v>547224383</v>
      </c>
      <c r="L16" s="420">
        <f>6410965201-D16-F16-H16-J16</f>
        <v>-19105647</v>
      </c>
      <c r="M16" s="420">
        <f>1992466214-E16-G16-I16-K16</f>
        <v>557928399</v>
      </c>
      <c r="N16" s="420">
        <f>6479279201-D16-F16-H16-J16-L16</f>
        <v>68314000</v>
      </c>
      <c r="O16" s="420">
        <f>2529061280-E16-G16-I16-K16-M16</f>
        <v>536595066</v>
      </c>
      <c r="P16" s="420">
        <f>6473884534-D16-F16-H16-J16-L16-N16</f>
        <v>-5394667</v>
      </c>
      <c r="Q16" s="420">
        <f>3088833679-E16-G16-I16-K16-M16-O16</f>
        <v>559772399</v>
      </c>
      <c r="R16" s="420">
        <f>6525337867-D16-F16-H16-J16-L16-N16-P16</f>
        <v>51453333</v>
      </c>
      <c r="S16" s="420">
        <f>3657738745-E16-G16-I16-K16-M16-O16-Q16</f>
        <v>568905066</v>
      </c>
      <c r="T16" s="420">
        <f>6581151159-D16-F16-H16-J16-L16-N16-P16-R16</f>
        <v>55813292</v>
      </c>
      <c r="U16" s="420">
        <f>4207741811-E16-G16-I16-K16-M16-O16-Q16-S16</f>
        <v>550003066</v>
      </c>
      <c r="V16" s="420"/>
      <c r="W16" s="420"/>
      <c r="X16" s="420"/>
      <c r="Y16" s="420"/>
      <c r="Z16" s="420"/>
      <c r="AA16" s="420"/>
      <c r="AB16" s="420">
        <f t="shared" si="0"/>
        <v>6581151159</v>
      </c>
      <c r="AC16" s="420">
        <f t="shared" si="0"/>
        <v>4207741811</v>
      </c>
      <c r="AD16" s="387">
        <v>4207741811</v>
      </c>
      <c r="AE16" s="438">
        <f>+AC16/AB16</f>
        <v>0.6393625840436344</v>
      </c>
      <c r="AG16" s="423">
        <v>6353623948</v>
      </c>
    </row>
    <row r="17" spans="1:33" s="387" customFormat="1" ht="15">
      <c r="A17" s="861"/>
      <c r="B17" s="420" t="s">
        <v>26</v>
      </c>
      <c r="C17" s="420">
        <f>+C8</f>
        <v>1523808689</v>
      </c>
      <c r="D17" s="420">
        <v>1112475156</v>
      </c>
      <c r="E17" s="420">
        <v>0</v>
      </c>
      <c r="F17" s="420">
        <v>308525999</v>
      </c>
      <c r="G17" s="420">
        <v>45917998</v>
      </c>
      <c r="H17" s="420">
        <f>1500080199-D17-F17</f>
        <v>79079044</v>
      </c>
      <c r="I17" s="420">
        <f>155918395-E17-G17</f>
        <v>110000397</v>
      </c>
      <c r="J17" s="420">
        <f>1465602433-D17-F17-H17</f>
        <v>-34477766</v>
      </c>
      <c r="K17" s="420">
        <f>280178392-E17-G17-I17</f>
        <v>124259997</v>
      </c>
      <c r="L17" s="420">
        <f>1445311434-D17-F17-H17-J17</f>
        <v>-20290999</v>
      </c>
      <c r="M17" s="420">
        <f>410481056-E17-G17-I17-K17</f>
        <v>130302664</v>
      </c>
      <c r="N17" s="420">
        <f>1472091434-D17-F17-H17-J17-L17</f>
        <v>26780000</v>
      </c>
      <c r="O17" s="420">
        <f>540783720-E17-G17-I17-K17-M17</f>
        <v>130302664</v>
      </c>
      <c r="P17" s="420">
        <f>1472091434-D17-F17-H17-J17-L17-N17</f>
        <v>0</v>
      </c>
      <c r="Q17" s="420">
        <f>677781384-E17-G17-I17-K17-M17-O17</f>
        <v>136997664</v>
      </c>
      <c r="R17" s="420">
        <f>1472091434-D17-F17-H17-J17-L17-N17-P17</f>
        <v>0</v>
      </c>
      <c r="S17" s="420">
        <f>814779048-E17-G17-I17-K17-M17-O17-Q17</f>
        <v>136997664</v>
      </c>
      <c r="T17" s="420">
        <f>1472091434-D17-F17-H17-J17-L17-N17-P17-R17</f>
        <v>0</v>
      </c>
      <c r="U17" s="420">
        <f>951776712-E17-G17-I17-K17-M17-O17-Q17-S17</f>
        <v>136997664</v>
      </c>
      <c r="V17" s="420"/>
      <c r="W17" s="420"/>
      <c r="X17" s="420"/>
      <c r="Y17" s="420"/>
      <c r="Z17" s="420"/>
      <c r="AA17" s="420"/>
      <c r="AB17" s="420">
        <f t="shared" si="0"/>
        <v>1472091434</v>
      </c>
      <c r="AC17" s="420">
        <f t="shared" si="0"/>
        <v>951776712</v>
      </c>
      <c r="AD17" s="387">
        <v>951776712</v>
      </c>
      <c r="AE17" s="438">
        <f>+AC17/AB17</f>
        <v>0.646547279616872</v>
      </c>
      <c r="AG17" s="423">
        <v>1500080199</v>
      </c>
    </row>
    <row r="18" spans="1:33" s="387" customFormat="1" ht="15">
      <c r="A18" s="861"/>
      <c r="B18" s="420" t="s">
        <v>27</v>
      </c>
      <c r="C18" s="420">
        <f>+C9</f>
        <v>937784066</v>
      </c>
      <c r="D18" s="420">
        <v>582044581</v>
      </c>
      <c r="E18" s="420">
        <v>0</v>
      </c>
      <c r="F18" s="420">
        <v>67850000</v>
      </c>
      <c r="G18" s="420">
        <v>24978180</v>
      </c>
      <c r="H18" s="420">
        <f>715793783-D18-F18</f>
        <v>65899202</v>
      </c>
      <c r="I18" s="420">
        <f>85150492-E18-G18</f>
        <v>60172312</v>
      </c>
      <c r="J18" s="420">
        <f>711713783-D18-F18-H18</f>
        <v>-4080000</v>
      </c>
      <c r="K18" s="420">
        <f>150902804-E18-G18-I18</f>
        <v>65752312</v>
      </c>
      <c r="L18" s="420">
        <f>696027116-D18-F18-H18-J18</f>
        <v>-15686667</v>
      </c>
      <c r="M18" s="420">
        <f>221535116-E18-G18-I18-K18</f>
        <v>70632312</v>
      </c>
      <c r="N18" s="420">
        <f>769387116-D18-F18-H18-J18-L18</f>
        <v>73360000</v>
      </c>
      <c r="O18" s="420">
        <f>289324116-E18-G18-I18-K18-M18</f>
        <v>67789000</v>
      </c>
      <c r="P18" s="420">
        <f>769387116-D18-F18-H18-J18-L18-N18</f>
        <v>0</v>
      </c>
      <c r="Q18" s="420">
        <f>357113116-E18-G18-I18-K18-M18-O18</f>
        <v>67789000</v>
      </c>
      <c r="R18" s="420">
        <f>769387116-D18-F18-H18-J18-L18-N18-P18</f>
        <v>0</v>
      </c>
      <c r="S18" s="420">
        <f>418413116-E18-G18-I18-K18-M18-O18-Q18</f>
        <v>61300000</v>
      </c>
      <c r="T18" s="420">
        <f>796319899-D18-F18-H18-J18-L18-N18-P18-R18</f>
        <v>26932783</v>
      </c>
      <c r="U18" s="420">
        <f>492691116-E18-G18-I18-K18-M18-O18-Q18-S18</f>
        <v>74278000</v>
      </c>
      <c r="V18" s="420"/>
      <c r="W18" s="420"/>
      <c r="X18" s="420"/>
      <c r="Y18" s="420"/>
      <c r="Z18" s="420"/>
      <c r="AA18" s="420"/>
      <c r="AB18" s="420">
        <f t="shared" si="0"/>
        <v>796319899</v>
      </c>
      <c r="AC18" s="420">
        <f t="shared" si="0"/>
        <v>492691116</v>
      </c>
      <c r="AD18" s="387">
        <v>492691116</v>
      </c>
      <c r="AE18" s="438">
        <f>+AC18/AB18</f>
        <v>0.6187100392928897</v>
      </c>
      <c r="AG18" s="423">
        <v>715793783</v>
      </c>
    </row>
    <row r="19" spans="1:33" s="387" customFormat="1" ht="15">
      <c r="A19" s="861"/>
      <c r="B19" s="420"/>
      <c r="C19" s="421">
        <f>SUM(C15:C18)</f>
        <v>11590657000</v>
      </c>
      <c r="D19" s="421">
        <f>SUM(D15:D18)</f>
        <v>8374340994</v>
      </c>
      <c r="E19" s="421">
        <f>SUM(E15:E18)</f>
        <v>7763070</v>
      </c>
      <c r="F19" s="421">
        <f>SUM(F15:F18)</f>
        <v>705837927</v>
      </c>
      <c r="G19" s="421">
        <f>SUM(G15:G18)</f>
        <v>437432251</v>
      </c>
      <c r="H19" s="421">
        <f aca="true" t="shared" si="1" ref="H19:AA19">SUM(H15:H18)</f>
        <v>138769768</v>
      </c>
      <c r="I19" s="421">
        <f t="shared" si="1"/>
        <v>743027729</v>
      </c>
      <c r="J19" s="421">
        <f>SUM(J15:J18)</f>
        <v>318622467</v>
      </c>
      <c r="K19" s="421">
        <f t="shared" si="1"/>
        <v>792209822</v>
      </c>
      <c r="L19" s="421">
        <f t="shared" si="1"/>
        <v>754488301</v>
      </c>
      <c r="M19" s="421">
        <f t="shared" si="1"/>
        <v>1126548750</v>
      </c>
      <c r="N19" s="421">
        <f t="shared" si="1"/>
        <v>471889669</v>
      </c>
      <c r="O19" s="421">
        <f t="shared" si="1"/>
        <v>789659860</v>
      </c>
      <c r="P19" s="421">
        <f t="shared" si="1"/>
        <v>71747838</v>
      </c>
      <c r="Q19" s="421">
        <f t="shared" si="1"/>
        <v>1642829089</v>
      </c>
      <c r="R19" s="421">
        <f t="shared" si="1"/>
        <v>38838325</v>
      </c>
      <c r="S19" s="421">
        <f t="shared" si="1"/>
        <v>891031865</v>
      </c>
      <c r="T19" s="421">
        <f t="shared" si="1"/>
        <v>142218874</v>
      </c>
      <c r="U19" s="421">
        <f t="shared" si="1"/>
        <v>895087634</v>
      </c>
      <c r="V19" s="421">
        <f t="shared" si="1"/>
        <v>0</v>
      </c>
      <c r="W19" s="421">
        <f t="shared" si="1"/>
        <v>0</v>
      </c>
      <c r="X19" s="421">
        <f t="shared" si="1"/>
        <v>0</v>
      </c>
      <c r="Y19" s="421">
        <f t="shared" si="1"/>
        <v>0</v>
      </c>
      <c r="Z19" s="421">
        <f t="shared" si="1"/>
        <v>0</v>
      </c>
      <c r="AA19" s="421">
        <f t="shared" si="1"/>
        <v>0</v>
      </c>
      <c r="AB19" s="421">
        <f>SUM(AB15:AB18)</f>
        <v>11016754163</v>
      </c>
      <c r="AC19" s="421">
        <f>SUM(AC15:AC18)</f>
        <v>7325590070</v>
      </c>
      <c r="AG19" s="423"/>
    </row>
    <row r="20" spans="28:30" ht="15">
      <c r="AB20" s="428">
        <v>11016754163</v>
      </c>
      <c r="AC20" s="428">
        <v>7325590070</v>
      </c>
      <c r="AD20" s="429">
        <f>+AC20/AB20</f>
        <v>0.6649499445674433</v>
      </c>
    </row>
    <row r="21" spans="28:29" ht="15">
      <c r="AB21" s="424">
        <f>+AB19-AB20</f>
        <v>0</v>
      </c>
      <c r="AC21" s="424">
        <f>+AC19-AC20</f>
        <v>0</v>
      </c>
    </row>
    <row r="22" spans="16:30" ht="15">
      <c r="P22" s="424">
        <f>+P15+R15+T15</f>
        <v>124000296</v>
      </c>
      <c r="AD22" s="439" t="s">
        <v>838</v>
      </c>
    </row>
    <row r="23" ht="15">
      <c r="P23" s="424">
        <f>+P16+R16+T16</f>
        <v>101871958</v>
      </c>
    </row>
    <row r="24" ht="15">
      <c r="P24" s="424">
        <f>+P17+R17+T17</f>
        <v>0</v>
      </c>
    </row>
    <row r="25" ht="15">
      <c r="P25" s="424">
        <f>+P18+R18+T18</f>
        <v>26932783</v>
      </c>
    </row>
    <row r="26" spans="3:6" ht="15">
      <c r="C26">
        <v>2020</v>
      </c>
      <c r="D26">
        <v>2021</v>
      </c>
      <c r="E26">
        <v>2022</v>
      </c>
      <c r="F26">
        <v>2023</v>
      </c>
    </row>
    <row r="27" spans="2:28" ht="15">
      <c r="B27" s="430" t="s">
        <v>834</v>
      </c>
      <c r="C27" s="431">
        <v>0.1</v>
      </c>
      <c r="D27" s="431">
        <v>0.35</v>
      </c>
      <c r="E27" s="431">
        <v>0.6</v>
      </c>
      <c r="F27" s="431">
        <v>0.85</v>
      </c>
      <c r="AB27" s="424"/>
    </row>
    <row r="28" spans="3:28" ht="15">
      <c r="C28" s="432">
        <v>0.1</v>
      </c>
      <c r="D28" s="432">
        <v>0.35</v>
      </c>
      <c r="E28" s="432">
        <v>0.6</v>
      </c>
      <c r="F28" s="432">
        <v>0.85</v>
      </c>
      <c r="AB28" s="424"/>
    </row>
    <row r="29" spans="2:28" ht="15">
      <c r="B29" s="433" t="s">
        <v>836</v>
      </c>
      <c r="C29" s="434">
        <f>+C28</f>
        <v>0.1</v>
      </c>
      <c r="D29" s="435">
        <f>+D28-C28</f>
        <v>0.24999999999999997</v>
      </c>
      <c r="E29" s="435">
        <f>+E28-D28</f>
        <v>0.25</v>
      </c>
      <c r="F29" s="435">
        <f>+F28-E28</f>
        <v>0.25</v>
      </c>
      <c r="AA29" t="s">
        <v>889</v>
      </c>
      <c r="AB29" s="424" t="s">
        <v>888</v>
      </c>
    </row>
    <row r="30" spans="2:28" ht="15">
      <c r="B30" s="430"/>
      <c r="C30" s="430"/>
      <c r="D30" s="430"/>
      <c r="F30" s="436">
        <f>+'Meta 4'!P35</f>
        <v>0.7899999999999999</v>
      </c>
      <c r="G30" t="s">
        <v>837</v>
      </c>
      <c r="AA30" t="s">
        <v>891</v>
      </c>
      <c r="AB30" s="424" t="s">
        <v>890</v>
      </c>
    </row>
    <row r="31" spans="2:28" ht="15">
      <c r="B31" s="430"/>
      <c r="C31" s="430"/>
      <c r="D31" s="430"/>
      <c r="F31" s="437">
        <f>+F30-E27</f>
        <v>0.18999999999999995</v>
      </c>
      <c r="G31" t="s">
        <v>836</v>
      </c>
      <c r="AA31" t="s">
        <v>894</v>
      </c>
      <c r="AB31" t="s">
        <v>895</v>
      </c>
    </row>
    <row r="32" spans="27:28" ht="15">
      <c r="AA32" t="s">
        <v>893</v>
      </c>
      <c r="AB32" t="s">
        <v>892</v>
      </c>
    </row>
  </sheetData>
  <sheetProtection/>
  <mergeCells count="14">
    <mergeCell ref="X13:Y13"/>
    <mergeCell ref="Z13:AA13"/>
    <mergeCell ref="D13:E13"/>
    <mergeCell ref="F13:G13"/>
    <mergeCell ref="H13:I13"/>
    <mergeCell ref="J13:K13"/>
    <mergeCell ref="L13:M13"/>
    <mergeCell ref="N13:O13"/>
    <mergeCell ref="AB13:AC13"/>
    <mergeCell ref="A15:A19"/>
    <mergeCell ref="P13:Q13"/>
    <mergeCell ref="R13:S13"/>
    <mergeCell ref="T13:U13"/>
    <mergeCell ref="V13:W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O43"/>
  <sheetViews>
    <sheetView showGridLines="0" view="pageBreakPreview" zoomScale="55" zoomScaleNormal="70" zoomScaleSheetLayoutView="55" workbookViewId="0" topLeftCell="J19">
      <selection activeCell="Q39" sqref="Q39:AD39"/>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19" width="18.140625" style="246" customWidth="1"/>
    <col min="20" max="22" width="21.7109375" style="246" customWidth="1"/>
    <col min="23"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994"/>
      <c r="B1" s="997" t="s">
        <v>16</v>
      </c>
      <c r="C1" s="998"/>
      <c r="D1" s="998"/>
      <c r="E1" s="998"/>
      <c r="F1" s="998"/>
      <c r="G1" s="998"/>
      <c r="H1" s="998"/>
      <c r="I1" s="998"/>
      <c r="J1" s="998"/>
      <c r="K1" s="998"/>
      <c r="L1" s="998"/>
      <c r="M1" s="998"/>
      <c r="N1" s="998"/>
      <c r="O1" s="998"/>
      <c r="P1" s="998"/>
      <c r="Q1" s="998"/>
      <c r="R1" s="998"/>
      <c r="S1" s="998"/>
      <c r="T1" s="998"/>
      <c r="U1" s="998"/>
      <c r="V1" s="998"/>
      <c r="W1" s="998"/>
      <c r="X1" s="998"/>
      <c r="Y1" s="998"/>
      <c r="Z1" s="998"/>
      <c r="AA1" s="999"/>
      <c r="AB1" s="1000" t="s">
        <v>423</v>
      </c>
      <c r="AC1" s="1001"/>
      <c r="AD1" s="1002"/>
    </row>
    <row r="2" spans="1:30" ht="30.75" customHeight="1" thickBot="1">
      <c r="A2" s="995"/>
      <c r="B2" s="997" t="s">
        <v>17</v>
      </c>
      <c r="C2" s="998"/>
      <c r="D2" s="998"/>
      <c r="E2" s="998"/>
      <c r="F2" s="998"/>
      <c r="G2" s="998"/>
      <c r="H2" s="998"/>
      <c r="I2" s="998"/>
      <c r="J2" s="998"/>
      <c r="K2" s="998"/>
      <c r="L2" s="998"/>
      <c r="M2" s="998"/>
      <c r="N2" s="998"/>
      <c r="O2" s="998"/>
      <c r="P2" s="998"/>
      <c r="Q2" s="998"/>
      <c r="R2" s="998"/>
      <c r="S2" s="998"/>
      <c r="T2" s="998"/>
      <c r="U2" s="998"/>
      <c r="V2" s="998"/>
      <c r="W2" s="998"/>
      <c r="X2" s="998"/>
      <c r="Y2" s="998"/>
      <c r="Z2" s="998"/>
      <c r="AA2" s="999"/>
      <c r="AB2" s="968" t="s">
        <v>418</v>
      </c>
      <c r="AC2" s="969"/>
      <c r="AD2" s="970"/>
    </row>
    <row r="3" spans="1:30" ht="24" customHeight="1">
      <c r="A3" s="995"/>
      <c r="B3" s="920" t="s">
        <v>295</v>
      </c>
      <c r="C3" s="921"/>
      <c r="D3" s="921"/>
      <c r="E3" s="921"/>
      <c r="F3" s="921"/>
      <c r="G3" s="921"/>
      <c r="H3" s="921"/>
      <c r="I3" s="921"/>
      <c r="J3" s="921"/>
      <c r="K3" s="921"/>
      <c r="L3" s="921"/>
      <c r="M3" s="921"/>
      <c r="N3" s="921"/>
      <c r="O3" s="921"/>
      <c r="P3" s="921"/>
      <c r="Q3" s="921"/>
      <c r="R3" s="921"/>
      <c r="S3" s="921"/>
      <c r="T3" s="921"/>
      <c r="U3" s="921"/>
      <c r="V3" s="921"/>
      <c r="W3" s="921"/>
      <c r="X3" s="921"/>
      <c r="Y3" s="921"/>
      <c r="Z3" s="921"/>
      <c r="AA3" s="922"/>
      <c r="AB3" s="968" t="s">
        <v>424</v>
      </c>
      <c r="AC3" s="969"/>
      <c r="AD3" s="970"/>
    </row>
    <row r="4" spans="1:30" ht="21.75" customHeight="1" thickBot="1">
      <c r="A4" s="996"/>
      <c r="B4" s="965"/>
      <c r="C4" s="966"/>
      <c r="D4" s="966"/>
      <c r="E4" s="966"/>
      <c r="F4" s="966"/>
      <c r="G4" s="966"/>
      <c r="H4" s="966"/>
      <c r="I4" s="966"/>
      <c r="J4" s="966"/>
      <c r="K4" s="966"/>
      <c r="L4" s="966"/>
      <c r="M4" s="966"/>
      <c r="N4" s="966"/>
      <c r="O4" s="966"/>
      <c r="P4" s="966"/>
      <c r="Q4" s="966"/>
      <c r="R4" s="966"/>
      <c r="S4" s="966"/>
      <c r="T4" s="966"/>
      <c r="U4" s="966"/>
      <c r="V4" s="966"/>
      <c r="W4" s="966"/>
      <c r="X4" s="966"/>
      <c r="Y4" s="966"/>
      <c r="Z4" s="966"/>
      <c r="AA4" s="967"/>
      <c r="AB4" s="605" t="s">
        <v>776</v>
      </c>
      <c r="AC4" s="606"/>
      <c r="AD4" s="607"/>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08" t="s">
        <v>293</v>
      </c>
      <c r="B7" s="609"/>
      <c r="C7" s="958" t="s">
        <v>47</v>
      </c>
      <c r="D7" s="608" t="s">
        <v>71</v>
      </c>
      <c r="E7" s="614"/>
      <c r="F7" s="614"/>
      <c r="G7" s="614"/>
      <c r="H7" s="609"/>
      <c r="I7" s="986">
        <v>45205</v>
      </c>
      <c r="J7" s="987"/>
      <c r="K7" s="608" t="s">
        <v>67</v>
      </c>
      <c r="L7" s="609"/>
      <c r="M7" s="992" t="s">
        <v>70</v>
      </c>
      <c r="N7" s="993"/>
      <c r="O7" s="971"/>
      <c r="P7" s="972"/>
      <c r="Q7" s="252"/>
      <c r="R7" s="252"/>
      <c r="S7" s="252"/>
      <c r="T7" s="252"/>
      <c r="U7" s="252"/>
      <c r="V7" s="252"/>
      <c r="W7" s="252"/>
      <c r="X7" s="252"/>
      <c r="Y7" s="252"/>
      <c r="Z7" s="253"/>
      <c r="AA7" s="252"/>
      <c r="AB7" s="252"/>
      <c r="AC7" s="258"/>
      <c r="AD7" s="259"/>
    </row>
    <row r="8" spans="1:30" ht="15" customHeight="1">
      <c r="A8" s="610"/>
      <c r="B8" s="611"/>
      <c r="C8" s="959"/>
      <c r="D8" s="610"/>
      <c r="E8" s="961"/>
      <c r="F8" s="961"/>
      <c r="G8" s="961"/>
      <c r="H8" s="611"/>
      <c r="I8" s="988"/>
      <c r="J8" s="989"/>
      <c r="K8" s="610"/>
      <c r="L8" s="611"/>
      <c r="M8" s="973" t="s">
        <v>68</v>
      </c>
      <c r="N8" s="974"/>
      <c r="O8" s="975"/>
      <c r="P8" s="976"/>
      <c r="Q8" s="252"/>
      <c r="R8" s="252"/>
      <c r="S8" s="252"/>
      <c r="T8" s="252"/>
      <c r="U8" s="252"/>
      <c r="V8" s="252"/>
      <c r="W8" s="252"/>
      <c r="X8" s="252"/>
      <c r="Y8" s="252"/>
      <c r="Z8" s="253"/>
      <c r="AA8" s="252"/>
      <c r="AB8" s="252"/>
      <c r="AC8" s="258"/>
      <c r="AD8" s="259"/>
    </row>
    <row r="9" spans="1:30" ht="15.75" customHeight="1" thickBot="1">
      <c r="A9" s="612"/>
      <c r="B9" s="613"/>
      <c r="C9" s="960"/>
      <c r="D9" s="612"/>
      <c r="E9" s="616"/>
      <c r="F9" s="616"/>
      <c r="G9" s="616"/>
      <c r="H9" s="613"/>
      <c r="I9" s="990"/>
      <c r="J9" s="991"/>
      <c r="K9" s="612"/>
      <c r="L9" s="613"/>
      <c r="M9" s="977" t="s">
        <v>69</v>
      </c>
      <c r="N9" s="978"/>
      <c r="O9" s="979" t="s">
        <v>425</v>
      </c>
      <c r="P9" s="980"/>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08" t="s">
        <v>0</v>
      </c>
      <c r="B11" s="609"/>
      <c r="C11" s="949" t="s">
        <v>497</v>
      </c>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1"/>
    </row>
    <row r="12" spans="1:30" ht="15" customHeight="1">
      <c r="A12" s="610"/>
      <c r="B12" s="611"/>
      <c r="C12" s="952"/>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4"/>
    </row>
    <row r="13" spans="1:30" ht="15" customHeight="1" thickBot="1">
      <c r="A13" s="612"/>
      <c r="B13" s="613"/>
      <c r="C13" s="955"/>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7"/>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5" t="s">
        <v>77</v>
      </c>
      <c r="B15" s="646"/>
      <c r="C15" s="940" t="s">
        <v>426</v>
      </c>
      <c r="D15" s="941"/>
      <c r="E15" s="941"/>
      <c r="F15" s="941"/>
      <c r="G15" s="941"/>
      <c r="H15" s="941"/>
      <c r="I15" s="941"/>
      <c r="J15" s="941"/>
      <c r="K15" s="942"/>
      <c r="L15" s="584" t="s">
        <v>73</v>
      </c>
      <c r="M15" s="585"/>
      <c r="N15" s="585"/>
      <c r="O15" s="585"/>
      <c r="P15" s="585"/>
      <c r="Q15" s="586"/>
      <c r="R15" s="962" t="s">
        <v>622</v>
      </c>
      <c r="S15" s="963"/>
      <c r="T15" s="963"/>
      <c r="U15" s="963"/>
      <c r="V15" s="963"/>
      <c r="W15" s="963"/>
      <c r="X15" s="964"/>
      <c r="Y15" s="584" t="s">
        <v>72</v>
      </c>
      <c r="Z15" s="586"/>
      <c r="AA15" s="940" t="s">
        <v>623</v>
      </c>
      <c r="AB15" s="941"/>
      <c r="AC15" s="941"/>
      <c r="AD15" s="942"/>
    </row>
    <row r="16" spans="1:30" ht="9" customHeight="1" thickBot="1">
      <c r="A16" s="257"/>
      <c r="B16" s="252"/>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271"/>
      <c r="AD16" s="272"/>
    </row>
    <row r="17" spans="1:30" s="273" customFormat="1" ht="37.5" customHeight="1" thickBot="1">
      <c r="A17" s="645" t="s">
        <v>79</v>
      </c>
      <c r="B17" s="646"/>
      <c r="C17" s="944" t="s">
        <v>624</v>
      </c>
      <c r="D17" s="945"/>
      <c r="E17" s="945"/>
      <c r="F17" s="945"/>
      <c r="G17" s="945"/>
      <c r="H17" s="945"/>
      <c r="I17" s="945"/>
      <c r="J17" s="945"/>
      <c r="K17" s="945"/>
      <c r="L17" s="945"/>
      <c r="M17" s="945"/>
      <c r="N17" s="945"/>
      <c r="O17" s="945"/>
      <c r="P17" s="945"/>
      <c r="Q17" s="946"/>
      <c r="R17" s="584" t="s">
        <v>374</v>
      </c>
      <c r="S17" s="585"/>
      <c r="T17" s="585"/>
      <c r="U17" s="585"/>
      <c r="V17" s="586"/>
      <c r="W17" s="663">
        <v>0.16</v>
      </c>
      <c r="X17" s="664"/>
      <c r="Y17" s="585" t="s">
        <v>15</v>
      </c>
      <c r="Z17" s="585"/>
      <c r="AA17" s="585"/>
      <c r="AB17" s="586"/>
      <c r="AC17" s="947">
        <f>+VIGENCIA!D6</f>
        <v>0.21</v>
      </c>
      <c r="AD17" s="94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84" t="s">
        <v>1</v>
      </c>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6"/>
      <c r="AE19" s="275"/>
      <c r="AF19" s="275"/>
    </row>
    <row r="20" spans="1:32" ht="31.5" customHeight="1" thickBot="1">
      <c r="A20" s="276"/>
      <c r="B20" s="258"/>
      <c r="C20" s="745" t="s">
        <v>376</v>
      </c>
      <c r="D20" s="746"/>
      <c r="E20" s="746"/>
      <c r="F20" s="746"/>
      <c r="G20" s="746"/>
      <c r="H20" s="746"/>
      <c r="I20" s="746"/>
      <c r="J20" s="746"/>
      <c r="K20" s="746"/>
      <c r="L20" s="746"/>
      <c r="M20" s="746"/>
      <c r="N20" s="746"/>
      <c r="O20" s="746"/>
      <c r="P20" s="747"/>
      <c r="Q20" s="742" t="s">
        <v>377</v>
      </c>
      <c r="R20" s="938"/>
      <c r="S20" s="938"/>
      <c r="T20" s="938"/>
      <c r="U20" s="938"/>
      <c r="V20" s="938"/>
      <c r="W20" s="938"/>
      <c r="X20" s="938"/>
      <c r="Y20" s="938"/>
      <c r="Z20" s="938"/>
      <c r="AA20" s="938"/>
      <c r="AB20" s="938"/>
      <c r="AC20" s="938"/>
      <c r="AD20" s="74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39" t="s">
        <v>378</v>
      </c>
      <c r="B22" s="878"/>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923" t="s">
        <v>379</v>
      </c>
      <c r="B23" s="882"/>
      <c r="C23" s="192"/>
      <c r="D23" s="191"/>
      <c r="E23" s="191"/>
      <c r="F23" s="191"/>
      <c r="G23" s="191"/>
      <c r="H23" s="191"/>
      <c r="I23" s="191"/>
      <c r="J23" s="191"/>
      <c r="K23" s="191">
        <f>+RESERVA!T13</f>
        <v>0</v>
      </c>
      <c r="L23" s="191"/>
      <c r="M23" s="191"/>
      <c r="N23" s="191"/>
      <c r="O23" s="191"/>
      <c r="P23" s="211"/>
      <c r="Q23" s="192">
        <f>+VIGENCIA!D15</f>
        <v>525838496</v>
      </c>
      <c r="R23" s="191">
        <f>+VIGENCIA!F15</f>
        <v>142212061</v>
      </c>
      <c r="S23" s="191">
        <f>+VIGENCIA!H15</f>
        <v>-18599798</v>
      </c>
      <c r="T23" s="191">
        <f>+VIGENCIA!J15</f>
        <v>280733333</v>
      </c>
      <c r="U23" s="191">
        <f>+VIGENCIA!L15</f>
        <v>809571614</v>
      </c>
      <c r="V23" s="191">
        <f>+VIGENCIA!N15</f>
        <v>303435669</v>
      </c>
      <c r="W23" s="191">
        <f>+VIGENCIA!P15</f>
        <v>77142505</v>
      </c>
      <c r="X23" s="191">
        <f>+VIGENCIA!R15</f>
        <v>-12615008</v>
      </c>
      <c r="Y23" s="191">
        <f>+VIGENCIA!T15</f>
        <v>59472799</v>
      </c>
      <c r="Z23" s="191"/>
      <c r="AA23" s="191"/>
      <c r="AB23" s="191"/>
      <c r="AC23" s="191">
        <f>SUM(Q23:AB23)</f>
        <v>2167191671</v>
      </c>
      <c r="AD23" s="448">
        <f>+AC23/AC22</f>
        <v>0.8916565056746887</v>
      </c>
      <c r="AE23" s="4"/>
      <c r="AF23" s="4"/>
    </row>
    <row r="24" spans="1:32" ht="31.5" customHeight="1">
      <c r="A24" s="923" t="s">
        <v>380</v>
      </c>
      <c r="B24" s="882"/>
      <c r="C24" s="404">
        <v>10197469</v>
      </c>
      <c r="D24" s="344">
        <v>10197469</v>
      </c>
      <c r="E24" s="344">
        <v>10197466</v>
      </c>
      <c r="F24" s="344">
        <f>3380352+19782203</f>
        <v>23162555</v>
      </c>
      <c r="G24" s="191">
        <f>+-RESERVA!L13</f>
        <v>-9782202</v>
      </c>
      <c r="H24" s="191">
        <v>25133014</v>
      </c>
      <c r="I24" s="191"/>
      <c r="J24" s="191">
        <f>-RESERVA!R13</f>
        <v>-1</v>
      </c>
      <c r="K24" s="191"/>
      <c r="L24" s="191"/>
      <c r="M24" s="191"/>
      <c r="N24" s="191"/>
      <c r="O24" s="191">
        <f>SUM(C24:N24)</f>
        <v>69105770</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48"/>
      <c r="AE24" s="4"/>
      <c r="AF24" s="4"/>
    </row>
    <row r="25" spans="1:32" ht="31.5" customHeight="1" thickBot="1">
      <c r="A25" s="927" t="s">
        <v>381</v>
      </c>
      <c r="B25" s="928"/>
      <c r="C25" s="193">
        <f>+RESERVA!E13</f>
        <v>10197469</v>
      </c>
      <c r="D25" s="194">
        <f>+RESERVA!G13</f>
        <v>10197468</v>
      </c>
      <c r="E25" s="194">
        <f>+RESERVA!I13</f>
        <v>10197468</v>
      </c>
      <c r="F25" s="194"/>
      <c r="G25" s="194">
        <f>+RESERVA!M13</f>
        <v>5893653</v>
      </c>
      <c r="H25" s="194">
        <f>+RESERVA!O13</f>
        <v>0</v>
      </c>
      <c r="I25" s="194">
        <f>+RESERVA!Q13</f>
        <v>4188836</v>
      </c>
      <c r="J25" s="194">
        <f>+RESERVA!S13</f>
        <v>0</v>
      </c>
      <c r="K25" s="194">
        <f>+RESERVA!U13</f>
        <v>0</v>
      </c>
      <c r="L25" s="194"/>
      <c r="M25" s="194"/>
      <c r="N25" s="194"/>
      <c r="O25" s="194">
        <f>SUM(C25:N25)</f>
        <v>40674894</v>
      </c>
      <c r="P25" s="447">
        <f>+O25/O24</f>
        <v>0.588588970211894</v>
      </c>
      <c r="Q25" s="193">
        <f>+VIGENCIA!E15</f>
        <v>0</v>
      </c>
      <c r="R25" s="194">
        <f>+VIGENCIA!G15</f>
        <v>12534268</v>
      </c>
      <c r="S25" s="194">
        <f>+VIGENCIA!I15</f>
        <v>47306463</v>
      </c>
      <c r="T25" s="194">
        <f>+VIGENCIA!K15</f>
        <v>54973130</v>
      </c>
      <c r="U25" s="194">
        <f>+VIGENCIA!M15</f>
        <v>367685375</v>
      </c>
      <c r="V25" s="194">
        <f>+VIGENCIA!O15</f>
        <v>54973130</v>
      </c>
      <c r="W25" s="194">
        <f>+VIGENCIA!Q15</f>
        <v>878270026</v>
      </c>
      <c r="X25" s="194">
        <f>+VIGENCIA!S15</f>
        <v>123829135</v>
      </c>
      <c r="Y25" s="194">
        <f>+VIGENCIA!U15</f>
        <v>133808904</v>
      </c>
      <c r="Z25" s="194"/>
      <c r="AA25" s="194"/>
      <c r="AB25" s="194"/>
      <c r="AC25" s="194">
        <f>SUM(Q25:AB25)</f>
        <v>1673380431</v>
      </c>
      <c r="AD25" s="449">
        <f>+AC25/AC24</f>
        <v>0.6884857337428667</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29" t="s">
        <v>76</v>
      </c>
      <c r="B27" s="930"/>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2"/>
    </row>
    <row r="28" spans="1:30" ht="15" customHeight="1">
      <c r="A28" s="933" t="s">
        <v>189</v>
      </c>
      <c r="B28" s="935" t="s">
        <v>6</v>
      </c>
      <c r="C28" s="936"/>
      <c r="D28" s="882" t="s">
        <v>398</v>
      </c>
      <c r="E28" s="883"/>
      <c r="F28" s="883"/>
      <c r="G28" s="883"/>
      <c r="H28" s="883"/>
      <c r="I28" s="883"/>
      <c r="J28" s="883"/>
      <c r="K28" s="883"/>
      <c r="L28" s="883"/>
      <c r="M28" s="883"/>
      <c r="N28" s="883"/>
      <c r="O28" s="937"/>
      <c r="P28" s="924" t="s">
        <v>8</v>
      </c>
      <c r="Q28" s="924" t="s">
        <v>84</v>
      </c>
      <c r="R28" s="924"/>
      <c r="S28" s="924"/>
      <c r="T28" s="924"/>
      <c r="U28" s="924"/>
      <c r="V28" s="924"/>
      <c r="W28" s="924"/>
      <c r="X28" s="924"/>
      <c r="Y28" s="924"/>
      <c r="Z28" s="924"/>
      <c r="AA28" s="924"/>
      <c r="AB28" s="924"/>
      <c r="AC28" s="924"/>
      <c r="AD28" s="926"/>
    </row>
    <row r="29" spans="1:30" ht="27" customHeight="1">
      <c r="A29" s="934"/>
      <c r="B29" s="888"/>
      <c r="C29" s="890"/>
      <c r="D29" s="281" t="s">
        <v>39</v>
      </c>
      <c r="E29" s="281" t="s">
        <v>40</v>
      </c>
      <c r="F29" s="281" t="s">
        <v>41</v>
      </c>
      <c r="G29" s="281" t="s">
        <v>42</v>
      </c>
      <c r="H29" s="281" t="s">
        <v>43</v>
      </c>
      <c r="I29" s="281" t="s">
        <v>44</v>
      </c>
      <c r="J29" s="281" t="s">
        <v>45</v>
      </c>
      <c r="K29" s="281" t="s">
        <v>46</v>
      </c>
      <c r="L29" s="281" t="s">
        <v>47</v>
      </c>
      <c r="M29" s="281" t="s">
        <v>48</v>
      </c>
      <c r="N29" s="281" t="s">
        <v>49</v>
      </c>
      <c r="O29" s="281" t="s">
        <v>50</v>
      </c>
      <c r="P29" s="937"/>
      <c r="Q29" s="924"/>
      <c r="R29" s="924"/>
      <c r="S29" s="924"/>
      <c r="T29" s="924"/>
      <c r="U29" s="924"/>
      <c r="V29" s="924"/>
      <c r="W29" s="924"/>
      <c r="X29" s="924"/>
      <c r="Y29" s="924"/>
      <c r="Z29" s="924"/>
      <c r="AA29" s="924"/>
      <c r="AB29" s="924"/>
      <c r="AC29" s="924"/>
      <c r="AD29" s="926"/>
    </row>
    <row r="30" spans="1:30" ht="65.25" customHeight="1" thickBot="1">
      <c r="A30" s="330" t="str">
        <f>C17</f>
        <v>Avanzar en el 80% en las políticas de Gobierno Digital y Seguridad Digital contenidas en la Dimensión Gestión con valores para Resultados</v>
      </c>
      <c r="B30" s="916" t="s">
        <v>450</v>
      </c>
      <c r="C30" s="917"/>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18"/>
      <c r="R30" s="918"/>
      <c r="S30" s="918"/>
      <c r="T30" s="918"/>
      <c r="U30" s="918"/>
      <c r="V30" s="918"/>
      <c r="W30" s="918"/>
      <c r="X30" s="918"/>
      <c r="Y30" s="918"/>
      <c r="Z30" s="918"/>
      <c r="AA30" s="918"/>
      <c r="AB30" s="918"/>
      <c r="AC30" s="918"/>
      <c r="AD30" s="919"/>
    </row>
    <row r="31" spans="1:30" ht="45" customHeight="1">
      <c r="A31" s="920" t="s">
        <v>292</v>
      </c>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2"/>
    </row>
    <row r="32" spans="1:41" ht="22.5" customHeight="1">
      <c r="A32" s="923" t="s">
        <v>190</v>
      </c>
      <c r="B32" s="924" t="s">
        <v>62</v>
      </c>
      <c r="C32" s="924" t="s">
        <v>6</v>
      </c>
      <c r="D32" s="924" t="s">
        <v>60</v>
      </c>
      <c r="E32" s="924"/>
      <c r="F32" s="924"/>
      <c r="G32" s="924"/>
      <c r="H32" s="924"/>
      <c r="I32" s="924"/>
      <c r="J32" s="924"/>
      <c r="K32" s="924"/>
      <c r="L32" s="924"/>
      <c r="M32" s="924"/>
      <c r="N32" s="924"/>
      <c r="O32" s="924"/>
      <c r="P32" s="924"/>
      <c r="Q32" s="924" t="s">
        <v>85</v>
      </c>
      <c r="R32" s="924"/>
      <c r="S32" s="924"/>
      <c r="T32" s="924"/>
      <c r="U32" s="924"/>
      <c r="V32" s="924"/>
      <c r="W32" s="924"/>
      <c r="X32" s="924"/>
      <c r="Y32" s="924"/>
      <c r="Z32" s="924"/>
      <c r="AA32" s="924"/>
      <c r="AB32" s="924"/>
      <c r="AC32" s="924"/>
      <c r="AD32" s="926"/>
      <c r="AG32" s="90"/>
      <c r="AH32" s="90"/>
      <c r="AI32" s="90"/>
      <c r="AJ32" s="90"/>
      <c r="AK32" s="90"/>
      <c r="AL32" s="90"/>
      <c r="AM32" s="90"/>
      <c r="AN32" s="90"/>
      <c r="AO32" s="90"/>
    </row>
    <row r="33" spans="1:41" ht="27" customHeight="1">
      <c r="A33" s="923"/>
      <c r="B33" s="924"/>
      <c r="C33" s="925"/>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24" t="s">
        <v>403</v>
      </c>
      <c r="R33" s="924"/>
      <c r="S33" s="924"/>
      <c r="T33" s="924" t="s">
        <v>406</v>
      </c>
      <c r="U33" s="924"/>
      <c r="V33" s="924"/>
      <c r="W33" s="888" t="s">
        <v>81</v>
      </c>
      <c r="X33" s="889"/>
      <c r="Y33" s="889"/>
      <c r="Z33" s="890"/>
      <c r="AA33" s="888" t="s">
        <v>82</v>
      </c>
      <c r="AB33" s="889"/>
      <c r="AC33" s="889"/>
      <c r="AD33" s="891"/>
      <c r="AG33" s="90"/>
      <c r="AH33" s="90"/>
      <c r="AI33" s="90"/>
      <c r="AJ33" s="90"/>
      <c r="AK33" s="90"/>
      <c r="AL33" s="90"/>
      <c r="AM33" s="90"/>
      <c r="AN33" s="90"/>
      <c r="AO33" s="90"/>
    </row>
    <row r="34" spans="1:41" ht="206.25" customHeight="1">
      <c r="A34" s="892" t="s">
        <v>624</v>
      </c>
      <c r="B34" s="894">
        <f>+AC17</f>
        <v>0.21</v>
      </c>
      <c r="C34" s="284" t="s">
        <v>9</v>
      </c>
      <c r="D34" s="177">
        <f>((D38*($B$38/$B$34))+(D40*($B$40/$B$34))+(D42*($B$42/$B$34)))*$P$34</f>
        <v>0.013600000000000001</v>
      </c>
      <c r="E34" s="177">
        <f aca="true" t="shared" si="0" ref="E34:O34">((E38*($B$38/$B$34))+(E40*($B$40/$B$34))+(E42*($B$42/$B$34)))*$P$34</f>
        <v>0.013600000000000001</v>
      </c>
      <c r="F34" s="177">
        <f t="shared" si="0"/>
        <v>0.015300000000000001</v>
      </c>
      <c r="G34" s="177">
        <f t="shared" si="0"/>
        <v>0.013600000000000001</v>
      </c>
      <c r="H34" s="177">
        <f t="shared" si="0"/>
        <v>0.013600000000000001</v>
      </c>
      <c r="I34" s="177">
        <f t="shared" si="0"/>
        <v>0.015300000000000001</v>
      </c>
      <c r="J34" s="177">
        <f t="shared" si="0"/>
        <v>0.013600000000000001</v>
      </c>
      <c r="K34" s="177">
        <f t="shared" si="0"/>
        <v>0.013600000000000001</v>
      </c>
      <c r="L34" s="177">
        <f t="shared" si="0"/>
        <v>0.015300000000000001</v>
      </c>
      <c r="M34" s="177">
        <f t="shared" si="0"/>
        <v>0.013600000000000001</v>
      </c>
      <c r="N34" s="177">
        <f t="shared" si="0"/>
        <v>0.013600000000000001</v>
      </c>
      <c r="O34" s="177">
        <f t="shared" si="0"/>
        <v>0.015300000000000001</v>
      </c>
      <c r="P34" s="177">
        <v>0.17</v>
      </c>
      <c r="Q34" s="896" t="s">
        <v>851</v>
      </c>
      <c r="R34" s="897"/>
      <c r="S34" s="898"/>
      <c r="T34" s="902" t="s">
        <v>852</v>
      </c>
      <c r="U34" s="903"/>
      <c r="V34" s="904"/>
      <c r="W34" s="908" t="s">
        <v>853</v>
      </c>
      <c r="X34" s="909"/>
      <c r="Y34" s="909"/>
      <c r="Z34" s="910"/>
      <c r="AA34" s="896" t="s">
        <v>854</v>
      </c>
      <c r="AB34" s="897"/>
      <c r="AC34" s="897"/>
      <c r="AD34" s="914"/>
      <c r="AG34" s="90"/>
      <c r="AH34" s="90"/>
      <c r="AI34" s="90"/>
      <c r="AJ34" s="90"/>
      <c r="AK34" s="90"/>
      <c r="AL34" s="90"/>
      <c r="AM34" s="90"/>
      <c r="AN34" s="90"/>
      <c r="AO34" s="90"/>
    </row>
    <row r="35" spans="1:41" ht="206.25" customHeight="1" thickBot="1">
      <c r="A35" s="893"/>
      <c r="B35" s="895"/>
      <c r="C35" s="285" t="s">
        <v>10</v>
      </c>
      <c r="D35" s="413">
        <f>((D39*($B$38/$B$34))+(D41*($B$40/$B$34))+(D43*($B$42/$B$34)))*$P$34</f>
        <v>0.013600000000000001</v>
      </c>
      <c r="E35" s="413">
        <f aca="true" t="shared" si="1" ref="E35:L35">((E39*($B$38/$B$34))+(E41*($B$40/$B$34))+(E43*($B$42/$B$34)))*$P$34</f>
        <v>0.011009523809523811</v>
      </c>
      <c r="F35" s="413">
        <f t="shared" si="1"/>
        <v>0.012385714285714285</v>
      </c>
      <c r="G35" s="413">
        <f t="shared" si="1"/>
        <v>0.011009523809523811</v>
      </c>
      <c r="H35" s="413">
        <f t="shared" si="1"/>
        <v>0.011009523809523811</v>
      </c>
      <c r="I35" s="475">
        <f t="shared" si="1"/>
        <v>0.015300000000000001</v>
      </c>
      <c r="J35" s="475">
        <f t="shared" si="1"/>
        <v>0.013600000000000001</v>
      </c>
      <c r="K35" s="475">
        <f t="shared" si="1"/>
        <v>0.013600000000000001</v>
      </c>
      <c r="L35" s="475">
        <f t="shared" si="1"/>
        <v>0.015300000000000001</v>
      </c>
      <c r="M35" s="96"/>
      <c r="N35" s="96"/>
      <c r="O35" s="96"/>
      <c r="P35" s="178">
        <f>SUM(D35:O35)</f>
        <v>0.11681428571428573</v>
      </c>
      <c r="Q35" s="899"/>
      <c r="R35" s="900"/>
      <c r="S35" s="901"/>
      <c r="T35" s="905"/>
      <c r="U35" s="906"/>
      <c r="V35" s="907"/>
      <c r="W35" s="911"/>
      <c r="X35" s="912"/>
      <c r="Y35" s="912"/>
      <c r="Z35" s="913"/>
      <c r="AA35" s="899"/>
      <c r="AB35" s="900"/>
      <c r="AC35" s="900"/>
      <c r="AD35" s="915"/>
      <c r="AE35" s="50"/>
      <c r="AG35" s="90"/>
      <c r="AH35" s="90"/>
      <c r="AI35" s="90"/>
      <c r="AJ35" s="90"/>
      <c r="AK35" s="90"/>
      <c r="AL35" s="90"/>
      <c r="AM35" s="90"/>
      <c r="AN35" s="90"/>
      <c r="AO35" s="90"/>
    </row>
    <row r="36" spans="1:41" ht="25.5" customHeight="1">
      <c r="A36" s="874" t="s">
        <v>191</v>
      </c>
      <c r="B36" s="876" t="s">
        <v>61</v>
      </c>
      <c r="C36" s="878" t="s">
        <v>11</v>
      </c>
      <c r="D36" s="879"/>
      <c r="E36" s="879"/>
      <c r="F36" s="879"/>
      <c r="G36" s="879"/>
      <c r="H36" s="879"/>
      <c r="I36" s="879"/>
      <c r="J36" s="879"/>
      <c r="K36" s="879"/>
      <c r="L36" s="879"/>
      <c r="M36" s="879"/>
      <c r="N36" s="879"/>
      <c r="O36" s="879"/>
      <c r="P36" s="880"/>
      <c r="Q36" s="878" t="s">
        <v>78</v>
      </c>
      <c r="R36" s="879"/>
      <c r="S36" s="879"/>
      <c r="T36" s="879"/>
      <c r="U36" s="879"/>
      <c r="V36" s="879"/>
      <c r="W36" s="879"/>
      <c r="X36" s="879"/>
      <c r="Y36" s="879"/>
      <c r="Z36" s="879"/>
      <c r="AA36" s="879"/>
      <c r="AB36" s="879"/>
      <c r="AC36" s="879"/>
      <c r="AD36" s="881"/>
      <c r="AG36" s="90"/>
      <c r="AH36" s="90"/>
      <c r="AI36" s="90"/>
      <c r="AJ36" s="90"/>
      <c r="AK36" s="90"/>
      <c r="AL36" s="90"/>
      <c r="AM36" s="90"/>
      <c r="AN36" s="90"/>
      <c r="AO36" s="90"/>
    </row>
    <row r="37" spans="1:41" ht="42.75" customHeight="1">
      <c r="A37" s="875"/>
      <c r="B37" s="877"/>
      <c r="C37" s="487" t="s">
        <v>12</v>
      </c>
      <c r="D37" s="487" t="s">
        <v>36</v>
      </c>
      <c r="E37" s="487" t="s">
        <v>37</v>
      </c>
      <c r="F37" s="487" t="s">
        <v>38</v>
      </c>
      <c r="G37" s="487" t="s">
        <v>51</v>
      </c>
      <c r="H37" s="487" t="s">
        <v>52</v>
      </c>
      <c r="I37" s="487" t="s">
        <v>53</v>
      </c>
      <c r="J37" s="487" t="s">
        <v>54</v>
      </c>
      <c r="K37" s="487" t="s">
        <v>55</v>
      </c>
      <c r="L37" s="487" t="s">
        <v>56</v>
      </c>
      <c r="M37" s="487" t="s">
        <v>57</v>
      </c>
      <c r="N37" s="487" t="s">
        <v>58</v>
      </c>
      <c r="O37" s="487" t="s">
        <v>59</v>
      </c>
      <c r="P37" s="487" t="s">
        <v>63</v>
      </c>
      <c r="Q37" s="882" t="s">
        <v>83</v>
      </c>
      <c r="R37" s="883"/>
      <c r="S37" s="883"/>
      <c r="T37" s="883"/>
      <c r="U37" s="883"/>
      <c r="V37" s="883"/>
      <c r="W37" s="883"/>
      <c r="X37" s="883"/>
      <c r="Y37" s="883"/>
      <c r="Z37" s="883"/>
      <c r="AA37" s="883"/>
      <c r="AB37" s="883"/>
      <c r="AC37" s="883"/>
      <c r="AD37" s="884"/>
      <c r="AG37" s="98"/>
      <c r="AH37" s="98"/>
      <c r="AI37" s="98"/>
      <c r="AJ37" s="98"/>
      <c r="AK37" s="98"/>
      <c r="AL37" s="98"/>
      <c r="AM37" s="98"/>
      <c r="AN37" s="98"/>
      <c r="AO37" s="98"/>
    </row>
    <row r="38" spans="1:41" ht="263.25" customHeight="1">
      <c r="A38" s="862" t="s">
        <v>625</v>
      </c>
      <c r="B38" s="864">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2" ref="P38:P43">SUM(D38:O38)</f>
        <v>0.9999999999999998</v>
      </c>
      <c r="Q38" s="885" t="s">
        <v>857</v>
      </c>
      <c r="R38" s="886"/>
      <c r="S38" s="886"/>
      <c r="T38" s="886"/>
      <c r="U38" s="886"/>
      <c r="V38" s="886"/>
      <c r="W38" s="886"/>
      <c r="X38" s="886"/>
      <c r="Y38" s="886"/>
      <c r="Z38" s="886"/>
      <c r="AA38" s="886"/>
      <c r="AB38" s="886"/>
      <c r="AC38" s="886"/>
      <c r="AD38" s="887"/>
      <c r="AE38" s="287"/>
      <c r="AG38" s="102"/>
      <c r="AH38" s="102"/>
      <c r="AI38" s="102"/>
      <c r="AJ38" s="102"/>
      <c r="AK38" s="102"/>
      <c r="AL38" s="102"/>
      <c r="AM38" s="102"/>
      <c r="AN38" s="102"/>
      <c r="AO38" s="102"/>
    </row>
    <row r="39" spans="1:31" ht="126.75" customHeight="1">
      <c r="A39" s="863"/>
      <c r="B39" s="865"/>
      <c r="C39" s="288" t="s">
        <v>10</v>
      </c>
      <c r="D39" s="104">
        <v>0.08</v>
      </c>
      <c r="E39" s="104">
        <v>0</v>
      </c>
      <c r="F39" s="104">
        <v>0</v>
      </c>
      <c r="G39" s="104">
        <v>0</v>
      </c>
      <c r="H39" s="104">
        <v>0</v>
      </c>
      <c r="I39" s="104">
        <v>0.09</v>
      </c>
      <c r="J39" s="104">
        <v>0.08</v>
      </c>
      <c r="K39" s="104">
        <v>0.08</v>
      </c>
      <c r="L39" s="104">
        <v>0.09</v>
      </c>
      <c r="M39" s="104"/>
      <c r="N39" s="104"/>
      <c r="O39" s="104"/>
      <c r="P39" s="289">
        <f t="shared" si="2"/>
        <v>0.42000000000000004</v>
      </c>
      <c r="Q39" s="981" t="s">
        <v>850</v>
      </c>
      <c r="R39" s="886"/>
      <c r="S39" s="886"/>
      <c r="T39" s="886"/>
      <c r="U39" s="886"/>
      <c r="V39" s="886"/>
      <c r="W39" s="886"/>
      <c r="X39" s="886"/>
      <c r="Y39" s="886"/>
      <c r="Z39" s="886"/>
      <c r="AA39" s="886"/>
      <c r="AB39" s="886"/>
      <c r="AC39" s="886"/>
      <c r="AD39" s="887"/>
      <c r="AE39" s="287"/>
    </row>
    <row r="40" spans="1:31" ht="92.25" customHeight="1">
      <c r="A40" s="862" t="s">
        <v>626</v>
      </c>
      <c r="B40" s="864">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2"/>
        <v>0.9999999999999998</v>
      </c>
      <c r="Q40" s="868" t="s">
        <v>855</v>
      </c>
      <c r="R40" s="869"/>
      <c r="S40" s="869"/>
      <c r="T40" s="869"/>
      <c r="U40" s="869"/>
      <c r="V40" s="869"/>
      <c r="W40" s="869"/>
      <c r="X40" s="869"/>
      <c r="Y40" s="869"/>
      <c r="Z40" s="869"/>
      <c r="AA40" s="869"/>
      <c r="AB40" s="869"/>
      <c r="AC40" s="869"/>
      <c r="AD40" s="982"/>
      <c r="AE40" s="287"/>
    </row>
    <row r="41" spans="1:31" ht="92.25" customHeight="1">
      <c r="A41" s="863"/>
      <c r="B41" s="865"/>
      <c r="C41" s="288" t="s">
        <v>10</v>
      </c>
      <c r="D41" s="104">
        <v>0.08</v>
      </c>
      <c r="E41" s="104">
        <v>0.08</v>
      </c>
      <c r="F41" s="104">
        <v>0.09</v>
      </c>
      <c r="G41" s="104">
        <v>0.08</v>
      </c>
      <c r="H41" s="104">
        <v>0.08</v>
      </c>
      <c r="I41" s="104">
        <v>0.09</v>
      </c>
      <c r="J41" s="104">
        <v>0.08</v>
      </c>
      <c r="K41" s="104">
        <v>0.08</v>
      </c>
      <c r="L41" s="108">
        <v>0.09</v>
      </c>
      <c r="M41" s="108"/>
      <c r="N41" s="108"/>
      <c r="O41" s="108"/>
      <c r="P41" s="289">
        <f t="shared" si="2"/>
        <v>0.7499999999999999</v>
      </c>
      <c r="Q41" s="983"/>
      <c r="R41" s="984"/>
      <c r="S41" s="984"/>
      <c r="T41" s="984"/>
      <c r="U41" s="984"/>
      <c r="V41" s="984"/>
      <c r="W41" s="984"/>
      <c r="X41" s="984"/>
      <c r="Y41" s="984"/>
      <c r="Z41" s="984"/>
      <c r="AA41" s="984"/>
      <c r="AB41" s="984"/>
      <c r="AC41" s="984"/>
      <c r="AD41" s="985"/>
      <c r="AE41" s="287"/>
    </row>
    <row r="42" spans="1:31" ht="102.75" customHeight="1">
      <c r="A42" s="862" t="s">
        <v>627</v>
      </c>
      <c r="B42" s="864">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2"/>
        <v>0.9999999999999998</v>
      </c>
      <c r="Q42" s="868" t="s">
        <v>856</v>
      </c>
      <c r="R42" s="869"/>
      <c r="S42" s="869"/>
      <c r="T42" s="869"/>
      <c r="U42" s="869"/>
      <c r="V42" s="869"/>
      <c r="W42" s="869"/>
      <c r="X42" s="869"/>
      <c r="Y42" s="869"/>
      <c r="Z42" s="869"/>
      <c r="AA42" s="869"/>
      <c r="AB42" s="869"/>
      <c r="AC42" s="869"/>
      <c r="AD42" s="870"/>
      <c r="AE42" s="287"/>
    </row>
    <row r="43" spans="1:31" ht="102.75" customHeight="1" thickBot="1">
      <c r="A43" s="866"/>
      <c r="B43" s="867"/>
      <c r="C43" s="285" t="s">
        <v>10</v>
      </c>
      <c r="D43" s="110">
        <v>0.08</v>
      </c>
      <c r="E43" s="110">
        <v>0.08</v>
      </c>
      <c r="F43" s="110">
        <v>0.09</v>
      </c>
      <c r="G43" s="110">
        <v>0.08</v>
      </c>
      <c r="H43" s="110">
        <v>0.08</v>
      </c>
      <c r="I43" s="110">
        <v>0.09</v>
      </c>
      <c r="J43" s="110">
        <v>0.08</v>
      </c>
      <c r="K43" s="110">
        <v>0.08</v>
      </c>
      <c r="L43" s="111">
        <v>0.09</v>
      </c>
      <c r="M43" s="111"/>
      <c r="N43" s="111"/>
      <c r="O43" s="111"/>
      <c r="P43" s="291">
        <f t="shared" si="2"/>
        <v>0.7499999999999999</v>
      </c>
      <c r="Q43" s="871"/>
      <c r="R43" s="872"/>
      <c r="S43" s="872"/>
      <c r="T43" s="872"/>
      <c r="U43" s="872"/>
      <c r="V43" s="872"/>
      <c r="W43" s="872"/>
      <c r="X43" s="872"/>
      <c r="Y43" s="872"/>
      <c r="Z43" s="872"/>
      <c r="AA43" s="872"/>
      <c r="AB43" s="872"/>
      <c r="AC43" s="872"/>
      <c r="AD43" s="873"/>
      <c r="AE43" s="287"/>
    </row>
  </sheetData>
  <sheetProtection/>
  <mergeCells count="80">
    <mergeCell ref="Q39:AD39"/>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T33:V33"/>
    <mergeCell ref="A25:B25"/>
    <mergeCell ref="A27:AD27"/>
    <mergeCell ref="A28:A29"/>
    <mergeCell ref="B28:C29"/>
    <mergeCell ref="D28:O28"/>
    <mergeCell ref="P28:P29"/>
    <mergeCell ref="Q28:AD29"/>
    <mergeCell ref="AA34:AD35"/>
    <mergeCell ref="B30:C30"/>
    <mergeCell ref="Q30:AD30"/>
    <mergeCell ref="A31:AD31"/>
    <mergeCell ref="A32:A33"/>
    <mergeCell ref="B32:B33"/>
    <mergeCell ref="C32:C33"/>
    <mergeCell ref="D32:P32"/>
    <mergeCell ref="Q32:AD32"/>
    <mergeCell ref="Q33:S33"/>
    <mergeCell ref="A38:A39"/>
    <mergeCell ref="B38:B39"/>
    <mergeCell ref="Q38:AD38"/>
    <mergeCell ref="W33:Z33"/>
    <mergeCell ref="AA33:AD33"/>
    <mergeCell ref="A34:A35"/>
    <mergeCell ref="B34:B35"/>
    <mergeCell ref="Q34:S35"/>
    <mergeCell ref="T34:V35"/>
    <mergeCell ref="W34:Z35"/>
    <mergeCell ref="A40:A41"/>
    <mergeCell ref="B40:B41"/>
    <mergeCell ref="A42:A43"/>
    <mergeCell ref="B42:B43"/>
    <mergeCell ref="Q42:AD43"/>
    <mergeCell ref="A36:A37"/>
    <mergeCell ref="B36:B37"/>
    <mergeCell ref="C36:P36"/>
    <mergeCell ref="Q36:AD36"/>
    <mergeCell ref="Q37:AD3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42 Q34 Q38:Q40 W34 T34 AA34">
      <formula1>2000</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lastPrinted>2023-10-06T18:39:37Z</cp:lastPrinted>
  <dcterms:created xsi:type="dcterms:W3CDTF">2011-04-26T22:16:52Z</dcterms:created>
  <dcterms:modified xsi:type="dcterms:W3CDTF">2023-10-26T19:43:03Z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