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1.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6" activeTab="10"/>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r:id="rId7"/>
    <sheet name="VIGENCIA" sheetId="8" r:id="rId8"/>
    <sheet name="Meta 1" sheetId="9" r:id="rId9"/>
    <sheet name="Metas 2" sheetId="10" r:id="rId10"/>
    <sheet name="Meta 3" sheetId="11" r:id="rId11"/>
    <sheet name="Meta 4" sheetId="12" r:id="rId12"/>
    <sheet name="1. Ind. PA - DE" sheetId="13" r:id="rId13"/>
    <sheet name="2. Ind PA - GT" sheetId="14" r:id="rId14"/>
    <sheet name="3. Ind PA - TH" sheetId="15" r:id="rId15"/>
    <sheet name="4. Ind PA - Planeación" sheetId="16" r:id="rId16"/>
    <sheet name="5. Ind PA - Seg Ev y C" sheetId="17" r:id="rId17"/>
    <sheet name="6. Ind PA - GD" sheetId="18" r:id="rId18"/>
    <sheet name="7. Ind PA - GF" sheetId="19" r:id="rId19"/>
    <sheet name="8. Ind PA - GA" sheetId="20" r:id="rId20"/>
    <sheet name="9. Ind PA - CDI" sheetId="21" r:id="rId21"/>
    <sheet name="10. Ind PA - Contratación" sheetId="22" r:id="rId22"/>
    <sheet name="11. Ind PA - AC" sheetId="23" r:id="rId23"/>
    <sheet name="12. Ind PA - OAJ" sheetId="24" r:id="rId24"/>
    <sheet name="Hoja13" sheetId="25" r:id="rId25"/>
    <sheet name="Hoja1" sheetId="26" r:id="rId26"/>
  </sheets>
  <externalReferences>
    <externalReference r:id="rId29"/>
  </externalReferences>
  <definedNames>
    <definedName name="_xlfn.IFERROR" hidden="1">#NAME?</definedName>
    <definedName name="_xlnm.Print_Area" localSheetId="12">'1. Ind. PA - DE'!$A$1:$AY$20</definedName>
    <definedName name="_xlnm.Print_Area" localSheetId="21">'10. Ind PA - Contratación'!$A$1:$AY$23</definedName>
    <definedName name="_xlnm.Print_Area" localSheetId="22">'11. Ind PA - AC'!$A$1:$AY$25</definedName>
    <definedName name="_xlnm.Print_Area" localSheetId="23">'12. Ind PA - OAJ'!$A$1:$AY$22</definedName>
    <definedName name="_xlnm.Print_Area" localSheetId="13">'2. Ind PA - GT'!$A$1:$AY$23</definedName>
    <definedName name="_xlnm.Print_Area" localSheetId="14">'3. Ind PA - TH'!$A$1:$AY$21</definedName>
    <definedName name="_xlnm.Print_Area" localSheetId="15">'4. Ind PA - Planeación'!$A$1:$AY$22</definedName>
    <definedName name="_xlnm.Print_Area" localSheetId="16">'5. Ind PA - Seg Ev y C'!$A$1:$AY$19</definedName>
    <definedName name="_xlnm.Print_Area" localSheetId="17">'6. Ind PA - GD'!$A$1:$AY$20</definedName>
    <definedName name="_xlnm.Print_Area" localSheetId="18">'7. Ind PA - GF'!$A$1:$AY$19</definedName>
    <definedName name="_xlnm.Print_Area" localSheetId="19">'8. Ind PA - GA'!$A$1:$AY$20</definedName>
    <definedName name="_xlnm.Print_Area" localSheetId="20">'9.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V13" authorId="1">
      <text>
        <r>
          <rPr>
            <b/>
            <sz val="9"/>
            <rFont val="Tahoma"/>
            <family val="2"/>
          </rPr>
          <t>stefania vidal p: SE DEBE REPORTAR LA INFORMACIÓN DEL 2DO TRIMESTRE CONFORME A LO INCADO EN EL AVANCE INDICADOR, POR LO QUE SE SUGIERE INDICAR: 1.  EN EL 2DO TRIMESTRE.. 0  2. EN ESTE PERIODO.. O 3. EN LOS MESES DE ABRIL A JUNIO</t>
        </r>
      </text>
    </comment>
    <comment ref="AW13" authorId="1">
      <text>
        <r>
          <rPr>
            <b/>
            <sz val="9"/>
            <rFont val="Tahoma"/>
            <family val="2"/>
          </rPr>
          <t>stefania vidal p:</t>
        </r>
        <r>
          <rPr>
            <sz val="9"/>
            <rFont val="Tahoma"/>
            <family val="2"/>
          </rPr>
          <t xml:space="preserve">
LA INFORMACIÓN A REPORTAR DEBE SER DE LOS 2 TRIMESTRES (1 ENERO - 30 DE JUNIO) NO SE DEBE ENUNCIAR EL MES MAYO. </t>
        </r>
      </text>
    </comment>
    <comment ref="AM13" authorId="1">
      <text>
        <r>
          <rPr>
            <b/>
            <sz val="14"/>
            <rFont val="Tahoma"/>
            <family val="2"/>
          </rPr>
          <t>stefania vidal p:</t>
        </r>
        <r>
          <rPr>
            <sz val="14"/>
            <rFont val="Tahoma"/>
            <family val="2"/>
          </rPr>
          <t xml:space="preserve">
NO DEBE HABER INFORMACIÓN DE LOS MESES ABRIL Y MAYO, SOLO EN JUNIO, QUE ES EL MES DEL REPORTE PROGRAMADO. 
</t>
        </r>
        <r>
          <rPr>
            <b/>
            <sz val="14"/>
            <rFont val="Tahoma"/>
            <family val="2"/>
          </rPr>
          <t>Nayla Isaza:</t>
        </r>
        <r>
          <rPr>
            <sz val="14"/>
            <rFont val="Tahoma"/>
            <family val="2"/>
          </rPr>
          <t xml:space="preserve">
La razon por la que se colocaron los avances en metros de los meses de abril y mayo, es por el rezago que se trae de marzo, se ajusto en abril, y para cumplir en junio q solo salen 2 mts, creimos necesario que se viera que la mayor gestión fue en mayo con 13,25 mt., para con los 2mts de junio, cumplir con la meta de 27 mts.  Los voy a eliminar, pero es importante que uds tengan esa claridad, porque entonces quedamos con 1 solo mt de transferencia desde marzo a los 27 de junio.. Ok?</t>
        </r>
      </text>
    </comment>
  </commentList>
</comments>
</file>

<file path=xl/comments19.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3" authorId="1">
      <text>
        <r>
          <rPr>
            <b/>
            <sz val="9"/>
            <rFont val="Tahoma"/>
            <family val="2"/>
          </rPr>
          <t>stefania vidal p:</t>
        </r>
        <r>
          <rPr>
            <sz val="9"/>
            <rFont val="Tahoma"/>
            <family val="2"/>
          </rPr>
          <t xml:space="preserve">
El informe es con corte al mes de junio no mayo. 8por favor ajustar.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<sst xmlns="http://schemas.openxmlformats.org/spreadsheetml/2006/main" count="3381" uniqueCount="884">
  <si>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</si>
  <si>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</si>
  <si>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</si>
  <si>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</si>
  <si>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</si>
  <si>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</si>
  <si>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</si>
  <si>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</si>
  <si>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</si>
  <si>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</si>
  <si>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</si>
  <si>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</si>
  <si>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</si>
  <si>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</si>
  <si>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</si>
  <si>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</si>
  <si>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</si>
  <si>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</si>
  <si>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</si>
  <si>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</si>
  <si>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</si>
  <si>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</si>
  <si>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</si>
  <si>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</si>
  <si>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</si>
  <si>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</si>
  <si>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</si>
  <si>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</si>
  <si>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</si>
  <si>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</si>
  <si>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</si>
  <si>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</si>
  <si>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</si>
  <si>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</si>
  <si>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</si>
  <si>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</si>
  <si>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</si>
  <si>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</si>
  <si>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</si>
  <si>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</si>
  <si>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</si>
  <si>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</si>
  <si>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</si>
  <si>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</si>
  <si>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</si>
  <si>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</si>
  <si>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</si>
  <si>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</si>
  <si>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</si>
  <si>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</si>
  <si>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</si>
  <si>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</si>
  <si>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</si>
  <si>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</si>
  <si>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</si>
  <si>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</si>
  <si>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</si>
  <si>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</si>
  <si>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</si>
  <si>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</si>
  <si>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</si>
  <si>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</si>
  <si>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</si>
  <si>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</si>
  <si>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</si>
  <si>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</si>
  <si>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</si>
  <si>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</si>
  <si>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</si>
  <si>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</si>
  <si>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</si>
  <si>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</si>
  <si>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</si>
  <si>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</si>
  <si>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</si>
  <si>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</si>
  <si>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</si>
  <si>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</si>
  <si>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</si>
  <si>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</si>
  <si>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</si>
  <si>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</si>
  <si>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</si>
  <si>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</si>
  <si>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</si>
  <si>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</si>
  <si>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</si>
  <si>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</si>
  <si>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</si>
  <si>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</si>
  <si>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</si>
  <si>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</si>
  <si>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</si>
  <si>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</si>
  <si>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</si>
  <si>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</si>
  <si>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</si>
  <si>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</si>
  <si>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</si>
  <si>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</si>
  <si>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</si>
  <si>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</si>
  <si>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</si>
  <si>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</si>
  <si>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</si>
  <si>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</si>
  <si>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</si>
  <si>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</si>
  <si>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</si>
  <si>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</si>
  <si>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</si>
  <si>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</si>
  <si>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</si>
  <si>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</si>
  <si>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</si>
  <si>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</si>
  <si>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</si>
  <si>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</si>
  <si>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</si>
  <si>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</si>
  <si>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</si>
  <si>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</si>
  <si>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</si>
  <si>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</si>
  <si>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</si>
  <si>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</si>
  <si>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</si>
  <si>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</si>
  <si>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</si>
  <si>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</si>
  <si>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</si>
  <si>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</si>
  <si>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</si>
  <si>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</si>
  <si>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</si>
  <si>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</si>
  <si>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</si>
  <si>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</si>
  <si>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</si>
  <si>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</si>
  <si>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</si>
  <si>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</si>
  <si>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</si>
  <si>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</si>
  <si>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</si>
  <si>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</si>
  <si>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</si>
  <si>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</si>
  <si>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</si>
  <si>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</si>
  <si>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</si>
  <si>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</si>
  <si>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</si>
  <si>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</si>
  <si>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</si>
  <si>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</si>
  <si>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</si>
  <si>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</si>
  <si>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</si>
  <si>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</si>
  <si>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</si>
  <si>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</si>
  <si>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</si>
  <si>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</si>
  <si>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</si>
  <si>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</si>
  <si>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</si>
  <si>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</si>
  <si>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</si>
  <si>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</si>
  <si>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</si>
  <si>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</si>
  <si>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</si>
  <si>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</si>
  <si>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</si>
  <si>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</si>
  <si>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</si>
  <si>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</si>
  <si>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</si>
  <si>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</si>
  <si>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</si>
  <si>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</si>
  <si>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</si>
  <si>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</si>
  <si>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</si>
  <si>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</si>
  <si>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</si>
  <si>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</si>
  <si>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</si>
  <si>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</si>
  <si>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</si>
  <si>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</si>
  <si>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</si>
  <si>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</si>
  <si>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</si>
  <si>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</si>
  <si>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</si>
  <si>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</si>
  <si>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</si>
  <si>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</si>
  <si>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</si>
  <si>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</si>
  <si>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</si>
  <si>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</si>
  <si>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</si>
  <si>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</si>
  <si>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</si>
  <si>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</si>
  <si>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</si>
  <si>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</si>
  <si>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</si>
  <si>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</si>
  <si>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</si>
  <si>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</si>
  <si>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</si>
  <si>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</si>
  <si>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</si>
  <si>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</si>
  <si>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</si>
  <si>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</si>
  <si>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</si>
  <si>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</si>
  <si>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</si>
  <si>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</si>
  <si>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</si>
  <si>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</si>
  <si>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</si>
  <si>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</si>
  <si>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</si>
  <si>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</si>
  <si>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</si>
  <si>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</si>
  <si>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</si>
  <si>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</si>
  <si>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</si>
  <si>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</si>
  <si>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</si>
  <si>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</si>
  <si>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</si>
  <si>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</si>
  <si>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</si>
  <si>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</si>
  <si>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</si>
  <si>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</si>
  <si>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</si>
  <si>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</si>
  <si>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</si>
  <si>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</si>
  <si>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</si>
  <si>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</si>
  <si>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</si>
  <si>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</si>
  <si>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</si>
  <si>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</si>
  <si>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</si>
  <si>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</si>
  <si>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</si>
  <si>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</si>
  <si>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</si>
  <si>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</si>
  <si>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</si>
  <si>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</si>
  <si>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</si>
  <si>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</si>
  <si>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</si>
  <si>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</si>
  <si>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</si>
  <si>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</si>
  <si>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</si>
  <si>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</si>
  <si>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</si>
  <si>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</si>
  <si>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</si>
  <si>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</si>
  <si>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</si>
  <si>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</si>
  <si>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</si>
  <si>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</si>
  <si>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</si>
  <si>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</si>
  <si>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</si>
  <si>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</si>
  <si>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</si>
  <si>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</si>
  <si>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</si>
  <si>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</si>
  <si>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</si>
  <si>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</si>
  <si>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</si>
  <si>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</si>
  <si>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</si>
  <si>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</si>
  <si>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</si>
  <si>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</si>
  <si>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</si>
  <si>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</si>
  <si>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</si>
  <si>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</si>
  <si>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</si>
  <si>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</si>
  <si>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</si>
  <si>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</si>
  <si>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</si>
  <si>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</si>
  <si>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</si>
  <si>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</si>
  <si>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</si>
  <si>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</si>
  <si>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</si>
  <si>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</si>
  <si>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</si>
  <si>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</si>
  <si>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</si>
  <si>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</si>
  <si>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</si>
  <si>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</si>
  <si>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</si>
  <si>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</si>
  <si>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</si>
  <si>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</si>
  <si>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</si>
  <si>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</si>
  <si>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</si>
  <si>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</si>
  <si>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</si>
  <si>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</si>
  <si>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</si>
  <si>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</si>
  <si>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</si>
  <si>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</si>
  <si>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</si>
  <si>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</si>
  <si>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</si>
  <si>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</si>
  <si>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</si>
  <si>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</si>
  <si>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</si>
  <si>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</si>
  <si>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</si>
  <si>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</si>
  <si>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</si>
  <si>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</si>
  <si>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</si>
  <si>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</si>
  <si>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</si>
  <si>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</si>
  <si>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</si>
  <si>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</si>
  <si>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</si>
  <si>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</si>
  <si>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</si>
  <si>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</si>
  <si>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</si>
  <si>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</si>
  <si>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</si>
  <si>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</si>
  <si>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</si>
  <si>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</si>
  <si>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</si>
  <si>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</si>
  <si>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</si>
  <si>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</si>
  <si>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</si>
  <si>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</si>
  <si>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</si>
  <si>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</si>
  <si>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</si>
  <si>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</si>
  <si>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</si>
  <si>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</si>
  <si>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</si>
  <si>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</si>
  <si>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</si>
  <si>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</si>
  <si>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</si>
  <si>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</si>
  <si>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</si>
  <si>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</si>
  <si>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</si>
  <si>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</si>
  <si>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</si>
  <si>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</si>
  <si>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</si>
  <si>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</si>
  <si>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</si>
  <si>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</si>
  <si>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</si>
  <si>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</si>
  <si>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</si>
  <si>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</si>
  <si>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</si>
  <si>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</si>
  <si>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</si>
  <si>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</si>
  <si>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</si>
  <si>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</si>
  <si>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</si>
  <si>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</si>
  <si>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</si>
  <si>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</si>
  <si>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</si>
  <si>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</si>
  <si>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</si>
  <si>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</si>
  <si>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</si>
  <si>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</si>
  <si>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</si>
  <si>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</si>
  <si>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</si>
  <si>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</si>
  <si>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</si>
  <si>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</si>
  <si>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</si>
  <si>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</si>
  <si>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</si>
  <si>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</si>
  <si>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</si>
  <si>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</si>
  <si>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</si>
  <si>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</si>
  <si>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</si>
  <si>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</si>
  <si>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</si>
  <si>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</si>
  <si>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</si>
  <si>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</si>
  <si>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</si>
  <si>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</si>
  <si>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</si>
  <si>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</si>
  <si>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</si>
  <si>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</si>
  <si>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</si>
  <si>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</si>
  <si>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</si>
  <si>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</si>
  <si>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</si>
  <si>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</si>
  <si>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</si>
  <si>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</si>
  <si>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</si>
  <si>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</si>
  <si>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</si>
  <si>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</si>
  <si>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</si>
  <si>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</si>
  <si>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</si>
  <si>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</si>
  <si>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</si>
  <si>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</si>
  <si>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</si>
  <si>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</si>
  <si>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</si>
  <si>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</si>
  <si>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</si>
  <si>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</si>
  <si>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</si>
  <si>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</si>
  <si>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</si>
  <si>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</si>
  <si>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</si>
  <si>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</si>
  <si>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</si>
  <si>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</si>
  <si>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</si>
  <si>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</si>
  <si>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</si>
  <si>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</si>
  <si>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</si>
  <si>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</si>
  <si>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</si>
  <si>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</si>
  <si>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</si>
  <si>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</si>
  <si>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</si>
  <si>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</si>
  <si>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</si>
  <si>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</si>
  <si>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</si>
  <si>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</si>
  <si>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</si>
  <si>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</si>
  <si>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</si>
  <si>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</si>
  <si>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</si>
  <si>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</si>
  <si>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</si>
  <si>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</si>
  <si>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</si>
  <si>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</si>
  <si>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</si>
  <si>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</si>
  <si>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</si>
  <si>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</si>
  <si>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</si>
  <si>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</si>
  <si>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</si>
  <si>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</si>
  <si>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</si>
  <si>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</si>
  <si>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</si>
  <si>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</si>
  <si>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</si>
  <si>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</si>
  <si>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</si>
  <si>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</si>
  <si>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</si>
  <si>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</si>
  <si>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</si>
  <si>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</si>
  <si>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</si>
  <si>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</si>
  <si>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</si>
  <si>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</si>
  <si>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</si>
  <si>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</si>
  <si>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</si>
  <si>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</si>
  <si>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</si>
  <si>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</si>
  <si>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</si>
  <si>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</si>
  <si>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</si>
  <si>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</si>
  <si>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</si>
  <si>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</si>
  <si>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</si>
  <si>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</si>
  <si>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</si>
  <si>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</si>
  <si>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</si>
  <si>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</si>
  <si>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</si>
  <si>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</si>
  <si>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</si>
  <si>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</si>
  <si>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</si>
  <si>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</si>
  <si>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</si>
  <si>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</si>
  <si>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</si>
  <si>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</si>
  <si>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</si>
  <si>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</si>
  <si>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</si>
  <si>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</si>
  <si>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</si>
  <si>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</si>
  <si>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</si>
  <si>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</si>
  <si>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</si>
  <si>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</si>
  <si>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</si>
  <si>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</si>
  <si>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</si>
  <si>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</si>
  <si>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</si>
  <si>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</si>
  <si>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</si>
  <si>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</si>
  <si>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</si>
  <si>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</si>
  <si>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</si>
  <si>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</si>
  <si>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</si>
  <si>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</si>
  <si>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</si>
  <si>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</si>
  <si>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</si>
  <si>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</si>
  <si>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</si>
  <si>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</si>
  <si>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</si>
  <si>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</si>
  <si>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</si>
  <si>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</si>
  <si>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</si>
  <si>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</si>
  <si>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</si>
  <si>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</si>
  <si>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</si>
  <si>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</si>
  <si>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</si>
  <si>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</si>
  <si>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</si>
  <si>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</si>
  <si>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</si>
  <si>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</si>
  <si>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</si>
  <si>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</si>
  <si>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</si>
  <si>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</si>
  <si>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</si>
  <si>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</si>
  <si>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</si>
  <si>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</si>
  <si>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</si>
  <si>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</si>
  <si>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</si>
  <si>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</si>
  <si>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</si>
  <si>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</si>
  <si>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</si>
  <si>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</si>
  <si>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</si>
  <si>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</si>
  <si>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</si>
  <si>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</si>
  <si>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</si>
  <si>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</si>
  <si>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</si>
  <si>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</si>
  <si>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</si>
  <si>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</si>
  <si>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</si>
  <si>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</si>
  <si>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</si>
  <si>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</si>
  <si>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</si>
  <si>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</si>
  <si>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</si>
  <si>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</si>
  <si>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</si>
  <si>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</si>
  <si>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</si>
  <si>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</si>
  <si>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</si>
  <si>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</si>
  <si>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</si>
  <si>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</si>
  <si>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</si>
  <si>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</si>
  <si>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</si>
  <si>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</si>
  <si>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</si>
  <si>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</si>
  <si>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</si>
  <si>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</si>
  <si>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</si>
  <si>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</si>
  <si>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</si>
  <si>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</si>
  <si>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</si>
  <si>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</si>
  <si>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</si>
  <si>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</si>
  <si>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</si>
  <si>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</si>
  <si>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</si>
  <si>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</si>
  <si>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</si>
  <si>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</si>
  <si>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</si>
  <si>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</si>
  <si>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</si>
  <si>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</si>
  <si>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</si>
  <si>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</si>
  <si>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</si>
  <si>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</si>
  <si>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</si>
  <si>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</si>
  <si>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</si>
  <si>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</si>
  <si>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</si>
  <si>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</si>
  <si>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</si>
  <si>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</si>
  <si>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</si>
  <si>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</si>
  <si>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</si>
  <si>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</si>
  <si>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</si>
  <si>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</si>
  <si>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</si>
  <si>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</si>
  <si>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</si>
  <si>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</si>
  <si>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</si>
  <si>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</si>
  <si>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</si>
  <si>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</si>
  <si>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</si>
  <si>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</si>
  <si>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</si>
  <si>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</si>
  <si>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</si>
  <si>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</si>
  <si>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</si>
  <si>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</si>
  <si>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</si>
  <si>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</si>
  <si>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</si>
  <si>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</si>
  <si>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</si>
  <si>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</si>
  <si>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</si>
  <si>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</si>
  <si>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</si>
  <si>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</si>
  <si>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</si>
  <si>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</si>
  <si>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</si>
  <si>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</si>
  <si>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</si>
  <si>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</si>
  <si>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</si>
  <si>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</si>
  <si>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</si>
  <si>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</si>
  <si>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</si>
  <si>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</si>
  <si>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</si>
  <si>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</si>
  <si>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</si>
  <si>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</si>
  <si>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</si>
  <si>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</si>
  <si>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</si>
  <si>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</si>
  <si>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</si>
  <si>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</si>
  <si>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</si>
  <si>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</si>
  <si>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</si>
  <si>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</si>
  <si>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</si>
  <si>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</si>
  <si>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</si>
  <si>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</si>
  <si>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</si>
  <si>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</si>
  <si>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</si>
  <si>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</si>
  <si>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</si>
  <si>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</si>
  <si>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</si>
  <si>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</si>
  <si>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</si>
  <si>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</si>
  <si>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</si>
  <si>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</si>
  <si>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</si>
  <si>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</si>
  <si>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</si>
  <si>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</si>
  <si>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</si>
  <si>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</si>
  <si>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</si>
  <si>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</si>
  <si>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</si>
  <si>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</si>
  <si>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</si>
  <si>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</si>
  <si>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</si>
  <si>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</si>
  <si>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</si>
  <si>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</si>
  <si>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</si>
  <si>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</si>
  <si>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</si>
  <si>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</si>
  <si>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</si>
  <si>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</si>
  <si>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</si>
  <si>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</si>
  <si>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</si>
  <si>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</si>
  <si>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</si>
  <si>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</si>
  <si>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</si>
  <si>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</si>
  <si>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</si>
  <si>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</si>
  <si>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</si>
  <si>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</si>
  <si>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</si>
  <si>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</si>
  <si>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</si>
  <si>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</si>
  <si>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</si>
  <si>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</si>
  <si>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</si>
  <si>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</si>
  <si>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</si>
  <si>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</si>
  <si>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</si>
  <si>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</si>
  <si>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</si>
  <si>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</si>
  <si>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</si>
  <si>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</si>
  <si>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</si>
  <si>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</si>
  <si>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</si>
  <si>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</si>
  <si>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</si>
  <si>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</si>
  <si>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</si>
  <si>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</si>
  <si>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</si>
  <si>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</si>
  <si>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</si>
  <si>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</si>
  <si>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</si>
  <si>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</si>
  <si>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</si>
  <si>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Nombre: Mónica Libia de la Cruz Villota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</si>
  <si>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</si>
  <si>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</si>
  <si>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</si>
  <si>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</si>
  <si>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</si>
  <si>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</si>
  <si>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</si>
  <si>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</si>
  <si>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</si>
  <si>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</si>
  <si>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</si>
  <si>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</si>
  <si>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</si>
  <si>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</si>
  <si>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</si>
  <si>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</si>
  <si>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</si>
  <si>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</si>
  <si>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</si>
  <si>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</si>
  <si>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</si>
  <si>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</si>
  <si>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</si>
  <si>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</si>
  <si>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</si>
  <si>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</si>
  <si>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</si>
  <si>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</si>
  <si>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</si>
  <si>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</si>
  <si>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</si>
  <si>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</si>
  <si>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</si>
  <si>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</si>
  <si>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</si>
  <si>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</si>
  <si>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</si>
  <si>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</si>
  <si>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Andrea Milena Parada Ortiz</t>
  </si>
  <si>
    <t>Cargo: Profesional Universitaria Dirección de Talento Humano</t>
  </si>
  <si>
    <t>Nombre: Dayra Marcela Aldana Diaz</t>
  </si>
  <si>
    <t>Nombre: Lida Cubillos Hernandez</t>
  </si>
  <si>
    <t>Cargo: Contratista - Oficina Asesora de Planeación</t>
  </si>
  <si>
    <r>
      <t xml:space="preserve">En el mes de julio se realizaron las siguientes actividades:
-Entrega de instrumento de medición del MSPI con corte a 30 de junio avance del 56% 
-Eentrega del instrumento de medición de GAP de datos personales % de avance del 40%
-Se envio plan a la jefa de OAP con corte a 31 de julio para desarrollar el cierre de las principales brechas del semestre.
</t>
    </r>
    <r>
      <rPr>
        <b/>
        <sz val="11"/>
        <rFont val="Times New Roman"/>
        <family val="1"/>
      </rPr>
      <t>Con corte al 30 de julio se avanzó en la presentación de actividades macro ante el comité de gestión institucional para los avances a realizar en la vigencia 2023 del plan de seguridad de información y plan de gestión de riesgos de seguridad y los proyectos del PETI.</t>
    </r>
  </si>
  <si>
    <r>
      <rPr>
        <b/>
        <sz val="11"/>
        <rFont val="Times New Roman"/>
        <family val="1"/>
      </rPr>
      <t>"Con corte a 31 de julio se han atendido 865 requerimientos de soporte a la fecha</t>
    </r>
    <r>
      <rPr>
        <sz val="11"/>
        <rFont val="Times New Roman"/>
        <family val="1"/>
      </rPr>
      <t xml:space="preserve">, en el mes de junio se atendieron 76 ,se realizó 2 actualización del aplicativo en el mes de julio, consolidado a corte 20 actualizaciones al aplicativo, se solicitaron 2 requerimientos adicionales que se encuentran en validación para un total a corte de 31 de julio de 21 requerimientos adicional para mejoras en sistema del aplicativo Icops.
Se genero división del estado de orden de pago para generar retenciones y aprobación de retenciones por parte de contabilidad en los OPS
</t>
    </r>
    <r>
      <rPr>
        <b/>
        <sz val="11"/>
        <rFont val="Times New Roman"/>
        <family val="1"/>
      </rPr>
      <t>Con corte a 31 de julio se han atendido 2000 requerimientos</t>
    </r>
    <r>
      <rPr>
        <sz val="11"/>
        <rFont val="Times New Roman"/>
        <family val="1"/>
      </rPr>
      <t xml:space="preserve">, en el mes de julio se recibieron 294 requerimientos relacionados con soporte a la página Web, los cuales corresponden a actualización de contenido y de funcionalidades.
</t>
    </r>
    <r>
      <rPr>
        <b/>
        <sz val="11"/>
        <rFont val="Times New Roman"/>
        <family val="1"/>
      </rPr>
      <t>Con corte a 31 de julio se ha realizado el alistamiento, configuración y actualización de los servidores que soportan los aplicativos de la entidad y portales institucionales con el fin de garantizar que los aplicativos estén disponibles y asegurados para los servicios de la entidad.</t>
    </r>
    <r>
      <rPr>
        <sz val="11"/>
        <rFont val="Times New Roman"/>
        <family val="1"/>
      </rPr>
      <t xml:space="preserve">
En el mes de julio se realizaron las siguientes actividades con el fin de garantizar la correcta operación de los servicios, sistemas de información de la entidad:
 Se realizaron 29 publicaciones en Intranet
Se encuentra en pruebas chat bot para whatsapp de manzanas de cuidado
Se realizó actualización de la encuesta de satisfacción de servicios y estrategias de la SDMujer de acuerdo a requerimiento y se inactivo el formulario para registro de información de la aplicación del decreto 332 de 2020 de  acuerdo a requerimiento.</t>
    </r>
  </si>
  <si>
    <r>
      <t>"</t>
    </r>
    <r>
      <rPr>
        <b/>
        <sz val="11"/>
        <rFont val="Times New Roman"/>
        <family val="1"/>
      </rPr>
      <t>Con corte al mes de julio se cuenta con 5.331 suscripciones de productos con Microsoft, incluyendo las Powers BI, de las cuales se están utilizando 5.286 (99% de utilización)</t>
    </r>
    <r>
      <rPr>
        <sz val="11"/>
        <rFont val="Times New Roman"/>
        <family val="1"/>
      </rPr>
      <t>.
Para el mes de julio se realizó avance de las siguientes actividades con el fin de garantizar el Funcionamiento, soporte y mantenimiento de los servicios que presta Infraestructura y telecomunicaciones en la Secretaría:
-Mantenimiento de los RACK de las CIOM y CID por parte del grupo de soporte de gestión tecnológica
-Instalación y configuración del canal de datos de 25 m y los AP de la sede de archivo
-Suspensión de 3 planes de celular que no estaban siendo utilizados 
- Mantenimiento y actualización del equipo de seguridad de Fortinet 
Se instalo herramienta de monitoreo para servidores de equipos de comunicaciones ZABBIX,se encuentra en pruebas 
-Configuración y actualización de los switch de acceso
-De los procesos en curso: aire acondicionado (solicitud de información a proveedores SP-024-2023), UPS (respuesta a observaciones para firma de documentación y envió a contratos), proyección de video (el proceso se declaró desierto), DLP (se realizó documentación para contratación) smartnet (respuesta a observaciones).
-Se dio inicio al contrato de Oracle orden de compra 113288 cto 987 de 2023.
-Se envió a Contratación anexo técnico  ajustado de herramienta de desarrollo Toad  (se remitió a abogada Paola documentos del proceso para envió a contratación ) licencias Adobe (se elaboró acta de recomendación de adjudicación)</t>
    </r>
  </si>
  <si>
    <t xml:space="preserve">Se dio inicio al contrato de Oracle orden de compra 113288 cto 987 de 2023.
En el mes de julio se realiza seguimiento a la atención y  gestión de los requerimientos y/o incidentes solicitados por mesa de ayuda </t>
  </si>
  <si>
    <t>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realiza seguimiento permanente a la gestión de requerimiento y/o incidentes con la finalidad de garantizar la correcta operación de los servicios.
Se suscribió contrato 951 de 2023 con la empresa de telecomunicaciones ETB
Se suscribió IAAS y PAAS Orden de compra No. 108689 contrato 914-2023
Se suscribió el contrato 952 Kawak
Se suscribió contrato  Microsoft 932 de 2023
Se suscribió adquisición de certificados SSL contrato 975 de 2023</t>
  </si>
  <si>
    <t>El proceso de contratación del profesional de seguridad se suscribio el 30 de Junio por ende se inicia proceso de empalme para poner al día los temas referentes a Gobierno Digital y Seguridad Digital.</t>
  </si>
  <si>
    <r>
      <rPr>
        <b/>
        <sz val="11"/>
        <rFont val="Times New Roman"/>
        <family val="1"/>
      </rPr>
      <t>Algunos de los principales  beneficios que se han logrado con corte a 30 de julio son:</t>
    </r>
    <r>
      <rPr>
        <sz val="11"/>
        <rFont val="Times New Roman"/>
        <family val="1"/>
      </rPr>
      <t xml:space="preserve">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</si>
  <si>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JULIO se tramitaron 76 respuestas a requerimientos asignados a la OAJ en los términos legales establecidos y de acuerdo con el marco normativo vigente, para un TOTAL con CORTE A 31 de JULIO de 316 respuestas emitidas.</t>
  </si>
  <si>
    <t>1. Durante el mes de julio  se adelantó el 4%  del avance presupuestado para este mes para la suscripción de  contratos y modificaciones contractuales. 
Para este mes se suscribieron un total de 13 contratos por modalidad de contratación directa ,  1 contrato contrato por madalidad de selección  "Licitación Publica", y  dos (2)  contratos  selección abreviada Acuerdo Marco de Precios                                                             
Por lo que se evanzo en un 4% en la contratación y un 100% en modificaciones.</t>
  </si>
  <si>
    <t>1. Con corte al mes de julio,  se  ha suscrito 914 contratos por prestación de Servicios Profesionales y de Apoyo a la gestión de los 954 programados,  haciendo falta un aproximado de 40 solicitudes de contratación por radicar las áreas en la Dirección de Contratación, Logrando así que la entidad en general cuente con los profesionales requeridos para coayudar al cumplimiento de las metas planes y proyectos institucionales
2. Por otro lado,  durante el mes de enero a julio se adelantaron la totalidad de los tramites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96 % de cumplimiento en la contratación de Prestación de Servicios Profesionales y de Apoyo a la gestión y un 100% en otros trámites,</t>
  </si>
  <si>
    <t>1.  A la fecha los retrazos presentados por devoluciones de documentos contractuales han sido solucionado en la mayoria de los casos inmediatamente</t>
  </si>
  <si>
    <t xml:space="preserve"> Con la suscripcion de 914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21 contratos nuevos  de arrendamiento y la adición prorroga de uno,   las casas de igualdad y oportunidades, la entidad y la casa de todas, siguen pretando los servicios ofertados  a todas la mujeres que hacen uso de estos,             
Por otro lado, a corte 31  de julio, la entidad ha suscrito 23 contratos por otras modalidades de selección los cuales son importantes para garantizar el adecuado funcionamiento y la prestacion del  servico  de oferta institucional                                                       </t>
  </si>
  <si>
    <t>1. En el mes de julio se realizó apoyo en el análisis y revisión jurídica de la contratación de la entidad con la suscripción de 13 contratos por modalidad de contratación directa ,  1 contrato contrato por madalidad de selección  "Licitación Publica", y  dos (2)  contratos  selección abreviada Acuerdo Marco de Precios
2. En el mes de julio se realizó la elaboración y publicación de los informes de seguimiento a la gestión de PQRS y atención a la ciudadanía, correspondientes al mes de junio y al segundo trimestre de 2023,y con corte al mes de julio los informes del mes de diciembre, trimestral (cuarto trimestre del año 2022), enero, febrero, marzo, abril, mayo  y trimestral (primer y segundo trimestre 2023).  
3. En el mes de julio y en lo recorrido del año 2023, se ha realizado el seguimiento semanal a las dependencias de la entidad de la gestión de peticiones ciudadanas, dentro de los términos estipulados por la ley en el Sistema Distrital para la Gestión de Peticiones Ciudadanas – Bogotá te escucha. 
4. En el mes de julio y en lo recorrido del año 2023 se ha realizado seguimiento a los planes de mejoramiento internos y externos en el Sistema Integrado de Gestión- aplicativo Lucha, de las direcciones y/o equipos que hacen parte de la Corporativa. 
5. En el mes de julio  y en lo recorrido del año se ha dado respuesta a requerimientos de la Contraloría de Bogotá, Contraloría Gneral de la República y a la Personería de Bogotá. 
6. En julio y en lo recorrido del año se realizó seguimiento a la ejecución presupuestal de 11 proyectos de inversión, evidenciando una ejecución total de inversión del  93.76% giros del 35.04%  y funcionamiento 58.01%  y giros de 51.06%.</t>
  </si>
  <si>
    <t xml:space="preserve">La Dirección de Contratación, en el mes de julio  en el marco del proyecto de inversión 7662 recibió  1 solicitudes de contratación, para un total  a corte  del mes de julio  de  142 solicitudes de contracción.
Por otro lado, recibió un total de 15 solicitudes  de contratación por  otros proyectos de invesión , para un total  a corte  del mes de julio  de  820 solicitudes de contracción.
De acuerdo a lo anterior,  entre el mes de enero a julio la Dirección de Contratación  recibió un total de 962 solicitudes, las cuales fueron tramitadas y a su vez se suscribieron los respectivos contratos. 
Así mismo, en el mes de julio se realizó 40 modificaciones entre las cuales se encuentran, Adiciones, Adiciones y Prórroga, Prórroga, Terminaciones Anticipadas, Otro Sí Modificatorios, Cesiones,  liquidaciones, Aclaratorios entre otros, para un total de 181 modificaciones aproximadamente. </t>
  </si>
  <si>
    <t>En el mes de julio se realizó caminata, entrega detalles autocuidado, PAP, feria de servicios educativos y pausa mental. Capacitación en derecho al hábitat, Circular 012 de 2023, incumplimiento contractual y decreto 332. Afiliaciones ARL, sesión COPASST, seguimiento condiciones salud, inspección puestos de trabajo, investigación accidentes, capacitación resolución de conflictos, exámenes médicos e indicadores. Se realizaron los trámites correspondientes a EDL y AG y se gestionaron las situaciones administrativas de vacancia temporal, derogatorias de nombramientos, nombramientos en periodo de prueba, encargos, licencias, vacaciones, primas técnicas, liquidaciones y horas extra. 
De enero a julio de 2023, DTH formuló el PETH y 5 planes anexos aprobados por MIPG. Día autocuidado, caminata ecológica, día salud de las mujeres, pausas mentales, ferias de servicios, profesiones, PAP, película ALI, conmemoración 8M, bolos, incentivos y mindfulness; curso gobernanza, atención mujeres en sus diferencias y diversidades, inducción, Big Data, SQL, Power BI, políticas públicas, nuevos IP, gestión e incumplimiento contractual, transversalización PPMYEG, LUCHA, SIMISIONAL, Mesa de Ayuda, lenguaje incluyente, prevención violencias contra las mujeres y sistema de cuidado, capacitación en derecho al hábitat, Circular 012 de 2023 y decreto 332; condiciones de salud, afiliaciones ARL, autoevaluación SG-SST, exámenes médicos, elección y sesiones del COPASST y CCL, prevención psicosocial, inspección puestos de trabajo, investigación accidentes, entrega EPP, botiquines, semana de la salud y capacitación brigada. Por otra parte, provisión de empleos, teletrabajo, horario flexible, primas técnicas, vinculaciones pasantes, pago ARL, licencias, vacaciones, horas extra, compensatorios, liquidaciones, renuncias y encargos. Acciones de EDL, seguimiento a provisionales, AG, concertaciones, encargos, seguimiento y gestión a solicitudes</t>
  </si>
  <si>
    <t xml:space="preserve">Durante el mes de julio, se atendieron todas las solicitudes de certificados presupuestales recibidas expidiendo lo que se relaciona a continuación:
- 45 Certificados de Disponibilidad Presupuestal -CDP
- 72 Certificados de Registro Presupuestal - CRP
Entre el período comprendido entre los meses de enero a 31 de julio de 2023, las expediciones acumuladas, son las siguientes: 
- 1.312  Certificados  de Disponibilidad Presupuestal . CDP
- 1.330  Certificados de Registro Presupuestal - CRP
Lo anterior refleja un avance en la ejecución presupuestal del 86% y de giros de 39% con corte al mes de julio."       </t>
  </si>
  <si>
    <t xml:space="preserve">Para el mes de julio de 2023, se recibieron por mesa de ayuda 126 solicitudes, de las cuales 44 de ellas corresponden  a requerimientos de mantenimiento locativo, equivale al 35% , para el área de almacen se registraton 82 solicitudes equivalentes al 65%.  Del total de los requerimientos se gestionaron el 100% dando una primera respuesta y seguimiento de los casos. Dentro del mes se cerraron 67 mesas de ayudas equivalentes a un 53% teniendo en cuenta las diferentes variables que se presentan para dar pronta solucion a los requerimientos. 
En el acumulado de las mesas de ayuda recibidas  de enero a julio del 2023 fueron 831, de las cuales en estado cerrada tenemos 697 mesas de ayuda equivalentes al 84% y en estado en espera 134 mesas de ayuda equivalente al 16%. Por otra parte se informa que la toma física de inventarios inició al cronograma aprobado para la vigencia 2023 en el mes de enero."      </t>
  </si>
  <si>
    <t>Con corte al 31 de julio de la vigencia 2023, se realizó transferencia primaria de la Dirección de Talento humano, para un total de 5 cajas equivalentes a 1,25 metros lineales de los 55 metros proyectados.
Del mes de enero al mes de julio, se tienen un total de 29,25 metros lineales, cumpliendo con la meta propuesta para el reporte al mes de julio.</t>
  </si>
  <si>
    <t>Con corte a 31 de julio de la vigencia 2023, Adicionalmente se realizó clasificación y realmacenamiento (cambio de cajas) de 30 cajas equivalentes a 7,5 metros lineales de la Dirección Eliminación de las Violencias contra las Mujeres y Acceso a la Justicia en Archivo Central, y se realizó intervención archivística (clasificación, ordenación, foliación) de 28 cajas equivalentes a 7 metros lineales de la Dirección Administrativa y Financiera, proceso almacén, para un total de 58 cajas equivalentes a 14,5 metros lineales; para un acumulado de 93,5 metros lineales, de los 150 proyectados.</t>
  </si>
  <si>
    <t xml:space="preserve">Con corte al 31 de julio de la vigencia 2023, se llevaron a cabo mesas de trabajo para realizar la actualización a las TRD de la SDMujer. Por otro lado, se realizaron 8 sensibilizaciones a las dependencias a nivel central de acuerdo al plan de sensibilizaciones vigencia 2023 con la temática Eliminación de Documentos de acuerdo a TRD y Sistema Funcional ORFEO. Asimismo, se realizaron 4  visitas de seguimiento a nivel central y 2 visitas de seguimiento a las CIOM, con la finalidad de hacer seguimiento a la organización documental, de acuerdo al cronograma 2023. </t>
  </si>
  <si>
    <t xml:space="preserve">Con corte a 31 de julio de la vigencia 2023,  y como parte de la implementación del Sistema Integrado de Conservación- SIC, se realizaron tres sensibilizaciones a las CIOM (Usme, Sumapaz, Tunjuelito, San Cristóbal, Candelaria, Antonio Nariño, Puente Aranda, Mártires, Kennedy, Teusaquillo, Usaquén, Suba, Rafael Uribe Uribe, Fontibón, Ciudad Bolívar). Además, se realizaron dos visitas de seguimiento a las CIOM Barrios Unidos y Chapinero y se realizó medición de condiciones ambientales: Iluminación y medición de partículas en los espacios de Archivo Central, Archivo de gestión centralizado y Archivo de Talento Humano (Edificio Elemento). </t>
  </si>
  <si>
    <t>Con corte a 31 de julio de la vigencia 2023 , se ha iniciado el proyecto para incorporar la firma electrónica en los radicados de salida generados en el Sistema de Gestión Documental Orfeo. Estos documentos deben ser firmados por los jefes de las Dependencias y, para cumplir con los requisitos del Archivo Distrital de Bogotá, se están llevando a cabo mesas técnicas con los equipos de Gestión Documental, Atención a la Ciudadanía y la Oficina Asesora de Planeación para identificar las mejores opciones, dando cumplimiento a las actividades contempladas en el Plan de Preservación Digital a Largo Plazo.</t>
  </si>
  <si>
    <t xml:space="preserve">Con corte al 31 de julio de la vigencia 2023, se realizó transferencia primaria de la Dirección de Talento humano para un total de 5 cajas equivalentes a 1,25 metros lineales de los 55 metros proyectados.
Del mes de enero al mes de julio, se tienen un total de 29,25 metros lineales, cumpliendo con la meta propuesta para el reporte al mes de julio.
Adicionalmente se realizó clasificación y realmacenamiento (cambio de cajas) de 30 cajas equivalentes a 7,5 metros lineales de la Dirección Eliminación de las Violencias contra las Mujeres y Acceso a la Justicia, y se realizó intervención archivística (clasificación, ordenación, foliación) de 28 cajas equivalentes a 7 metros lineales de la Dirección Administrativa y Financiera, proceso almacén, para un total de 58 cajas equivalentes a 14,5 metros lineales de los 150 programados, cumpliendo así con la meta mensual.
Además, se realizaron cuatro visitas de seguimiento a las dependencias Subsecretaría de Gestión Corporativa, Dirección de Talento Humano, Dirección de Contratación y Dirección Administrativa y Financiera – Proceso Gestión Documental con la finalidad de hacer seguimiento a la organización documental. Asimismo, se realizaron ocho sensibilizaciones a nivel central frente al tema Eliminación de documentos de acuerdo a TRD y Sistema Funcional ORFEO, dando cumplimiento al cronograma de Sensibilizaciones vigencia 2023.
En el proceso de actualización de Instrumentos Archivísticos se ha avanzado en los ajustes de las Tablas de Retención Documental, llevando a cabo 13 mesas de trabajo.
Por otro lado, se realizaron tres sensibilizaciones a las CIOM (Usme, Sumapaz, Tunjuelito, San Cristóbal, Candelaria, Antonio Nariño, Puente Aranda, Mártires, Kennedy, Teusaquillo, Usaquén, Suba, Rafael Uribe Uribe, Fontibón, Ciudad Bolívar). Además, se realizaron dos visitas de seguimiento a las CIOM Barrios Unidos y Chapinero y se realizó medición de condiciones ambientales: Iluminación y medición de partículas en los espacios de almacenamiento de Archivo, cumpliendo con la implementación SIC en su Plan de Conservación Documental.
Asimismo, se dio inicio a mesas de trabajo con los equipos de Gestión Documental, Atención a la Ciudadanía y la Oficina Asesora de Planeación para incorporar la firma electrónica en los radicados de salida generados en el Sistema de Gestión Documental Orfeo y se gestionaron 50 mesas de ayuda, dando cumplimiento a las actividades contempladas en el SIC - Plan de Preservación Digital a Largo Plazo. </t>
  </si>
  <si>
    <t xml:space="preserve">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y Dirección de Talento Humano con 1,25 metros lineales para un total de 116 cajas equivalentes a 29,25 metros lineales de los 55 metros proyectados.
El total de archivos intervenidos en metros lineales se generó así: Para el mes de enero se consolida la contratación del recurso necesario profesionales, técnicos y auxiliares para ejecutar las actividades programadas para la vigencia, para el mes de febrero se intervinieron 15 metros lineales, para el mes de marzo 8,25 metros lineales, para el mes de abril 16,25 metros  lineales, para el mes de mayo 14 metros lineales, para el mes de junio 24,5 metros lineales, para el mes de julio 14,5 metros lineales para un acumulado de 93,5 metros lineales, de los 150 proyectados.
Por otro lado, se atendió la encuesta de seguimiento estratégico a la Gestión Documental Archivo de Bogotá y se recibe informe con un avance del 79% para la SDMujer. Asimismo, se obtuvo aprobación de concepto técnico para traslado de bodega por parte del Archivo de Bogotá. Se formalizó contrato No. 944 de 2023, cumpliendo con la implementación del Sistema Integrado de Conservación- SIC en su Plan de Conservación Documental. se inició la elaboración del documento "Esquema de Metadatos", con base en los lineamientos dados por el Archivo Distrital de Bogotá y el Archivo General de la Nación, y en cumplimiento de las normas que aplican para este tipo de documentos. Se continuó con la realización de las mesas técnicas y desarrollos para fortalecer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De igual manera, se realizaron las actividades de traslado  pertenenciente a la documentación de la SDMujer, y posteriormente, se realizaron las actividades de organización y ubicación topografica y cambio parcial de las unidades de almacenamiento , cumpliendo con la implementación del Sistema Integrado de Conservación- SIC en su Plan de Conservación Documental.
Asimismo, se llevó a cabo la actualización del instructivo GD-IN-1 - ORGANIZAR Y ADMINISTRAR EL ARCHIVO y  se han realizado mesas de trabajo para realizar la actualización a las TRD de la SDMujer.  Adicionalmente,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tro lado, se inicia con la definición del Instrumento ArchivÍstico Modelo de Requisitos del Sistema de Documentos  Electrónicos de Archivo con base en lo establecido en el Decreto 1080 de 2015.
Por otro lado, se realizaron tres sensibilizaciones a las CIOM (Usme, Sumapaz, Tunjuelito, San Cristóbal, Candelaria, Antonio Nariño, Puente Aranda, Mártires, Kennedy, Teusaquillo, Usaquén, Suba, Rafael Uribe Uribe, Fontibón, Ciudad Bolívar). Además, se realizaron dos visitas de seguimiento a las CIOM Barrios Unidos y Chapinero y se realizó medición de condiciones ambientales: Iluminación y medición de partículas en los espacios de almacenamiento de Archivo, cumpliendo con la implementación SIC en su Plan de Conservación Documental.
Asimismo, se dio inicio a mesas de trabajo con los equipos de Gestión Documental, Atención a la Ciudadanía y la Oficina Asesora de Planeación para incorporar la firma electrónica en los radicados de salida generados en el Sistema de Gestión Documental Orfeo, y se gestionaron 50 mesas de ayuda, dando cumplimiento a las actividades contempladas en el SIC - Plan de Preservación Digital a Largo Plazo. </t>
  </si>
  <si>
    <t>No aplica</t>
  </si>
  <si>
    <t>El avance en las actividades hasta la fecha ha fortalecido la gestión  y seguimiento a la implementación de la Gestión Documental. La integración e identificación física y electrónica de todos los documentos ha permitido evitar la pérdida de la documentación y reducir el tiempo de respuesta .
De igual manera, se ha dado cumplimiento a la normatividad vigente en la implementación de los Instrumentos Archivísticos. Estos instrumentos ayudan a estandarizar y estructurar los procesos de Gestión Documental, dando un  valor correspondiente a la documentación,permitiendo realizar controles y seguimiento a la información producida, lo que facilita la toma de decisiones en el marco de la misionalidad de la entidad.</t>
  </si>
  <si>
    <t>Con corte a 31 de julio: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1 y 2 trimestre del 2023 en la plataforma Segplan y la reformulación del 2023. 
- Se han elaborado respuestas y consolidado insumos para atender derechos de petición, proposiciones y requerimientos de información.
En el mes de julio:
- Se realizó la revisión del reporte de seguimiento del plan de acción con corte al 30 de junio de 2023.
- Se realizó el correspondiente acompañamiento en el cargue del seguimiento con corte al 30 de junio de 2023 en DNP-SPI y Segplan.
- Se dió respuesta a requerimientos de información: (i) Requerimientos de la Personería sobre los proyectos 7734 y 7739 en el marco de la visita administrativa; (ii) Informe Avances en el Ejercicio de la Participación Ciudadana y del Control Social sobre la Gestión Pública - Comisión Regional de Moralización Bogotá y (iii) Derecho de petición Brayan Smit Duarte</t>
  </si>
  <si>
    <t>El siguiente es el avance del PAA 2023 en su versión 2 a julio del año en curso: AUDITORÍAS: Se llevó a cabo el cierre de dos (2) auditorias de los procesos de Gestión de Políticas Públicas y Planeación y Gestión con la emisión de los informes finales con memorando interno y la publicación en pág web institucional, asi como inició la etapa de planeación de la auditoría al proceso de Gestión Tecnológica. INF. REGLAMENTARIOS: Se emitieron y publicaron en pág web los informes finales de Evaluación Independiente SCI, actividad de auditoría interna del  primer semestre 2023 y el Seguimiento a la Política de Archivos y Gestión Documental. Además, esta en etapa de planeación el Informe de Seguimiento a PQRS primer semestre 2023 y se viene ejecutando el Seguimiento a las medidas de Austeridad del Gasto (2 Trim 2023) y el Seguimiento al cumplimiento de la función disciplinaria. Se llevaron a cabo actividades de asesorías, acompañamientos (Secretaria Técnica CICCI, Líneas de defensa, PMI, PME, enlaces MIPG y participación comités CGD y Conciliación) y atención a entes de control (Participación apertura Auditoría Desempeño Contraloría Bogotá PAD 2023 y respuesta requerimiento PME Contraloría).
En cuanto a la ejecución acumulada de la presente meta, con corte a 31 de julio de 2023 se han emitido y publicado un total de cuatro (4) informes de auditoría, tres (3) informes de seguimiento y veinte (20) informes reglamentarios para un total de veintisiete (27) informes del total de cuarenta y nueve (49) informes programados en el PAA 2023 versión 2, lo que corresponde a un 55% de ejecución.</t>
  </si>
  <si>
    <t>Con corte al mes de julio de 2023, se realizó seguuimiento planes Furag de acuerdo con cronograma a temas a presentar comité MIPG, se efectuo el cargue del formulario FURAG a la herramienta de DAFP, se continua con la ejecución de las actividades de PIGA, riesgos y actualizacion de processos. En la sesión del Comité Institucional de Gestión y Desempeño se presentarón temas de seguimiento planes Furag, seguimientos a informes de gestión y respuestas a diferentes entes de control.</t>
  </si>
  <si>
    <t>En lo transcurrido a julio 31 de 2023, se han llevado los temas programados al comite de MIPG que se realiza mensualmente para sus aprobaciones y socializaciones respectivas como planes Furag, cambios en planes institucionales, igualmente se diligencio FURAG 2022, se actualizaron los documentos solicitados por las áreas, se continua con los seguimientos y asesorías en materia de riesgos, se da cumplimiento a las actividades del plan PIGA y se enviaron los formularios diligenciados de los indices de Transparencia de Bogotá y de Innovación Pública.</t>
  </si>
  <si>
    <t>No hubo retrasos</t>
  </si>
  <si>
    <t xml:space="preserve">Implementar y mantener el modelo integrado de planeación y Gestión de la entidad - MIPG
Puesta en marcha de las buenas practicas en la entidad para la implementacion de las politicas del MIPG enmarcadas en los planes de mejora FURAG    
   </t>
  </si>
  <si>
    <r>
      <rPr>
        <b/>
        <sz val="11"/>
        <rFont val="Times New Roman"/>
        <family val="1"/>
      </rPr>
      <t xml:space="preserve">En el mes de julio:
</t>
    </r>
    <r>
      <rPr>
        <sz val="11"/>
        <rFont val="Times New Roman"/>
        <family val="1"/>
      </rPr>
      <t xml:space="preserve"> Se actualizaron 20 documentos de diferentes procesos de la entidad y se atendieron 23 solicitudes en mesa de ayuda y correo sobre LUCHA. 
 Planes de mejoramiento: Se atienden 12 solicitudes de las 12 recibidas, teniendo un avance del 100%. 
 Se realizó comité MIPG No 8 presentando resultados de Planes de mejora Furag,planes institucionales e informes de gestión. Sediligencio FURAG 2022, se presenta propuesta estrategia rendición de cuentas.
Se realizo el acompañamiento a  Gestión administrativa,  Transversalizacion  y  Gestion de Politicas Publicas  en cinco oportunidades donde se oriento sobre la calificacion de Impacto y probabiidad, sa capacito a los nuevos enlaces y se oriento sobre el cargue de las evidencias 
Se realizan reportes viajes en bici. Recolección de residuos con potencial aprovechable, publicaciones ambientales en Boletina, seguimiento a consumos de agua y energía, informe de avance PIGA en Comité MIPG, gestión de nuevas piezas ambientales, análisis de publicaciones ambientales, informes remitidos a UAESP
</t>
    </r>
    <r>
      <rPr>
        <b/>
        <sz val="11"/>
        <rFont val="Times New Roman"/>
        <family val="1"/>
      </rPr>
      <t xml:space="preserve">Con corte al 31 de Julio: 
</t>
    </r>
    <r>
      <rPr>
        <sz val="11"/>
        <rFont val="Times New Roman"/>
        <family val="1"/>
      </rPr>
      <t>Durante lo transcurrido de esta vigencia se han atendido 118 solicitudes de documentos, gestión de usuarios LUCHA y capacitaciones del SIG.
 Durante lo transcurrido de esta vigencia se han atendido 56 solicitudes de planes de mejora y se cuenta con 442 acciones abiertas de las cuales el 66% se encuentran con un 100% de ejecución 
Se generan Informes de gestión residuos con potencial aprovechable, de actividades  plan de acción interno para la UAESP, informe de austeridad de servicios agua, energía, telefonía fija y celular, viajes en bici, reencauche de llantas a SDA, Suministro información Austeridad y recorrido revisión,
Se realizó acompañamiento a los procesos para la revisión de  los riesgos y controles asociados a riesgos de gestion y corrupción recalificando su impacto y probabilidad de acuerdo con la guia del DAFP, el avance general es del 56%  de lo progamado para el 2023</t>
    </r>
  </si>
</sst>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s>
  <fonts count="103">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b/>
      <sz val="9"/>
      <name val="Tahoma"/>
      <family val="2"/>
    </font>
    <font>
      <sz val="9"/>
      <name val="Tahoma"/>
      <family val="2"/>
    </font>
    <font>
      <b/>
      <sz val="14"/>
      <name val="Tahoma"/>
      <family val="2"/>
    </font>
    <font>
      <sz val="14"/>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b/>
      <sz val="8"/>
      <color indexed="49"/>
      <name val="Verdana"/>
      <family val="2"/>
    </font>
    <font>
      <sz val="10"/>
      <color indexed="8"/>
      <name val="Calibri"/>
      <family val="2"/>
    </font>
    <font>
      <sz val="12"/>
      <color indexed="8"/>
      <name val="Times New Roman"/>
      <family val="1"/>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b/>
      <sz val="8"/>
      <color rgb="FF4189AB"/>
      <name val="Verdana"/>
      <family val="2"/>
    </font>
    <font>
      <sz val="10"/>
      <color theme="1"/>
      <name val="Calibri"/>
      <family val="2"/>
    </font>
    <font>
      <sz val="11"/>
      <color rgb="FF000000"/>
      <name val="Calibri"/>
      <family val="2"/>
    </font>
    <font>
      <sz val="12"/>
      <color theme="1"/>
      <name val="Times New Roman"/>
      <family val="1"/>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9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style="thin"/>
      <bottom>
        <color indexed="63"/>
      </bottom>
    </border>
    <border>
      <left style="thin">
        <color rgb="FF000000"/>
      </left>
      <right>
        <color indexed="63"/>
      </right>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9" fontId="63"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4" fillId="21" borderId="0" applyNumberFormat="0" applyBorder="0" applyAlignment="0" applyProtection="0"/>
    <xf numFmtId="0" fontId="65" fillId="22" borderId="4" applyNumberFormat="0" applyAlignment="0" applyProtection="0"/>
    <xf numFmtId="0" fontId="66" fillId="23" borderId="5" applyNumberFormat="0" applyAlignment="0" applyProtection="0"/>
    <xf numFmtId="0" fontId="67" fillId="0" borderId="6" applyNumberFormat="0" applyFill="0" applyAlignment="0" applyProtection="0"/>
    <xf numFmtId="0" fontId="68" fillId="0" borderId="7" applyNumberFormat="0" applyFill="0" applyAlignment="0" applyProtection="0"/>
    <xf numFmtId="0" fontId="69" fillId="24" borderId="0" applyNumberFormat="0" applyProtection="0">
      <alignment horizontal="left" wrapText="1" indent="4"/>
    </xf>
    <xf numFmtId="0" fontId="70" fillId="24" borderId="0" applyNumberFormat="0" applyProtection="0">
      <alignment horizontal="left" wrapText="1" indent="4"/>
    </xf>
    <xf numFmtId="0" fontId="71" fillId="0" borderId="0" applyNumberFormat="0" applyFill="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6" fillId="30" borderId="0" applyNumberFormat="0" applyBorder="0" applyAlignment="0" applyProtection="0"/>
    <xf numFmtId="0" fontId="72" fillId="31" borderId="4" applyNumberFormat="0" applyAlignment="0" applyProtection="0"/>
    <xf numFmtId="16" fontId="38" fillId="0" borderId="0" applyFont="0" applyFill="0" applyBorder="0" applyAlignment="0">
      <protection/>
    </xf>
    <xf numFmtId="0" fontId="73" fillId="32" borderId="0" applyNumberFormat="0" applyBorder="0" applyProtection="0">
      <alignment horizontal="center" vertical="center"/>
    </xf>
    <xf numFmtId="0" fontId="74" fillId="0" borderId="0" applyNumberFormat="0" applyFill="0" applyBorder="0" applyAlignment="0" applyProtection="0"/>
    <xf numFmtId="0" fontId="75" fillId="0" borderId="0" applyNumberFormat="0" applyFill="0" applyBorder="0" applyAlignment="0" applyProtection="0"/>
    <xf numFmtId="0" fontId="76"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7" fillId="34" borderId="0" applyNumberFormat="0" applyBorder="0" applyAlignment="0" applyProtection="0"/>
    <xf numFmtId="0" fontId="78"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9" fillId="22" borderId="9" applyNumberFormat="0" applyAlignment="0" applyProtection="0"/>
    <xf numFmtId="0" fontId="80" fillId="0" borderId="0" applyNumberFormat="0" applyFill="0" applyBorder="0" applyAlignment="0" applyProtection="0"/>
    <xf numFmtId="0" fontId="70" fillId="0" borderId="0" applyFill="0" applyBorder="0">
      <alignment wrapText="1"/>
      <protection/>
    </xf>
    <xf numFmtId="0" fontId="62" fillId="0" borderId="0">
      <alignment/>
      <protection/>
    </xf>
    <xf numFmtId="0" fontId="81" fillId="0" borderId="0" applyNumberFormat="0" applyFill="0" applyBorder="0" applyAlignment="0" applyProtection="0"/>
    <xf numFmtId="0" fontId="82" fillId="0" borderId="0" applyNumberFormat="0" applyFill="0" applyBorder="0" applyAlignment="0" applyProtection="0"/>
    <xf numFmtId="0" fontId="83" fillId="0" borderId="10" applyNumberFormat="0" applyFill="0" applyAlignment="0" applyProtection="0"/>
    <xf numFmtId="0" fontId="71" fillId="0" borderId="11" applyNumberFormat="0" applyFill="0" applyAlignment="0" applyProtection="0"/>
    <xf numFmtId="0" fontId="84" fillId="24" borderId="0" applyNumberFormat="0" applyBorder="0" applyProtection="0">
      <alignment horizontal="left" indent="1"/>
    </xf>
    <xf numFmtId="0" fontId="85" fillId="0" borderId="12" applyNumberFormat="0" applyFill="0" applyAlignment="0" applyProtection="0"/>
  </cellStyleXfs>
  <cellXfs count="1166">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5"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6" fillId="38" borderId="28" xfId="0" applyFont="1" applyFill="1" applyBorder="1" applyAlignment="1">
      <alignment vertical="center"/>
    </xf>
    <xf numFmtId="0" fontId="86" fillId="38" borderId="0" xfId="0" applyFont="1" applyFill="1" applyBorder="1" applyAlignment="1">
      <alignment vertical="center"/>
    </xf>
    <xf numFmtId="0" fontId="86"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87"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5"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5"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6" fillId="0" borderId="0" xfId="0" applyFont="1" applyAlignment="1">
      <alignment vertical="center"/>
    </xf>
    <xf numFmtId="0" fontId="88" fillId="11" borderId="41" xfId="0" applyFont="1" applyFill="1" applyBorder="1" applyAlignment="1">
      <alignment vertical="center"/>
    </xf>
    <xf numFmtId="0" fontId="88" fillId="11" borderId="42" xfId="0" applyFont="1" applyFill="1" applyBorder="1" applyAlignment="1">
      <alignment vertical="center"/>
    </xf>
    <xf numFmtId="0" fontId="88" fillId="11" borderId="0" xfId="0" applyFont="1" applyFill="1" applyBorder="1" applyAlignment="1">
      <alignment vertical="center"/>
    </xf>
    <xf numFmtId="0" fontId="88" fillId="11" borderId="43" xfId="0" applyFont="1" applyFill="1" applyBorder="1" applyAlignment="1">
      <alignment vertical="center"/>
    </xf>
    <xf numFmtId="0" fontId="88" fillId="11" borderId="15" xfId="0" applyFont="1" applyFill="1" applyBorder="1" applyAlignment="1">
      <alignment vertical="center"/>
    </xf>
    <xf numFmtId="0" fontId="88" fillId="11" borderId="44" xfId="0" applyFont="1" applyFill="1" applyBorder="1" applyAlignment="1">
      <alignment vertical="center"/>
    </xf>
    <xf numFmtId="0" fontId="88" fillId="11" borderId="13" xfId="0" applyFont="1" applyFill="1" applyBorder="1" applyAlignment="1">
      <alignment horizontal="center" vertical="center" wrapText="1"/>
    </xf>
    <xf numFmtId="0" fontId="86" fillId="0" borderId="13" xfId="0" applyFont="1" applyBorder="1" applyAlignment="1">
      <alignment horizontal="center" vertical="center"/>
    </xf>
    <xf numFmtId="0" fontId="86" fillId="0" borderId="13" xfId="0" applyFont="1" applyBorder="1" applyAlignment="1">
      <alignment horizontal="center" vertical="center" wrapText="1"/>
    </xf>
    <xf numFmtId="175" fontId="86" fillId="0" borderId="13" xfId="59" applyFont="1" applyBorder="1" applyAlignment="1">
      <alignment horizontal="center" vertical="center" wrapText="1"/>
    </xf>
    <xf numFmtId="0" fontId="86" fillId="0" borderId="13" xfId="0" applyFont="1" applyBorder="1" applyAlignment="1">
      <alignment vertical="center"/>
    </xf>
    <xf numFmtId="0" fontId="86" fillId="0" borderId="13" xfId="79" applyNumberFormat="1" applyFont="1" applyBorder="1" applyAlignment="1">
      <alignment vertical="center"/>
    </xf>
    <xf numFmtId="0" fontId="87" fillId="0" borderId="13" xfId="0" applyFont="1" applyBorder="1" applyAlignment="1">
      <alignment vertical="center" wrapText="1"/>
    </xf>
    <xf numFmtId="9" fontId="86" fillId="0" borderId="13" xfId="79" applyFont="1" applyBorder="1" applyAlignment="1">
      <alignment vertical="center"/>
    </xf>
    <xf numFmtId="0" fontId="86"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9" fillId="11" borderId="13" xfId="0" applyFont="1" applyFill="1" applyBorder="1" applyAlignment="1">
      <alignment horizontal="center" vertical="center"/>
    </xf>
    <xf numFmtId="0" fontId="86" fillId="0" borderId="0" xfId="0" applyFont="1" applyAlignment="1">
      <alignment horizontal="center" vertical="center"/>
    </xf>
    <xf numFmtId="0" fontId="90" fillId="0" borderId="13" xfId="0" applyFont="1" applyBorder="1" applyAlignment="1">
      <alignment vertical="center"/>
    </xf>
    <xf numFmtId="0" fontId="89" fillId="11" borderId="13" xfId="0" applyFont="1" applyFill="1" applyBorder="1" applyAlignment="1">
      <alignment horizontal="left" vertical="center"/>
    </xf>
    <xf numFmtId="0" fontId="86" fillId="0" borderId="13" xfId="0" applyFont="1" applyBorder="1" applyAlignment="1">
      <alignment horizontal="left" vertical="center"/>
    </xf>
    <xf numFmtId="0" fontId="86" fillId="0" borderId="14" xfId="0" applyFont="1" applyFill="1" applyBorder="1" applyAlignment="1">
      <alignment horizontal="left" vertical="center"/>
    </xf>
    <xf numFmtId="0" fontId="86" fillId="0" borderId="13" xfId="0" applyFont="1" applyFill="1" applyBorder="1" applyAlignment="1">
      <alignment horizontal="left" vertical="center"/>
    </xf>
    <xf numFmtId="41" fontId="86" fillId="0" borderId="13" xfId="60" applyFont="1" applyFill="1" applyBorder="1" applyAlignment="1">
      <alignment vertical="center"/>
    </xf>
    <xf numFmtId="0" fontId="90" fillId="0" borderId="0" xfId="0" applyFont="1" applyAlignment="1">
      <alignment vertical="center"/>
    </xf>
    <xf numFmtId="0" fontId="16" fillId="0" borderId="13" xfId="0" applyFont="1" applyBorder="1" applyAlignment="1">
      <alignment horizontal="center" vertical="center" wrapText="1"/>
    </xf>
    <xf numFmtId="0" fontId="88" fillId="0" borderId="0" xfId="0" applyFont="1" applyAlignment="1">
      <alignment horizontal="left" vertical="center"/>
    </xf>
    <xf numFmtId="0" fontId="88" fillId="11" borderId="13" xfId="0" applyFont="1" applyFill="1" applyBorder="1" applyAlignment="1">
      <alignment vertical="center"/>
    </xf>
    <xf numFmtId="41" fontId="86" fillId="0" borderId="14" xfId="60" applyFont="1" applyFill="1" applyBorder="1" applyAlignment="1">
      <alignment vertical="center"/>
    </xf>
    <xf numFmtId="49" fontId="86" fillId="0" borderId="14" xfId="60" applyNumberFormat="1" applyFont="1" applyFill="1" applyBorder="1" applyAlignment="1">
      <alignment vertical="center"/>
    </xf>
    <xf numFmtId="49" fontId="86" fillId="0" borderId="13" xfId="60" applyNumberFormat="1" applyFont="1" applyFill="1" applyBorder="1" applyAlignment="1">
      <alignment vertical="center"/>
    </xf>
    <xf numFmtId="0" fontId="86" fillId="0" borderId="0" xfId="0" applyFont="1" applyAlignment="1">
      <alignment horizontal="left" vertical="center"/>
    </xf>
    <xf numFmtId="0" fontId="86" fillId="0" borderId="0" xfId="0" applyFont="1" applyFill="1" applyAlignment="1">
      <alignment horizontal="left" vertical="center"/>
    </xf>
    <xf numFmtId="0" fontId="88" fillId="17" borderId="13" xfId="0" applyFont="1" applyFill="1" applyBorder="1" applyAlignment="1">
      <alignment horizontal="center" vertical="center"/>
    </xf>
    <xf numFmtId="0" fontId="86" fillId="0" borderId="16"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86" fillId="0" borderId="13" xfId="0" applyFont="1" applyFill="1" applyBorder="1" applyAlignment="1">
      <alignment vertical="center" wrapText="1"/>
    </xf>
    <xf numFmtId="0" fontId="88" fillId="0" borderId="13" xfId="0" applyFont="1" applyFill="1" applyBorder="1" applyAlignment="1">
      <alignment vertical="center" wrapText="1"/>
    </xf>
    <xf numFmtId="0" fontId="86"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8" fillId="0" borderId="22" xfId="0" applyFont="1" applyFill="1" applyBorder="1" applyAlignment="1">
      <alignment horizontal="left" vertical="center" wrapText="1"/>
    </xf>
    <xf numFmtId="0" fontId="86"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4"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2" xfId="72" applyFont="1" applyFill="1" applyBorder="1" applyAlignment="1" applyProtection="1">
      <alignment horizontal="center" vertical="center" wrapText="1"/>
      <protection/>
    </xf>
    <xf numFmtId="0" fontId="91" fillId="0" borderId="0" xfId="0" applyFont="1" applyFill="1" applyBorder="1" applyAlignment="1">
      <alignment horizontal="center" vertical="center"/>
    </xf>
    <xf numFmtId="0" fontId="8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2" fillId="0" borderId="13" xfId="79" applyNumberFormat="1" applyFont="1" applyBorder="1" applyAlignment="1">
      <alignment vertical="center"/>
    </xf>
    <xf numFmtId="9" fontId="88" fillId="11" borderId="13" xfId="79" applyFont="1" applyFill="1" applyBorder="1" applyAlignment="1">
      <alignment horizontal="center" vertical="center" wrapText="1"/>
    </xf>
    <xf numFmtId="9" fontId="86" fillId="0" borderId="0" xfId="79" applyFont="1" applyAlignment="1">
      <alignment vertical="center"/>
    </xf>
    <xf numFmtId="0" fontId="88" fillId="17" borderId="13" xfId="0" applyFont="1" applyFill="1" applyBorder="1" applyAlignment="1">
      <alignment horizontal="left" vertical="center"/>
    </xf>
    <xf numFmtId="0" fontId="88" fillId="0" borderId="13" xfId="0" applyFont="1" applyFill="1" applyBorder="1" applyAlignment="1">
      <alignment horizontal="left" vertical="center"/>
    </xf>
    <xf numFmtId="0" fontId="88" fillId="0" borderId="13" xfId="0" applyFont="1" applyFill="1" applyBorder="1" applyAlignment="1">
      <alignment horizontal="left" vertical="center" wrapText="1"/>
    </xf>
    <xf numFmtId="208" fontId="16" fillId="0" borderId="13" xfId="63" applyNumberFormat="1" applyFont="1" applyBorder="1" applyAlignment="1">
      <alignment vertical="center"/>
    </xf>
    <xf numFmtId="208"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2" applyFont="1" applyFill="1" applyBorder="1" applyAlignment="1" applyProtection="1">
      <alignment vertical="center" wrapText="1"/>
      <protection/>
    </xf>
    <xf numFmtId="0" fontId="11" fillId="38" borderId="56" xfId="72" applyFont="1" applyFill="1" applyBorder="1" applyAlignment="1" applyProtection="1">
      <alignment vertical="center" wrapText="1"/>
      <protection/>
    </xf>
    <xf numFmtId="0" fontId="88" fillId="11" borderId="41" xfId="0" applyFont="1" applyFill="1" applyBorder="1" applyAlignment="1">
      <alignment horizontal="center" vertical="center"/>
    </xf>
    <xf numFmtId="0" fontId="88" fillId="11" borderId="15" xfId="0" applyFont="1" applyFill="1" applyBorder="1" applyAlignment="1">
      <alignment horizontal="center" vertical="center"/>
    </xf>
    <xf numFmtId="0" fontId="88"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8"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6" fillId="0" borderId="13" xfId="79" applyFont="1" applyFill="1" applyBorder="1" applyAlignment="1">
      <alignment horizontal="center" vertical="center" wrapText="1"/>
    </xf>
    <xf numFmtId="175" fontId="86" fillId="0" borderId="13" xfId="59" applyFont="1" applyFill="1" applyBorder="1" applyAlignment="1">
      <alignment horizontal="center" vertical="center" wrapText="1"/>
    </xf>
    <xf numFmtId="9" fontId="86"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6" fillId="0" borderId="13" xfId="59" applyFont="1" applyFill="1" applyBorder="1" applyAlignment="1">
      <alignment horizontal="center" vertical="center"/>
    </xf>
    <xf numFmtId="1" fontId="86" fillId="0" borderId="13" xfId="0" applyNumberFormat="1" applyFont="1" applyBorder="1" applyAlignment="1">
      <alignment horizontal="center" vertical="center"/>
    </xf>
    <xf numFmtId="1" fontId="86" fillId="0" borderId="13" xfId="59" applyNumberFormat="1" applyFont="1" applyFill="1" applyBorder="1" applyAlignment="1">
      <alignment horizontal="center" vertical="center"/>
    </xf>
    <xf numFmtId="0" fontId="86" fillId="0" borderId="13" xfId="79" applyNumberFormat="1" applyFont="1" applyFill="1" applyBorder="1" applyAlignment="1">
      <alignment horizontal="center" vertical="center" wrapText="1"/>
    </xf>
    <xf numFmtId="0" fontId="86" fillId="38" borderId="22" xfId="0" applyFont="1" applyFill="1" applyBorder="1" applyAlignment="1">
      <alignment horizontal="center" vertical="center" wrapText="1"/>
    </xf>
    <xf numFmtId="9" fontId="86" fillId="0" borderId="13" xfId="0" applyNumberFormat="1" applyFont="1" applyBorder="1" applyAlignment="1">
      <alignment horizontal="center" vertical="center" wrapText="1"/>
    </xf>
    <xf numFmtId="9" fontId="86" fillId="0" borderId="13" xfId="79" applyFont="1" applyFill="1" applyBorder="1" applyAlignment="1">
      <alignment horizontal="center" vertical="center"/>
    </xf>
    <xf numFmtId="0" fontId="86" fillId="38" borderId="13" xfId="0" applyFont="1" applyFill="1" applyBorder="1" applyAlignment="1">
      <alignment horizontal="center" vertical="center" wrapText="1"/>
    </xf>
    <xf numFmtId="0" fontId="0" fillId="0" borderId="0" xfId="0" applyAlignment="1">
      <alignment vertical="center"/>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38" borderId="23" xfId="72" applyFont="1" applyFill="1" applyBorder="1" applyAlignment="1">
      <alignment vertical="center" wrapText="1"/>
      <protection/>
    </xf>
    <xf numFmtId="0" fontId="11" fillId="38" borderId="24" xfId="72" applyFont="1" applyFill="1" applyBorder="1" applyAlignment="1">
      <alignment vertical="center" wrapText="1"/>
      <protection/>
    </xf>
    <xf numFmtId="0" fontId="11" fillId="38" borderId="25" xfId="72" applyFont="1" applyFill="1" applyBorder="1" applyAlignment="1">
      <alignment vertical="center" wrapText="1"/>
      <protection/>
    </xf>
    <xf numFmtId="0" fontId="11" fillId="38" borderId="0" xfId="72" applyFont="1" applyFill="1" applyAlignment="1">
      <alignment vertical="center" wrapText="1"/>
      <protection/>
    </xf>
    <xf numFmtId="0" fontId="13" fillId="38" borderId="0" xfId="72" applyFont="1" applyFill="1" applyAlignment="1">
      <alignment vertical="center" wrapText="1"/>
      <protection/>
    </xf>
    <xf numFmtId="0" fontId="11" fillId="38" borderId="26" xfId="72" applyFont="1" applyFill="1" applyBorder="1" applyAlignment="1">
      <alignment vertical="center" wrapText="1"/>
      <protection/>
    </xf>
    <xf numFmtId="0" fontId="10" fillId="38" borderId="26" xfId="72" applyFont="1" applyFill="1" applyBorder="1" applyAlignment="1">
      <alignment vertical="center" wrapText="1"/>
      <protection/>
    </xf>
    <xf numFmtId="0" fontId="10" fillId="38" borderId="27" xfId="72" applyFont="1" applyFill="1" applyBorder="1" applyAlignment="1">
      <alignment vertical="center" wrapText="1"/>
      <protection/>
    </xf>
    <xf numFmtId="0" fontId="11"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0" fillId="38" borderId="29" xfId="72" applyFont="1" applyFill="1" applyBorder="1" applyAlignment="1">
      <alignment vertical="center" wrapText="1"/>
      <protection/>
    </xf>
    <xf numFmtId="0" fontId="11" fillId="0" borderId="28" xfId="72" applyFont="1" applyBorder="1" applyAlignment="1">
      <alignment vertical="center" wrapText="1"/>
      <protection/>
    </xf>
    <xf numFmtId="0" fontId="11" fillId="0" borderId="0" xfId="72" applyFont="1" applyAlignment="1">
      <alignment vertical="center" wrapText="1"/>
      <protection/>
    </xf>
    <xf numFmtId="0" fontId="91" fillId="0" borderId="0" xfId="0" applyFont="1" applyAlignment="1">
      <alignment horizontal="center" vertical="center"/>
    </xf>
    <xf numFmtId="0" fontId="85" fillId="0" borderId="0" xfId="0" applyFont="1" applyAlignment="1">
      <alignment horizontal="center" vertical="center" wrapText="1"/>
    </xf>
    <xf numFmtId="0" fontId="0" fillId="0" borderId="0" xfId="0" applyAlignment="1">
      <alignment horizontal="center" vertical="center"/>
    </xf>
    <xf numFmtId="0" fontId="13" fillId="0" borderId="0" xfId="72" applyFont="1" applyAlignment="1">
      <alignment vertical="center" wrapText="1"/>
      <protection/>
    </xf>
    <xf numFmtId="0" fontId="10" fillId="0" borderId="0" xfId="72" applyFont="1" applyAlignment="1">
      <alignment vertical="center" wrapText="1"/>
      <protection/>
    </xf>
    <xf numFmtId="0" fontId="10" fillId="0" borderId="29" xfId="72" applyFont="1" applyBorder="1" applyAlignment="1">
      <alignment vertical="center" wrapText="1"/>
      <protection/>
    </xf>
    <xf numFmtId="0" fontId="14" fillId="38" borderId="0" xfId="72" applyFont="1" applyFill="1" applyAlignment="1">
      <alignment horizontal="center" vertical="center" wrapText="1"/>
      <protection/>
    </xf>
    <xf numFmtId="0" fontId="11" fillId="38" borderId="0" xfId="72" applyFont="1" applyFill="1" applyAlignment="1">
      <alignment horizontal="center" vertical="center" wrapText="1"/>
      <protection/>
    </xf>
    <xf numFmtId="0" fontId="14" fillId="0" borderId="0" xfId="72" applyFont="1" applyAlignment="1">
      <alignment horizontal="center" vertical="center" wrapText="1"/>
      <protection/>
    </xf>
    <xf numFmtId="0" fontId="10" fillId="38" borderId="34" xfId="72" applyFont="1" applyFill="1" applyBorder="1" applyAlignment="1">
      <alignment vertical="center" wrapText="1"/>
      <protection/>
    </xf>
    <xf numFmtId="0" fontId="10" fillId="38" borderId="35" xfId="72" applyFont="1" applyFill="1" applyBorder="1" applyAlignment="1">
      <alignment vertical="center" wrapText="1"/>
      <protection/>
    </xf>
    <xf numFmtId="0" fontId="15" fillId="39" borderId="0" xfId="72" applyFont="1" applyFill="1" applyAlignment="1">
      <alignment vertical="center" wrapText="1"/>
      <protection/>
    </xf>
    <xf numFmtId="0" fontId="86" fillId="38" borderId="0" xfId="0" applyFont="1" applyFill="1" applyAlignment="1">
      <alignment vertical="center"/>
    </xf>
    <xf numFmtId="192" fontId="0" fillId="0" borderId="0" xfId="0" applyNumberFormat="1" applyAlignment="1">
      <alignment vertical="center"/>
    </xf>
    <xf numFmtId="0" fontId="10" fillId="38" borderId="28" xfId="72" applyFont="1" applyFill="1" applyBorder="1" applyAlignment="1">
      <alignment vertical="center" wrapText="1"/>
      <protection/>
    </xf>
    <xf numFmtId="0" fontId="11" fillId="5" borderId="46"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48" xfId="72" applyFont="1" applyFill="1" applyBorder="1" applyAlignment="1">
      <alignment horizontal="center" vertical="center" wrapText="1"/>
      <protection/>
    </xf>
    <xf numFmtId="0" fontId="11" fillId="38" borderId="0" xfId="72" applyFont="1" applyFill="1" applyAlignment="1">
      <alignment horizontal="left" vertical="center" wrapText="1"/>
      <protection/>
    </xf>
    <xf numFmtId="0" fontId="11" fillId="5" borderId="13" xfId="72" applyFont="1" applyFill="1" applyBorder="1" applyAlignment="1">
      <alignment horizontal="center" vertical="center" wrapText="1"/>
      <protection/>
    </xf>
    <xf numFmtId="0" fontId="11" fillId="0" borderId="37" xfId="72" applyFont="1" applyBorder="1" applyAlignment="1">
      <alignment horizontal="left" vertical="center" wrapText="1"/>
      <protection/>
    </xf>
    <xf numFmtId="0" fontId="11" fillId="0" borderId="22" xfId="72" applyFont="1" applyBorder="1" applyAlignment="1">
      <alignment horizontal="center" vertical="center" wrapText="1"/>
      <protection/>
    </xf>
    <xf numFmtId="0" fontId="11" fillId="0" borderId="16" xfId="72" applyFont="1" applyBorder="1" applyAlignment="1">
      <alignment horizontal="left" vertical="center" wrapText="1"/>
      <protection/>
    </xf>
    <xf numFmtId="0" fontId="11" fillId="11" borderId="38" xfId="72" applyFont="1" applyFill="1" applyBorder="1" applyAlignment="1">
      <alignment horizontal="left" vertical="center" wrapText="1"/>
      <protection/>
    </xf>
    <xf numFmtId="9" fontId="11" fillId="0" borderId="39"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0" fontId="11" fillId="11" borderId="13" xfId="72" applyFont="1" applyFill="1" applyBorder="1" applyAlignment="1">
      <alignment horizontal="left" vertical="center" wrapText="1"/>
      <protection/>
    </xf>
    <xf numFmtId="9" fontId="11" fillId="0" borderId="14" xfId="72" applyNumberFormat="1" applyFont="1" applyBorder="1" applyAlignment="1">
      <alignment horizontal="center" vertical="center" wrapText="1"/>
      <protection/>
    </xf>
    <xf numFmtId="0" fontId="11" fillId="0" borderId="13" xfId="72" applyFont="1" applyBorder="1" applyAlignment="1">
      <alignment horizontal="left" vertical="center" wrapText="1"/>
      <protection/>
    </xf>
    <xf numFmtId="9" fontId="11" fillId="0" borderId="40" xfId="72" applyNumberFormat="1" applyFont="1" applyBorder="1" applyAlignment="1">
      <alignment horizontal="center" vertical="center" wrapText="1"/>
      <protection/>
    </xf>
    <xf numFmtId="0" fontId="88" fillId="11" borderId="13" xfId="0" applyFont="1" applyFill="1" applyBorder="1" applyAlignment="1">
      <alignment horizontal="center" vertical="center" wrapText="1"/>
    </xf>
    <xf numFmtId="9" fontId="86" fillId="0" borderId="13" xfId="79" applyFont="1" applyBorder="1" applyAlignment="1">
      <alignment horizontal="center" vertical="center" wrapText="1"/>
    </xf>
    <xf numFmtId="0" fontId="93" fillId="0" borderId="13" xfId="0" applyFont="1" applyBorder="1" applyAlignment="1">
      <alignment horizontal="center" vertical="center" wrapText="1"/>
    </xf>
    <xf numFmtId="9" fontId="88" fillId="11" borderId="41" xfId="79" applyFont="1" applyFill="1" applyBorder="1" applyAlignment="1">
      <alignment horizontal="center" vertical="center"/>
    </xf>
    <xf numFmtId="9" fontId="88" fillId="11" borderId="42" xfId="79" applyFont="1" applyFill="1" applyBorder="1" applyAlignment="1">
      <alignment horizontal="center" vertical="center"/>
    </xf>
    <xf numFmtId="9" fontId="88" fillId="11" borderId="0" xfId="79" applyFont="1" applyFill="1" applyBorder="1" applyAlignment="1">
      <alignment horizontal="center" vertical="center"/>
    </xf>
    <xf numFmtId="0" fontId="88" fillId="11" borderId="0" xfId="0" applyFont="1" applyFill="1" applyAlignment="1">
      <alignment horizontal="center" vertical="center"/>
    </xf>
    <xf numFmtId="9" fontId="88" fillId="11" borderId="43" xfId="79" applyFont="1" applyFill="1" applyBorder="1" applyAlignment="1">
      <alignment horizontal="center" vertical="center"/>
    </xf>
    <xf numFmtId="9" fontId="88" fillId="11" borderId="15" xfId="79" applyFont="1" applyFill="1" applyBorder="1" applyAlignment="1">
      <alignment horizontal="center" vertical="center"/>
    </xf>
    <xf numFmtId="9" fontId="88" fillId="11" borderId="44" xfId="79" applyFont="1" applyFill="1" applyBorder="1" applyAlignment="1">
      <alignment horizontal="center" vertical="center"/>
    </xf>
    <xf numFmtId="9" fontId="11" fillId="11" borderId="22" xfId="79" applyFont="1" applyFill="1" applyBorder="1" applyAlignment="1">
      <alignment horizontal="center" vertical="center" wrapText="1"/>
    </xf>
    <xf numFmtId="0" fontId="86" fillId="0" borderId="13" xfId="59" applyNumberFormat="1" applyFont="1" applyBorder="1" applyAlignment="1">
      <alignment horizontal="center" vertical="center" wrapText="1"/>
    </xf>
    <xf numFmtId="9" fontId="86" fillId="0" borderId="13" xfId="79" applyFont="1" applyBorder="1" applyAlignment="1">
      <alignment horizontal="center" vertical="center"/>
    </xf>
    <xf numFmtId="9" fontId="86" fillId="0" borderId="0" xfId="79" applyFont="1" applyAlignment="1">
      <alignment horizontal="center" vertical="center"/>
    </xf>
    <xf numFmtId="175" fontId="86" fillId="0" borderId="13" xfId="59" applyFont="1" applyBorder="1" applyAlignment="1">
      <alignment horizontal="left" vertical="center" wrapText="1"/>
    </xf>
    <xf numFmtId="9" fontId="86" fillId="0" borderId="13" xfId="0" applyNumberFormat="1" applyFont="1" applyBorder="1" applyAlignment="1">
      <alignment vertical="center"/>
    </xf>
    <xf numFmtId="0" fontId="86" fillId="0" borderId="13" xfId="0" applyFont="1" applyBorder="1" applyAlignment="1">
      <alignment vertical="center" wrapText="1"/>
    </xf>
    <xf numFmtId="0" fontId="86" fillId="0" borderId="13" xfId="0" applyFont="1" applyBorder="1" applyAlignment="1">
      <alignment vertical="top" wrapText="1"/>
    </xf>
    <xf numFmtId="0" fontId="86" fillId="0" borderId="13" xfId="0" applyFont="1" applyBorder="1" applyAlignment="1">
      <alignment horizontal="left" vertical="top" wrapText="1"/>
    </xf>
    <xf numFmtId="0" fontId="11" fillId="38" borderId="55" xfId="72" applyFont="1" applyFill="1" applyBorder="1" applyAlignment="1">
      <alignment vertical="center" wrapText="1"/>
      <protection/>
    </xf>
    <xf numFmtId="0" fontId="11" fillId="38" borderId="56" xfId="72" applyFont="1" applyFill="1" applyBorder="1" applyAlignment="1">
      <alignment vertical="center" wrapText="1"/>
      <protection/>
    </xf>
    <xf numFmtId="0" fontId="86" fillId="0" borderId="13" xfId="0" applyFont="1" applyBorder="1" applyAlignment="1">
      <alignment horizontal="justify" vertical="center" wrapText="1"/>
    </xf>
    <xf numFmtId="41" fontId="86"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87"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87" fillId="0" borderId="13" xfId="0" applyFont="1" applyBorder="1" applyAlignment="1">
      <alignment vertical="center"/>
    </xf>
    <xf numFmtId="0" fontId="87"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6" fillId="38" borderId="13" xfId="0" applyNumberFormat="1" applyFont="1" applyFill="1" applyBorder="1" applyAlignment="1">
      <alignment vertical="center"/>
    </xf>
    <xf numFmtId="0" fontId="86" fillId="38" borderId="13" xfId="0" applyFont="1" applyFill="1" applyBorder="1" applyAlignment="1">
      <alignment vertical="center"/>
    </xf>
    <xf numFmtId="9" fontId="10" fillId="38" borderId="13" xfId="80" applyFont="1" applyFill="1" applyBorder="1" applyAlignment="1" applyProtection="1">
      <alignment horizontal="center" vertical="center" wrapText="1"/>
      <protection locked="0"/>
    </xf>
    <xf numFmtId="0" fontId="10" fillId="0" borderId="37" xfId="72" applyFont="1" applyBorder="1" applyAlignment="1">
      <alignment horizontal="center" vertical="center" wrapText="1"/>
      <protection/>
    </xf>
    <xf numFmtId="9" fontId="10" fillId="0" borderId="22" xfId="79" applyFont="1" applyFill="1" applyBorder="1" applyAlignment="1" applyProtection="1">
      <alignment horizontal="center" vertical="center" wrapText="1"/>
      <protection/>
    </xf>
    <xf numFmtId="9" fontId="90" fillId="0" borderId="13" xfId="76" applyNumberFormat="1" applyFont="1" applyBorder="1" applyAlignment="1">
      <alignment horizontal="center" vertical="center"/>
      <protection/>
    </xf>
    <xf numFmtId="9" fontId="11" fillId="0" borderId="13" xfId="72" applyNumberFormat="1" applyFont="1" applyBorder="1" applyAlignment="1">
      <alignment horizontal="center" vertical="center" wrapText="1"/>
      <protection/>
    </xf>
    <xf numFmtId="0" fontId="11" fillId="11" borderId="57" xfId="72" applyFont="1" applyFill="1" applyBorder="1" applyAlignment="1">
      <alignment horizontal="left" vertical="center" wrapText="1"/>
      <protection/>
    </xf>
    <xf numFmtId="9" fontId="10" fillId="11" borderId="57" xfId="79" applyFont="1" applyFill="1" applyBorder="1" applyAlignment="1" applyProtection="1">
      <alignment horizontal="center" vertical="center" wrapText="1"/>
      <protection locked="0"/>
    </xf>
    <xf numFmtId="9" fontId="10" fillId="11" borderId="58" xfId="79" applyFont="1" applyFill="1" applyBorder="1" applyAlignment="1" applyProtection="1">
      <alignment horizontal="center" vertical="center" wrapText="1"/>
      <protection locked="0"/>
    </xf>
    <xf numFmtId="9" fontId="11" fillId="0" borderId="58" xfId="72"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6" fillId="11" borderId="38" xfId="81" applyFont="1" applyFill="1" applyBorder="1" applyAlignment="1" applyProtection="1">
      <alignment horizontal="center" vertical="center" wrapText="1"/>
      <protection/>
    </xf>
    <xf numFmtId="9" fontId="85" fillId="0" borderId="28" xfId="79" applyFont="1" applyBorder="1" applyAlignment="1">
      <alignment horizontal="center" vertical="center"/>
    </xf>
    <xf numFmtId="189" fontId="85" fillId="0" borderId="0" xfId="58" applyNumberFormat="1" applyFont="1" applyAlignment="1">
      <alignment vertical="center"/>
    </xf>
    <xf numFmtId="0" fontId="11" fillId="38" borderId="59" xfId="72" applyFont="1" applyFill="1" applyBorder="1" applyAlignment="1">
      <alignment vertical="center" wrapText="1"/>
      <protection/>
    </xf>
    <xf numFmtId="0" fontId="11" fillId="38" borderId="60" xfId="72" applyFont="1" applyFill="1" applyBorder="1" applyAlignment="1">
      <alignment vertical="center" wrapText="1"/>
      <protection/>
    </xf>
    <xf numFmtId="199" fontId="11" fillId="0" borderId="60" xfId="72" applyNumberFormat="1" applyFont="1" applyBorder="1" applyAlignment="1">
      <alignment horizontal="center" vertical="center" wrapText="1"/>
      <protection/>
    </xf>
    <xf numFmtId="199" fontId="11" fillId="0" borderId="61" xfId="72" applyNumberFormat="1" applyFont="1" applyBorder="1" applyAlignment="1">
      <alignment vertical="center" wrapText="1"/>
      <protection/>
    </xf>
    <xf numFmtId="199" fontId="11" fillId="0" borderId="62" xfId="72" applyNumberFormat="1" applyFont="1" applyBorder="1" applyAlignment="1">
      <alignment vertical="center" wrapText="1"/>
      <protection/>
    </xf>
    <xf numFmtId="0" fontId="38" fillId="0" borderId="0" xfId="0" applyFont="1" applyAlignment="1">
      <alignment/>
    </xf>
    <xf numFmtId="189" fontId="38" fillId="0" borderId="0" xfId="58" applyNumberFormat="1" applyFont="1" applyAlignment="1">
      <alignment/>
    </xf>
    <xf numFmtId="9" fontId="10" fillId="38" borderId="16" xfId="80"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90" fillId="0" borderId="13" xfId="0" applyFont="1" applyBorder="1" applyAlignment="1">
      <alignment horizontal="left" vertical="center" wrapText="1"/>
    </xf>
    <xf numFmtId="0" fontId="90" fillId="0" borderId="13" xfId="0" applyFont="1" applyBorder="1" applyAlignment="1">
      <alignment horizontal="center" vertical="center" wrapText="1"/>
    </xf>
    <xf numFmtId="0" fontId="10" fillId="0" borderId="22" xfId="72" applyFont="1" applyBorder="1" applyAlignment="1">
      <alignment horizontal="left" vertical="center" wrapText="1"/>
      <protection/>
    </xf>
    <xf numFmtId="0" fontId="86" fillId="0" borderId="0" xfId="0" applyFont="1" applyAlignment="1">
      <alignment vertical="center" wrapText="1"/>
    </xf>
    <xf numFmtId="9" fontId="10" fillId="0" borderId="22" xfId="72" applyNumberFormat="1" applyFont="1" applyBorder="1" applyAlignment="1">
      <alignment horizontal="center" vertical="center" wrapText="1"/>
      <protection/>
    </xf>
    <xf numFmtId="0" fontId="86" fillId="0" borderId="0" xfId="0" applyFont="1" applyAlignment="1">
      <alignment horizontal="justify" vertical="center" wrapText="1"/>
    </xf>
    <xf numFmtId="41" fontId="86" fillId="0" borderId="13" xfId="60" applyFont="1" applyFill="1" applyBorder="1" applyAlignment="1">
      <alignment horizontal="center" vertical="center"/>
    </xf>
    <xf numFmtId="41" fontId="86" fillId="38" borderId="13" xfId="60" applyFont="1" applyFill="1" applyBorder="1" applyAlignment="1">
      <alignment horizontal="center" vertical="center"/>
    </xf>
    <xf numFmtId="41" fontId="86" fillId="38" borderId="13" xfId="60" applyFont="1" applyFill="1" applyBorder="1" applyAlignment="1">
      <alignment horizontal="center" vertical="center" wrapText="1"/>
    </xf>
    <xf numFmtId="41" fontId="86" fillId="38" borderId="16" xfId="60" applyFont="1" applyFill="1" applyBorder="1" applyAlignment="1">
      <alignment horizontal="center" vertical="center" wrapText="1"/>
    </xf>
    <xf numFmtId="0" fontId="86" fillId="38" borderId="13" xfId="0" applyFont="1" applyFill="1" applyBorder="1" applyAlignment="1">
      <alignment horizontal="center" vertical="center"/>
    </xf>
    <xf numFmtId="198" fontId="86" fillId="38" borderId="13" xfId="59" applyNumberFormat="1" applyFont="1" applyFill="1" applyBorder="1" applyAlignment="1">
      <alignment vertical="center"/>
    </xf>
    <xf numFmtId="175" fontId="86" fillId="38" borderId="13" xfId="59" applyFont="1" applyFill="1" applyBorder="1" applyAlignment="1">
      <alignment vertical="center"/>
    </xf>
    <xf numFmtId="9" fontId="86" fillId="38" borderId="13" xfId="79" applyFont="1" applyFill="1" applyBorder="1" applyAlignment="1">
      <alignment vertical="center"/>
    </xf>
    <xf numFmtId="175" fontId="10" fillId="38" borderId="13" xfId="80"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6" fillId="0" borderId="13" xfId="0" applyNumberFormat="1" applyFont="1" applyFill="1" applyBorder="1" applyAlignment="1">
      <alignment vertical="center"/>
    </xf>
    <xf numFmtId="9" fontId="86" fillId="0" borderId="13" xfId="79" applyFont="1" applyFill="1" applyBorder="1" applyAlignment="1">
      <alignment vertical="center"/>
    </xf>
    <xf numFmtId="9" fontId="86" fillId="0" borderId="13" xfId="0" applyNumberFormat="1" applyFont="1" applyFill="1" applyBorder="1" applyAlignment="1">
      <alignment vertical="center"/>
    </xf>
    <xf numFmtId="0" fontId="86" fillId="0" borderId="13" xfId="0" applyFont="1" applyFill="1" applyBorder="1" applyAlignment="1">
      <alignment vertical="center"/>
    </xf>
    <xf numFmtId="9" fontId="10" fillId="0" borderId="13" xfId="79" applyFont="1" applyFill="1" applyBorder="1" applyAlignment="1">
      <alignment vertical="center"/>
    </xf>
    <xf numFmtId="0" fontId="86" fillId="0" borderId="22" xfId="0" applyFont="1" applyBorder="1" applyAlignment="1">
      <alignment vertical="center"/>
    </xf>
    <xf numFmtId="0" fontId="94" fillId="0" borderId="13" xfId="0" applyFont="1" applyBorder="1" applyAlignment="1">
      <alignment horizontal="center" vertical="center" wrapText="1"/>
    </xf>
    <xf numFmtId="9" fontId="94" fillId="0" borderId="13" xfId="79" applyFont="1" applyFill="1" applyBorder="1" applyAlignment="1">
      <alignment horizontal="center" vertical="center" wrapText="1"/>
    </xf>
    <xf numFmtId="175" fontId="94"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9" applyFont="1" applyAlignment="1">
      <alignment/>
    </xf>
    <xf numFmtId="0" fontId="10" fillId="0" borderId="22" xfId="72"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88" fillId="11" borderId="13" xfId="0" applyFont="1" applyFill="1" applyBorder="1" applyAlignment="1">
      <alignment horizontal="center" vertical="center" wrapText="1"/>
    </xf>
    <xf numFmtId="0" fontId="19" fillId="0" borderId="37" xfId="72" applyFont="1" applyFill="1" applyBorder="1" applyAlignment="1">
      <alignment horizontal="center" vertical="center" wrapText="1"/>
      <protection/>
    </xf>
    <xf numFmtId="9" fontId="11" fillId="0" borderId="22" xfId="79" applyFont="1" applyBorder="1" applyAlignment="1">
      <alignment horizontal="center" vertical="center" wrapText="1"/>
    </xf>
    <xf numFmtId="0" fontId="86" fillId="0" borderId="13" xfId="0" applyFont="1" applyFill="1" applyBorder="1" applyAlignment="1">
      <alignment horizontal="center" vertical="center" wrapText="1"/>
    </xf>
    <xf numFmtId="0" fontId="87"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9" applyFont="1" applyFill="1" applyBorder="1" applyAlignment="1">
      <alignment horizontal="center" vertical="center"/>
    </xf>
    <xf numFmtId="0" fontId="10" fillId="38" borderId="13" xfId="0" applyFont="1" applyFill="1" applyBorder="1" applyAlignment="1">
      <alignment horizontal="center" vertical="center"/>
    </xf>
    <xf numFmtId="0" fontId="94" fillId="0" borderId="13" xfId="0" applyFont="1" applyBorder="1" applyAlignment="1">
      <alignment horizontal="justify" vertical="center" wrapText="1"/>
    </xf>
    <xf numFmtId="175" fontId="94"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2"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80"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88" fillId="11" borderId="13" xfId="0" applyFont="1" applyFill="1" applyBorder="1" applyAlignment="1">
      <alignment horizontal="center" vertical="center" wrapText="1"/>
    </xf>
    <xf numFmtId="10" fontId="10" fillId="11" borderId="13" xfId="79" applyNumberFormat="1" applyFont="1" applyFill="1" applyBorder="1" applyAlignment="1" applyProtection="1">
      <alignment horizontal="center" vertical="center" wrapText="1"/>
      <protection locked="0"/>
    </xf>
    <xf numFmtId="10" fontId="86" fillId="0" borderId="13" xfId="79" applyNumberFormat="1" applyFont="1" applyBorder="1" applyAlignment="1">
      <alignment vertical="center"/>
    </xf>
    <xf numFmtId="0" fontId="86" fillId="0" borderId="13" xfId="79" applyNumberFormat="1" applyFont="1" applyBorder="1" applyAlignment="1">
      <alignment vertical="center" wrapText="1"/>
    </xf>
    <xf numFmtId="9" fontId="86" fillId="0" borderId="13" xfId="79" applyFont="1" applyBorder="1" applyAlignment="1">
      <alignment vertical="center" wrapText="1"/>
    </xf>
    <xf numFmtId="0" fontId="0" fillId="0" borderId="0" xfId="0" applyAlignment="1">
      <alignment vertical="center" wrapText="1"/>
    </xf>
    <xf numFmtId="9" fontId="86" fillId="38" borderId="13" xfId="79" applyFont="1" applyFill="1" applyBorder="1" applyAlignment="1">
      <alignment horizontal="left" vertical="center" wrapText="1"/>
    </xf>
    <xf numFmtId="0" fontId="86" fillId="38" borderId="13" xfId="0" applyFont="1" applyFill="1" applyBorder="1" applyAlignment="1">
      <alignment horizontal="left" vertical="center" wrapText="1"/>
    </xf>
    <xf numFmtId="0" fontId="10" fillId="0" borderId="13" xfId="79" applyNumberFormat="1" applyFont="1" applyBorder="1" applyAlignment="1">
      <alignment horizontal="center" vertical="center"/>
    </xf>
    <xf numFmtId="9" fontId="10" fillId="11" borderId="38" xfId="8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88" fillId="11" borderId="13" xfId="0" applyFont="1" applyFill="1" applyBorder="1" applyAlignment="1">
      <alignment horizontal="center" vertical="center" wrapText="1"/>
    </xf>
    <xf numFmtId="9" fontId="10" fillId="38" borderId="13" xfId="79" applyFont="1" applyFill="1" applyBorder="1" applyAlignment="1">
      <alignment vertical="center" wrapText="1"/>
    </xf>
    <xf numFmtId="0" fontId="87"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9" fontId="4" fillId="0" borderId="13" xfId="0" applyNumberFormat="1" applyFont="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5" fillId="0" borderId="13" xfId="58" applyNumberFormat="1" applyFont="1" applyBorder="1" applyAlignment="1">
      <alignment/>
    </xf>
    <xf numFmtId="189" fontId="85"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2" applyFont="1" applyFill="1" applyBorder="1" applyAlignment="1">
      <alignment horizontal="center" vertical="center" wrapText="1"/>
      <protection/>
    </xf>
    <xf numFmtId="9" fontId="11" fillId="0" borderId="38" xfId="72"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9" applyNumberFormat="1" applyFont="1" applyAlignment="1">
      <alignment/>
    </xf>
    <xf numFmtId="0" fontId="85" fillId="0" borderId="0" xfId="0" applyFont="1" applyAlignment="1">
      <alignment/>
    </xf>
    <xf numFmtId="9" fontId="85" fillId="0" borderId="0" xfId="79" applyFont="1" applyAlignment="1">
      <alignment/>
    </xf>
    <xf numFmtId="199" fontId="85" fillId="0" borderId="0" xfId="59" applyNumberFormat="1" applyFont="1" applyAlignment="1">
      <alignment/>
    </xf>
    <xf numFmtId="0" fontId="85"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5" fillId="29" borderId="0" xfId="79" applyFont="1" applyFill="1" applyAlignment="1">
      <alignment/>
    </xf>
    <xf numFmtId="199" fontId="85" fillId="43" borderId="0" xfId="59" applyNumberFormat="1" applyFont="1" applyFill="1" applyAlignment="1">
      <alignment/>
    </xf>
    <xf numFmtId="10" fontId="0" fillId="0" borderId="0" xfId="79" applyNumberFormat="1" applyFont="1" applyAlignment="1">
      <alignment/>
    </xf>
    <xf numFmtId="0" fontId="95" fillId="0" borderId="0" xfId="0" applyFont="1" applyAlignment="1">
      <alignment/>
    </xf>
    <xf numFmtId="2" fontId="86" fillId="0" borderId="13" xfId="0" applyNumberFormat="1" applyFont="1" applyBorder="1" applyAlignment="1">
      <alignment vertical="center"/>
    </xf>
    <xf numFmtId="10" fontId="0" fillId="0" borderId="0" xfId="79" applyNumberFormat="1" applyFont="1" applyAlignment="1">
      <alignment/>
    </xf>
    <xf numFmtId="0" fontId="88" fillId="11" borderId="13" xfId="0" applyFont="1" applyFill="1" applyBorder="1" applyAlignment="1">
      <alignment horizontal="center" vertical="center" wrapText="1"/>
    </xf>
    <xf numFmtId="189" fontId="0" fillId="0" borderId="0" xfId="58" applyNumberFormat="1" applyFont="1" applyAlignment="1">
      <alignment/>
    </xf>
    <xf numFmtId="0" fontId="90" fillId="0" borderId="13" xfId="0" applyFont="1" applyBorder="1" applyAlignment="1">
      <alignment vertical="center" wrapText="1"/>
    </xf>
    <xf numFmtId="9" fontId="10" fillId="0" borderId="13" xfId="79" applyFont="1" applyBorder="1" applyAlignment="1">
      <alignment vertical="center"/>
    </xf>
    <xf numFmtId="9" fontId="10" fillId="0" borderId="13" xfId="79" applyFont="1" applyFill="1" applyBorder="1" applyAlignment="1">
      <alignment horizontal="center" vertical="center" wrapText="1"/>
    </xf>
    <xf numFmtId="0" fontId="22" fillId="11" borderId="13" xfId="0" applyFont="1" applyFill="1" applyBorder="1" applyAlignment="1">
      <alignment horizontal="center" vertical="center" wrapText="1"/>
    </xf>
    <xf numFmtId="9" fontId="0" fillId="0" borderId="40" xfId="79" applyFont="1" applyBorder="1" applyAlignment="1">
      <alignment horizontal="center" vertical="center"/>
    </xf>
    <xf numFmtId="9" fontId="0" fillId="0" borderId="21" xfId="79" applyFont="1" applyBorder="1" applyAlignment="1">
      <alignment horizontal="center" vertical="center"/>
    </xf>
    <xf numFmtId="9" fontId="0" fillId="0" borderId="52" xfId="79" applyFont="1" applyBorder="1" applyAlignment="1">
      <alignment horizontal="center" vertical="center"/>
    </xf>
    <xf numFmtId="0" fontId="86" fillId="0" borderId="13" xfId="0" applyFont="1" applyBorder="1" applyAlignment="1">
      <alignment horizontal="center" vertical="center"/>
    </xf>
    <xf numFmtId="0" fontId="86" fillId="0" borderId="13" xfId="0" applyFont="1" applyBorder="1" applyAlignment="1">
      <alignment horizontal="center" vertical="center"/>
    </xf>
    <xf numFmtId="9" fontId="86" fillId="0" borderId="13" xfId="79" applyFont="1" applyBorder="1" applyAlignment="1">
      <alignment horizontal="center" vertical="center"/>
    </xf>
    <xf numFmtId="10" fontId="86" fillId="0" borderId="13" xfId="0" applyNumberFormat="1" applyFont="1" applyBorder="1" applyAlignment="1">
      <alignment vertical="center"/>
    </xf>
    <xf numFmtId="9" fontId="86" fillId="0" borderId="13" xfId="0"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0" fontId="86" fillId="0" borderId="13" xfId="0" applyFont="1" applyBorder="1" applyAlignment="1">
      <alignment horizontal="center" vertical="center" wrapText="1"/>
    </xf>
    <xf numFmtId="0" fontId="90" fillId="38" borderId="13" xfId="79" applyNumberFormat="1" applyFont="1" applyFill="1" applyBorder="1" applyAlignment="1">
      <alignment vertical="center" wrapText="1"/>
    </xf>
    <xf numFmtId="9" fontId="86" fillId="0" borderId="13" xfId="0" applyNumberFormat="1" applyFont="1" applyBorder="1" applyAlignment="1">
      <alignment horizontal="center" vertical="center"/>
    </xf>
    <xf numFmtId="0" fontId="86" fillId="0" borderId="13" xfId="0" applyFont="1" applyBorder="1" applyAlignment="1">
      <alignment horizontal="center" vertical="center"/>
    </xf>
    <xf numFmtId="0" fontId="86" fillId="0" borderId="13" xfId="0" applyFont="1" applyBorder="1" applyAlignment="1">
      <alignment horizontal="center" vertical="center" wrapText="1"/>
    </xf>
    <xf numFmtId="9" fontId="86" fillId="0" borderId="13" xfId="79" applyFont="1" applyBorder="1" applyAlignment="1">
      <alignment horizontal="center" vertical="center" wrapText="1"/>
    </xf>
    <xf numFmtId="9" fontId="86" fillId="0" borderId="13" xfId="0" applyNumberFormat="1" applyFont="1" applyBorder="1" applyAlignment="1">
      <alignment horizontal="center" vertical="center"/>
    </xf>
    <xf numFmtId="0" fontId="0" fillId="0" borderId="13" xfId="0" applyBorder="1" applyAlignment="1">
      <alignment vertical="center" wrapText="1"/>
    </xf>
    <xf numFmtId="9" fontId="10" fillId="38" borderId="13" xfId="79" applyFont="1" applyFill="1" applyBorder="1" applyAlignment="1">
      <alignment horizontal="center" vertical="center" wrapText="1"/>
    </xf>
    <xf numFmtId="0" fontId="10" fillId="0" borderId="13" xfId="79" applyNumberFormat="1" applyFont="1" applyBorder="1" applyAlignment="1">
      <alignment horizontal="left" vertical="center" wrapText="1"/>
    </xf>
    <xf numFmtId="0" fontId="11" fillId="11" borderId="22" xfId="0" applyFont="1" applyFill="1" applyBorder="1" applyAlignment="1">
      <alignment horizontal="center" vertical="center" wrapText="1"/>
    </xf>
    <xf numFmtId="9" fontId="86" fillId="44" borderId="13" xfId="0" applyNumberFormat="1" applyFont="1" applyFill="1" applyBorder="1" applyAlignment="1">
      <alignment vertical="center"/>
    </xf>
    <xf numFmtId="9" fontId="87" fillId="0" borderId="13" xfId="0" applyNumberFormat="1" applyFont="1" applyFill="1" applyBorder="1" applyAlignment="1">
      <alignment vertical="center"/>
    </xf>
    <xf numFmtId="9" fontId="87" fillId="0" borderId="13" xfId="79" applyFont="1" applyFill="1" applyBorder="1" applyAlignment="1">
      <alignment vertical="center"/>
    </xf>
    <xf numFmtId="0" fontId="87" fillId="0" borderId="13" xfId="79" applyNumberFormat="1" applyFont="1" applyBorder="1" applyAlignment="1">
      <alignment vertical="center" wrapText="1"/>
    </xf>
    <xf numFmtId="0" fontId="86" fillId="44" borderId="13" xfId="79" applyNumberFormat="1" applyFont="1" applyFill="1" applyBorder="1" applyAlignment="1">
      <alignment vertical="center" wrapText="1"/>
    </xf>
    <xf numFmtId="0" fontId="10" fillId="0" borderId="13" xfId="79" applyNumberFormat="1" applyFont="1" applyBorder="1" applyAlignment="1">
      <alignment horizontal="center" vertical="center" wrapText="1"/>
    </xf>
    <xf numFmtId="9" fontId="86" fillId="0" borderId="13" xfId="0" applyNumberFormat="1" applyFont="1" applyBorder="1" applyAlignment="1">
      <alignment horizontal="center" vertical="center"/>
    </xf>
    <xf numFmtId="9" fontId="86" fillId="0" borderId="13" xfId="79" applyFont="1" applyBorder="1" applyAlignment="1">
      <alignment horizontal="center" vertical="center"/>
    </xf>
    <xf numFmtId="9" fontId="86" fillId="0" borderId="13" xfId="79" applyFont="1" applyBorder="1" applyAlignment="1">
      <alignment vertical="center"/>
    </xf>
    <xf numFmtId="0" fontId="86" fillId="0" borderId="13" xfId="0" applyFont="1" applyFill="1" applyBorder="1" applyAlignment="1">
      <alignment horizontal="center" vertical="center"/>
    </xf>
    <xf numFmtId="0" fontId="86" fillId="0" borderId="13" xfId="0" applyFont="1" applyBorder="1" applyAlignment="1">
      <alignment horizontal="left" vertical="center" wrapText="1"/>
    </xf>
    <xf numFmtId="9" fontId="86" fillId="0" borderId="13" xfId="79" applyFont="1" applyFill="1" applyBorder="1" applyAlignment="1">
      <alignment horizontal="center" vertical="center" wrapText="1"/>
    </xf>
    <xf numFmtId="9" fontId="86" fillId="0" borderId="13" xfId="0" applyNumberFormat="1" applyFont="1" applyBorder="1" applyAlignment="1">
      <alignment horizontal="center" vertical="center"/>
    </xf>
    <xf numFmtId="9" fontId="86" fillId="0" borderId="13" xfId="0" applyNumberFormat="1" applyFont="1" applyBorder="1" applyAlignment="1">
      <alignment vertical="center"/>
    </xf>
    <xf numFmtId="9" fontId="86" fillId="0" borderId="13" xfId="79" applyFont="1" applyFill="1" applyBorder="1" applyAlignment="1">
      <alignment vertical="center"/>
    </xf>
    <xf numFmtId="9" fontId="86" fillId="0" borderId="13" xfId="0" applyNumberFormat="1" applyFont="1" applyFill="1" applyBorder="1" applyAlignment="1">
      <alignment vertical="center"/>
    </xf>
    <xf numFmtId="0" fontId="86" fillId="0" borderId="13" xfId="0" applyFont="1" applyFill="1" applyBorder="1" applyAlignment="1">
      <alignment vertical="center"/>
    </xf>
    <xf numFmtId="10" fontId="10" fillId="11" borderId="13" xfId="79" applyNumberFormat="1" applyFont="1" applyFill="1" applyBorder="1" applyAlignment="1" applyProtection="1">
      <alignment horizontal="center" vertical="center" wrapText="1"/>
      <protection locked="0"/>
    </xf>
    <xf numFmtId="0" fontId="86" fillId="0" borderId="13" xfId="79" applyNumberFormat="1" applyFont="1" applyBorder="1" applyAlignment="1">
      <alignment vertical="center" wrapText="1"/>
    </xf>
    <xf numFmtId="9" fontId="86" fillId="0" borderId="13" xfId="79" applyFont="1" applyBorder="1" applyAlignment="1">
      <alignment vertical="center" wrapText="1"/>
    </xf>
    <xf numFmtId="9" fontId="10" fillId="11" borderId="38" xfId="81" applyFont="1" applyFill="1" applyBorder="1" applyAlignment="1" applyProtection="1">
      <alignment horizontal="center" vertical="center" wrapText="1"/>
      <protection/>
    </xf>
    <xf numFmtId="0" fontId="10" fillId="0" borderId="13" xfId="0" applyFont="1" applyBorder="1" applyAlignment="1">
      <alignment horizontal="left" vertical="center" wrapText="1"/>
    </xf>
    <xf numFmtId="0" fontId="90" fillId="38" borderId="13" xfId="79" applyNumberFormat="1" applyFont="1" applyFill="1" applyBorder="1" applyAlignment="1">
      <alignment horizontal="center" vertical="center"/>
    </xf>
    <xf numFmtId="0" fontId="90" fillId="0" borderId="13" xfId="79" applyNumberFormat="1" applyFont="1" applyBorder="1" applyAlignment="1">
      <alignment horizontal="center" vertical="center"/>
    </xf>
    <xf numFmtId="0" fontId="90" fillId="0" borderId="13" xfId="79" applyNumberFormat="1" applyFont="1" applyBorder="1" applyAlignment="1">
      <alignment horizontal="justify" vertical="center" wrapText="1"/>
    </xf>
    <xf numFmtId="0" fontId="86" fillId="0" borderId="17" xfId="79" applyNumberFormat="1" applyFont="1" applyBorder="1" applyAlignment="1">
      <alignment vertical="center" wrapText="1"/>
    </xf>
    <xf numFmtId="0" fontId="86" fillId="0" borderId="13" xfId="79" applyNumberFormat="1" applyFont="1" applyBorder="1" applyAlignment="1">
      <alignment horizontal="justify" vertical="center" wrapText="1"/>
    </xf>
    <xf numFmtId="0" fontId="38" fillId="0" borderId="13" xfId="79" applyNumberFormat="1" applyFont="1" applyFill="1" applyBorder="1" applyAlignment="1">
      <alignment vertical="center" wrapText="1"/>
    </xf>
    <xf numFmtId="0" fontId="38" fillId="0" borderId="13" xfId="0" applyFont="1" applyBorder="1" applyAlignment="1">
      <alignment vertical="center" wrapText="1"/>
    </xf>
    <xf numFmtId="0" fontId="38" fillId="0" borderId="13" xfId="0" applyFont="1" applyBorder="1" applyAlignment="1">
      <alignment vertical="top" wrapText="1"/>
    </xf>
    <xf numFmtId="0" fontId="38" fillId="38" borderId="13" xfId="79" applyNumberFormat="1" applyFont="1" applyFill="1" applyBorder="1" applyAlignment="1">
      <alignment vertical="center" wrapText="1"/>
    </xf>
    <xf numFmtId="0" fontId="38" fillId="38" borderId="13" xfId="0" applyFont="1" applyFill="1" applyBorder="1" applyAlignment="1">
      <alignment vertical="center" wrapText="1"/>
    </xf>
    <xf numFmtId="1" fontId="86" fillId="0" borderId="13" xfId="0" applyNumberFormat="1" applyFont="1" applyBorder="1" applyAlignment="1">
      <alignment vertical="center"/>
    </xf>
    <xf numFmtId="189" fontId="0" fillId="0" borderId="13" xfId="58" applyNumberFormat="1" applyFont="1" applyFill="1" applyBorder="1" applyAlignment="1">
      <alignment vertical="center"/>
    </xf>
    <xf numFmtId="207" fontId="0" fillId="0" borderId="13" xfId="58" applyNumberFormat="1" applyFont="1" applyFill="1" applyBorder="1" applyAlignment="1">
      <alignment vertical="center"/>
    </xf>
    <xf numFmtId="0" fontId="96" fillId="0" borderId="13" xfId="79" applyNumberFormat="1" applyFont="1" applyFill="1" applyBorder="1" applyAlignment="1">
      <alignment horizontal="left" vertical="center" wrapText="1"/>
    </xf>
    <xf numFmtId="0" fontId="96" fillId="0" borderId="13" xfId="79" applyNumberFormat="1" applyFont="1" applyFill="1" applyBorder="1" applyAlignment="1">
      <alignment horizontal="left" vertical="top" wrapText="1"/>
    </xf>
    <xf numFmtId="0" fontId="97" fillId="45" borderId="13" xfId="79" applyNumberFormat="1" applyFont="1" applyFill="1" applyBorder="1" applyAlignment="1">
      <alignment horizontal="left" vertical="center" wrapText="1"/>
    </xf>
    <xf numFmtId="0" fontId="97" fillId="45" borderId="13" xfId="79" applyNumberFormat="1" applyFont="1" applyFill="1" applyBorder="1" applyAlignment="1">
      <alignment vertical="center" wrapText="1"/>
    </xf>
    <xf numFmtId="0" fontId="97" fillId="0" borderId="13" xfId="79" applyNumberFormat="1" applyFont="1" applyFill="1" applyBorder="1" applyAlignment="1">
      <alignment horizontal="left" vertical="center" wrapText="1"/>
    </xf>
    <xf numFmtId="189" fontId="86" fillId="0" borderId="13" xfId="58" applyNumberFormat="1" applyFont="1" applyBorder="1" applyAlignment="1">
      <alignment horizontal="center" vertical="center"/>
    </xf>
    <xf numFmtId="9" fontId="86" fillId="0" borderId="13" xfId="79" applyFont="1" applyFill="1" applyBorder="1" applyAlignment="1">
      <alignment vertical="center" wrapText="1"/>
    </xf>
    <xf numFmtId="9" fontId="98" fillId="0" borderId="13" xfId="79" applyFont="1" applyFill="1" applyBorder="1" applyAlignment="1">
      <alignment vertical="center" wrapText="1"/>
    </xf>
    <xf numFmtId="0" fontId="97" fillId="45" borderId="13" xfId="79" applyNumberFormat="1" applyFont="1" applyFill="1" applyBorder="1" applyAlignment="1">
      <alignment horizontal="center" vertical="center" wrapText="1"/>
    </xf>
    <xf numFmtId="0" fontId="10" fillId="38" borderId="13" xfId="79" applyNumberFormat="1" applyFont="1" applyFill="1" applyBorder="1" applyAlignment="1">
      <alignment vertical="center" wrapText="1"/>
    </xf>
    <xf numFmtId="0" fontId="10" fillId="38" borderId="13" xfId="0" applyFont="1" applyFill="1" applyBorder="1" applyAlignment="1">
      <alignment vertical="center" wrapText="1"/>
    </xf>
    <xf numFmtId="9" fontId="10" fillId="0" borderId="13" xfId="79" applyFont="1" applyFill="1" applyBorder="1" applyAlignment="1">
      <alignment vertical="center" wrapText="1"/>
    </xf>
    <xf numFmtId="0" fontId="11" fillId="5" borderId="13" xfId="72" applyFont="1" applyFill="1" applyBorder="1" applyAlignment="1">
      <alignment horizontal="center" vertical="center" wrapText="1"/>
      <protection/>
    </xf>
    <xf numFmtId="2" fontId="10" fillId="0" borderId="37" xfId="72"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2" applyNumberFormat="1" applyFont="1" applyFill="1" applyBorder="1" applyAlignment="1" applyProtection="1">
      <alignment horizontal="center" vertical="center" wrapText="1"/>
      <protection/>
    </xf>
    <xf numFmtId="2" fontId="10" fillId="0" borderId="57" xfId="72" applyNumberFormat="1" applyFont="1" applyFill="1" applyBorder="1" applyAlignment="1" applyProtection="1">
      <alignment horizontal="center" vertical="center" wrapText="1"/>
      <protection/>
    </xf>
    <xf numFmtId="9" fontId="87" fillId="0" borderId="64" xfId="72" applyNumberFormat="1" applyFont="1" applyFill="1" applyBorder="1" applyAlignment="1" applyProtection="1">
      <alignment horizontal="center" vertical="center" wrapText="1"/>
      <protection/>
    </xf>
    <xf numFmtId="9" fontId="87" fillId="0" borderId="41" xfId="72" applyNumberFormat="1" applyFont="1" applyFill="1" applyBorder="1" applyAlignment="1" applyProtection="1">
      <alignment horizontal="center" vertical="center" wrapText="1"/>
      <protection/>
    </xf>
    <xf numFmtId="9" fontId="87" fillId="0" borderId="65" xfId="72" applyNumberFormat="1" applyFont="1" applyFill="1" applyBorder="1" applyAlignment="1" applyProtection="1">
      <alignment horizontal="center" vertical="center" wrapText="1"/>
      <protection/>
    </xf>
    <xf numFmtId="9" fontId="87" fillId="0" borderId="58" xfId="72" applyNumberFormat="1" applyFont="1" applyFill="1" applyBorder="1" applyAlignment="1" applyProtection="1">
      <alignment horizontal="center" vertical="center" wrapText="1"/>
      <protection/>
    </xf>
    <xf numFmtId="9" fontId="87" fillId="0" borderId="34" xfId="72" applyNumberFormat="1" applyFont="1" applyFill="1" applyBorder="1" applyAlignment="1" applyProtection="1">
      <alignment horizontal="center" vertical="center" wrapText="1"/>
      <protection/>
    </xf>
    <xf numFmtId="9" fontId="87" fillId="0" borderId="35" xfId="72" applyNumberFormat="1" applyFont="1" applyFill="1" applyBorder="1" applyAlignment="1" applyProtection="1">
      <alignment horizontal="center" vertical="center" wrapText="1"/>
      <protection/>
    </xf>
    <xf numFmtId="2" fontId="10" fillId="0" borderId="20" xfId="72" applyNumberFormat="1" applyFont="1" applyFill="1" applyBorder="1" applyAlignment="1" applyProtection="1">
      <alignment vertical="center" wrapText="1"/>
      <protection/>
    </xf>
    <xf numFmtId="2" fontId="10" fillId="0" borderId="16" xfId="72" applyNumberFormat="1" applyFont="1" applyFill="1" applyBorder="1" applyAlignment="1" applyProtection="1">
      <alignment horizontal="center" vertical="center" wrapText="1"/>
      <protection/>
    </xf>
    <xf numFmtId="9" fontId="87" fillId="0" borderId="66" xfId="72" applyNumberFormat="1" applyFont="1" applyFill="1" applyBorder="1" applyAlignment="1" applyProtection="1">
      <alignment horizontal="center" vertical="center" wrapText="1"/>
      <protection/>
    </xf>
    <xf numFmtId="9" fontId="87" fillId="0" borderId="0" xfId="72" applyNumberFormat="1" applyFont="1" applyFill="1" applyBorder="1" applyAlignment="1" applyProtection="1">
      <alignment horizontal="center" vertical="center" wrapText="1"/>
      <protection/>
    </xf>
    <xf numFmtId="9" fontId="87" fillId="0" borderId="29" xfId="72"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68"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69"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70"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vertical="center" wrapText="1"/>
      <protection/>
    </xf>
    <xf numFmtId="2" fontId="10" fillId="0" borderId="54" xfId="72" applyNumberFormat="1" applyFont="1" applyFill="1" applyBorder="1" applyAlignment="1" applyProtection="1">
      <alignment horizontal="center" vertical="center" wrapText="1"/>
      <protection/>
    </xf>
    <xf numFmtId="9" fontId="87" fillId="0" borderId="64" xfId="72" applyNumberFormat="1" applyFont="1" applyFill="1" applyBorder="1" applyAlignment="1" applyProtection="1">
      <alignment horizontal="left" vertical="center" wrapText="1"/>
      <protection/>
    </xf>
    <xf numFmtId="9" fontId="87" fillId="0" borderId="41" xfId="72" applyNumberFormat="1" applyFont="1" applyFill="1" applyBorder="1" applyAlignment="1" applyProtection="1">
      <alignment horizontal="left" vertical="center" wrapText="1"/>
      <protection/>
    </xf>
    <xf numFmtId="9" fontId="87" fillId="0" borderId="65" xfId="72" applyNumberFormat="1" applyFont="1" applyFill="1" applyBorder="1" applyAlignment="1" applyProtection="1">
      <alignment horizontal="left" vertical="center" wrapText="1"/>
      <protection/>
    </xf>
    <xf numFmtId="9" fontId="87" fillId="0" borderId="66" xfId="72" applyNumberFormat="1" applyFont="1" applyFill="1" applyBorder="1" applyAlignment="1" applyProtection="1">
      <alignment horizontal="left" vertical="center" wrapText="1"/>
      <protection/>
    </xf>
    <xf numFmtId="9" fontId="87" fillId="0" borderId="0" xfId="72" applyNumberFormat="1" applyFont="1" applyFill="1" applyBorder="1" applyAlignment="1" applyProtection="1">
      <alignment horizontal="left" vertical="center" wrapText="1"/>
      <protection/>
    </xf>
    <xf numFmtId="9" fontId="87"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6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9" fontId="87" fillId="0" borderId="64" xfId="81" applyFont="1" applyFill="1" applyBorder="1" applyAlignment="1" applyProtection="1">
      <alignment horizontal="center" vertical="center" wrapText="1"/>
      <protection/>
    </xf>
    <xf numFmtId="9" fontId="87" fillId="0" borderId="41" xfId="81" applyFont="1" applyFill="1" applyBorder="1" applyAlignment="1" applyProtection="1">
      <alignment horizontal="center" vertical="center" wrapText="1"/>
      <protection/>
    </xf>
    <xf numFmtId="9" fontId="87" fillId="0" borderId="42" xfId="81" applyFont="1" applyFill="1" applyBorder="1" applyAlignment="1" applyProtection="1">
      <alignment horizontal="center" vertical="center" wrapText="1"/>
      <protection/>
    </xf>
    <xf numFmtId="9" fontId="87" fillId="0" borderId="58" xfId="81" applyFont="1" applyFill="1" applyBorder="1" applyAlignment="1" applyProtection="1">
      <alignment horizontal="center" vertical="center" wrapText="1"/>
      <protection/>
    </xf>
    <xf numFmtId="9" fontId="87" fillId="0" borderId="34" xfId="81" applyFont="1" applyFill="1" applyBorder="1" applyAlignment="1" applyProtection="1">
      <alignment horizontal="center" vertical="center" wrapText="1"/>
      <protection/>
    </xf>
    <xf numFmtId="9" fontId="87" fillId="0" borderId="71" xfId="81" applyFont="1" applyFill="1" applyBorder="1" applyAlignment="1" applyProtection="1">
      <alignment horizontal="center" vertical="center" wrapText="1"/>
      <protection/>
    </xf>
    <xf numFmtId="9" fontId="87" fillId="0" borderId="65" xfId="81" applyFont="1" applyFill="1" applyBorder="1" applyAlignment="1" applyProtection="1">
      <alignment horizontal="center" vertical="center" wrapText="1"/>
      <protection/>
    </xf>
    <xf numFmtId="9" fontId="87" fillId="0" borderId="35" xfId="81"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3" fontId="11" fillId="0" borderId="64" xfId="72" applyNumberFormat="1" applyFont="1" applyFill="1" applyBorder="1" applyAlignment="1" applyProtection="1">
      <alignment horizontal="center" vertical="center" wrapText="1"/>
      <protection/>
    </xf>
    <xf numFmtId="3" fontId="11" fillId="0" borderId="42" xfId="72" applyNumberFormat="1" applyFont="1" applyFill="1" applyBorder="1" applyAlignment="1" applyProtection="1">
      <alignment horizontal="center" vertical="center" wrapText="1"/>
      <protection/>
    </xf>
    <xf numFmtId="0" fontId="87" fillId="0" borderId="13" xfId="72" applyFont="1" applyFill="1" applyBorder="1" applyAlignment="1" applyProtection="1">
      <alignment horizontal="left" vertical="center" wrapText="1"/>
      <protection/>
    </xf>
    <xf numFmtId="0" fontId="87" fillId="0" borderId="21" xfId="72" applyFont="1" applyFill="1" applyBorder="1" applyAlignment="1" applyProtection="1">
      <alignment horizontal="left" vertical="center" wrapText="1"/>
      <protection/>
    </xf>
    <xf numFmtId="0" fontId="11" fillId="0" borderId="67"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0" borderId="46" xfId="72" applyFont="1" applyFill="1" applyBorder="1" applyAlignment="1">
      <alignment horizontal="center" vertical="center" wrapText="1"/>
      <protection/>
    </xf>
    <xf numFmtId="0" fontId="11" fillId="0" borderId="47" xfId="72" applyFont="1" applyFill="1" applyBorder="1" applyAlignment="1">
      <alignment horizontal="center" vertical="center" wrapText="1"/>
      <protection/>
    </xf>
    <xf numFmtId="0" fontId="11" fillId="0" borderId="48"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9" fontId="11" fillId="0" borderId="73"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0" fontId="11" fillId="5" borderId="75"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0" fontId="11" fillId="5" borderId="73" xfId="72" applyFont="1" applyFill="1" applyBorder="1" applyAlignment="1">
      <alignment horizontal="left" vertical="center" wrapText="1"/>
      <protection/>
    </xf>
    <xf numFmtId="0" fontId="11" fillId="5" borderId="74" xfId="72" applyFont="1" applyFill="1" applyBorder="1" applyAlignment="1">
      <alignment horizontal="left" vertical="center" wrapText="1"/>
      <protection/>
    </xf>
    <xf numFmtId="0" fontId="85" fillId="0" borderId="76" xfId="0" applyFont="1" applyFill="1" applyBorder="1" applyAlignment="1">
      <alignment horizontal="center" vertical="center" wrapText="1"/>
    </xf>
    <xf numFmtId="0" fontId="85"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5" fillId="0" borderId="78" xfId="0" applyFont="1" applyFill="1" applyBorder="1" applyAlignment="1">
      <alignment horizontal="center" vertical="center" wrapText="1"/>
    </xf>
    <xf numFmtId="0" fontId="85" fillId="0" borderId="62" xfId="0" applyFont="1" applyFill="1" applyBorder="1" applyAlignment="1">
      <alignment horizontal="center" vertical="center" wrapText="1"/>
    </xf>
    <xf numFmtId="0" fontId="11" fillId="38" borderId="67" xfId="72" applyFont="1" applyFill="1" applyBorder="1" applyAlignment="1" applyProtection="1">
      <alignment horizontal="center" vertical="center" wrapText="1"/>
      <protection/>
    </xf>
    <xf numFmtId="0" fontId="11" fillId="38" borderId="61" xfId="72" applyFont="1" applyFill="1" applyBorder="1" applyAlignment="1" applyProtection="1">
      <alignment horizontal="center" vertical="center" wrapText="1"/>
      <protection/>
    </xf>
    <xf numFmtId="0" fontId="11" fillId="38" borderId="69" xfId="72" applyFont="1" applyFill="1" applyBorder="1" applyAlignment="1" applyProtection="1">
      <alignment horizontal="center" vertical="center" wrapText="1"/>
      <protection/>
    </xf>
    <xf numFmtId="0" fontId="11" fillId="38" borderId="72" xfId="72" applyFont="1" applyFill="1" applyBorder="1" applyAlignment="1" applyProtection="1">
      <alignment horizontal="center" vertical="center" wrapText="1"/>
      <protection/>
    </xf>
    <xf numFmtId="0" fontId="11" fillId="5" borderId="50"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3" xfId="72" applyFont="1" applyFill="1" applyBorder="1" applyAlignment="1">
      <alignment horizontal="center" vertical="center" wrapText="1"/>
      <protection/>
    </xf>
    <xf numFmtId="0" fontId="11" fillId="0" borderId="75" xfId="72" applyFont="1" applyFill="1" applyBorder="1" applyAlignment="1">
      <alignment horizontal="center" vertical="center" wrapText="1"/>
      <protection/>
    </xf>
    <xf numFmtId="0" fontId="11" fillId="0" borderId="7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73" xfId="72" applyFont="1" applyFill="1" applyBorder="1" applyAlignment="1" applyProtection="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74"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99" fillId="0" borderId="79" xfId="0" applyFont="1" applyBorder="1" applyAlignment="1">
      <alignment horizontal="left" vertical="center" wrapText="1"/>
    </xf>
    <xf numFmtId="0" fontId="99" fillId="0" borderId="38" xfId="0" applyFont="1" applyBorder="1" applyAlignment="1">
      <alignment horizontal="left" vertical="center" wrapText="1"/>
    </xf>
    <xf numFmtId="0" fontId="99" fillId="0" borderId="52" xfId="0" applyFont="1" applyBorder="1" applyAlignment="1">
      <alignment horizontal="left" vertical="center" wrapText="1"/>
    </xf>
    <xf numFmtId="0" fontId="11" fillId="5" borderId="80"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81"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0" fontId="91" fillId="0" borderId="80" xfId="0" applyFont="1" applyFill="1" applyBorder="1" applyAlignment="1">
      <alignment horizontal="center" vertical="center"/>
    </xf>
    <xf numFmtId="0" fontId="91" fillId="0" borderId="27"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9" xfId="0" applyFont="1" applyFill="1" applyBorder="1" applyAlignment="1">
      <alignment horizontal="center" vertical="center"/>
    </xf>
    <xf numFmtId="0" fontId="91" fillId="0" borderId="81" xfId="0" applyFont="1" applyFill="1" applyBorder="1" applyAlignment="1">
      <alignment horizontal="center" vertical="center"/>
    </xf>
    <xf numFmtId="0" fontId="91"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85" fillId="0" borderId="82" xfId="0" applyFont="1" applyFill="1" applyBorder="1" applyAlignment="1">
      <alignment horizontal="center" vertical="center" wrapText="1"/>
    </xf>
    <xf numFmtId="0" fontId="85"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81"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00" fillId="0" borderId="83" xfId="0" applyFont="1" applyFill="1" applyBorder="1" applyAlignment="1">
      <alignment horizontal="center" vertical="center"/>
    </xf>
    <xf numFmtId="0" fontId="100" fillId="0" borderId="84" xfId="0" applyFont="1" applyFill="1" applyBorder="1" applyAlignment="1">
      <alignment horizontal="center" vertical="center"/>
    </xf>
    <xf numFmtId="0" fontId="100" fillId="0" borderId="85" xfId="0" applyFont="1" applyFill="1" applyBorder="1" applyAlignment="1">
      <alignment horizontal="center" vertical="center"/>
    </xf>
    <xf numFmtId="0" fontId="11" fillId="5" borderId="73" xfId="72" applyFont="1" applyFill="1" applyBorder="1" applyAlignment="1" applyProtection="1">
      <alignment horizontal="center" vertical="center" wrapText="1"/>
      <protection/>
    </xf>
    <xf numFmtId="0" fontId="11" fillId="0" borderId="80"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81"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75" xfId="72" applyFont="1" applyFill="1" applyBorder="1" applyAlignment="1">
      <alignment horizontal="center" vertical="center" wrapText="1"/>
      <protection/>
    </xf>
    <xf numFmtId="0" fontId="10" fillId="0" borderId="80"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0" fontId="11" fillId="0" borderId="46" xfId="72" applyFont="1" applyFill="1" applyBorder="1" applyAlignment="1" applyProtection="1">
      <alignment horizontal="center" vertical="center"/>
      <protection/>
    </xf>
    <xf numFmtId="0" fontId="11" fillId="0" borderId="47" xfId="72" applyFont="1" applyFill="1" applyBorder="1" applyAlignment="1" applyProtection="1">
      <alignment horizontal="center" vertical="center"/>
      <protection/>
    </xf>
    <xf numFmtId="0" fontId="11" fillId="0" borderId="48" xfId="72"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2" applyFont="1" applyFill="1" applyBorder="1" applyAlignment="1">
      <alignment horizontal="center" vertical="center" wrapText="1"/>
      <protection/>
    </xf>
    <xf numFmtId="0" fontId="10" fillId="0" borderId="75" xfId="72" applyFont="1" applyFill="1" applyBorder="1" applyAlignment="1">
      <alignment horizontal="center" vertical="center" wrapText="1"/>
      <protection/>
    </xf>
    <xf numFmtId="0" fontId="10" fillId="0" borderId="74" xfId="72" applyFont="1" applyFill="1" applyBorder="1" applyAlignment="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81"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9" fontId="11" fillId="0" borderId="73" xfId="72" applyNumberFormat="1" applyFont="1" applyFill="1" applyBorder="1" applyAlignment="1" applyProtection="1">
      <alignment horizontal="center" vertical="center" wrapText="1"/>
      <protection/>
    </xf>
    <xf numFmtId="9" fontId="11" fillId="0" borderId="74" xfId="72" applyNumberFormat="1"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11" fillId="5" borderId="80"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81"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4" fillId="0" borderId="73" xfId="72" applyFont="1" applyFill="1" applyBorder="1" applyAlignment="1">
      <alignment horizontal="center" vertical="center" wrapText="1"/>
      <protection/>
    </xf>
    <xf numFmtId="0" fontId="14" fillId="0" borderId="75" xfId="72" applyFont="1" applyFill="1" applyBorder="1" applyAlignment="1">
      <alignment horizontal="center" vertical="center" wrapText="1"/>
      <protection/>
    </xf>
    <xf numFmtId="0" fontId="14" fillId="0" borderId="74" xfId="72" applyFont="1" applyFill="1" applyBorder="1" applyAlignment="1">
      <alignment horizontal="center" vertical="center" wrapText="1"/>
      <protection/>
    </xf>
    <xf numFmtId="0" fontId="11" fillId="38" borderId="0"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0"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188" fontId="11" fillId="38" borderId="40" xfId="66" applyNumberFormat="1" applyFont="1" applyFill="1" applyBorder="1" applyAlignment="1" applyProtection="1">
      <alignment horizontal="center" vertical="center" wrapText="1"/>
      <protection/>
    </xf>
    <xf numFmtId="188" fontId="11" fillId="38" borderId="86" xfId="66" applyNumberFormat="1" applyFont="1" applyFill="1" applyBorder="1" applyAlignment="1" applyProtection="1">
      <alignment horizontal="center" vertical="center" wrapText="1"/>
      <protection/>
    </xf>
    <xf numFmtId="188" fontId="11" fillId="38" borderId="79" xfId="66" applyNumberFormat="1" applyFont="1" applyFill="1" applyBorder="1" applyAlignment="1" applyProtection="1">
      <alignment horizontal="center" vertical="center" wrapText="1"/>
      <protection/>
    </xf>
    <xf numFmtId="0" fontId="11" fillId="39" borderId="28"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protection/>
    </xf>
    <xf numFmtId="188" fontId="11" fillId="38" borderId="17" xfId="66" applyNumberFormat="1" applyFont="1" applyFill="1" applyBorder="1" applyAlignment="1" applyProtection="1">
      <alignment horizontal="center" vertical="center"/>
      <protection/>
    </xf>
    <xf numFmtId="0" fontId="91" fillId="0" borderId="83" xfId="0" applyFont="1" applyFill="1" applyBorder="1" applyAlignment="1">
      <alignment horizontal="center" vertical="center"/>
    </xf>
    <xf numFmtId="0" fontId="91" fillId="0" borderId="85" xfId="0" applyFont="1" applyFill="1" applyBorder="1" applyAlignment="1">
      <alignment horizontal="center" vertical="center"/>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0" fillId="0" borderId="85"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8" fillId="0" borderId="79" xfId="0" applyFont="1" applyBorder="1" applyAlignment="1">
      <alignment horizontal="left" vertical="center" wrapText="1"/>
    </xf>
    <xf numFmtId="0" fontId="88" fillId="0" borderId="38" xfId="0" applyFont="1" applyBorder="1" applyAlignment="1">
      <alignment horizontal="left" vertical="center" wrapText="1"/>
    </xf>
    <xf numFmtId="0" fontId="88" fillId="0" borderId="52" xfId="0" applyFont="1" applyBorder="1" applyAlignment="1">
      <alignment horizontal="left" vertical="center" wrapText="1"/>
    </xf>
    <xf numFmtId="0" fontId="11" fillId="5" borderId="26"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188" fontId="11" fillId="38" borderId="14" xfId="66" applyNumberFormat="1" applyFont="1" applyFill="1" applyBorder="1" applyAlignment="1" applyProtection="1">
      <alignment horizontal="center" vertical="center" wrapText="1"/>
      <protection/>
    </xf>
    <xf numFmtId="188"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188" fontId="11" fillId="38" borderId="76" xfId="66" applyNumberFormat="1" applyFont="1" applyFill="1" applyBorder="1" applyAlignment="1" applyProtection="1">
      <alignment horizontal="center" vertical="center" wrapText="1"/>
      <protection/>
    </xf>
    <xf numFmtId="0" fontId="11" fillId="38" borderId="82"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188" fontId="11" fillId="0" borderId="14" xfId="66" applyNumberFormat="1" applyFont="1" applyFill="1" applyBorder="1" applyAlignment="1" applyProtection="1">
      <alignment horizontal="center" vertical="center" wrapText="1"/>
      <protection/>
    </xf>
    <xf numFmtId="188" fontId="11" fillId="0" borderId="45" xfId="66"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8" fillId="0" borderId="13" xfId="0" applyFont="1" applyBorder="1" applyAlignment="1">
      <alignment horizontal="left" vertical="center" wrapText="1"/>
    </xf>
    <xf numFmtId="0" fontId="88" fillId="0" borderId="39" xfId="0" applyFont="1" applyBorder="1" applyAlignment="1">
      <alignment horizontal="center" vertical="center"/>
    </xf>
    <xf numFmtId="0" fontId="88" fillId="0" borderId="15" xfId="0" applyFont="1" applyBorder="1" applyAlignment="1">
      <alignment horizontal="center" vertical="center"/>
    </xf>
    <xf numFmtId="0" fontId="88" fillId="0" borderId="44" xfId="0" applyFont="1" applyBorder="1" applyAlignment="1">
      <alignment horizontal="center" vertical="center"/>
    </xf>
    <xf numFmtId="0" fontId="88" fillId="11" borderId="14" xfId="0" applyFont="1" applyFill="1" applyBorder="1" applyAlignment="1">
      <alignment horizontal="center" vertical="center"/>
    </xf>
    <xf numFmtId="0" fontId="88" fillId="11" borderId="70" xfId="0" applyFont="1" applyFill="1" applyBorder="1" applyAlignment="1">
      <alignment horizontal="center" vertical="center"/>
    </xf>
    <xf numFmtId="0" fontId="88" fillId="11" borderId="17" xfId="0" applyFont="1" applyFill="1" applyBorder="1" applyAlignment="1">
      <alignment horizontal="center" vertical="center"/>
    </xf>
    <xf numFmtId="0" fontId="88" fillId="11" borderId="39" xfId="0" applyFont="1" applyFill="1" applyBorder="1" applyAlignment="1">
      <alignment horizontal="left" vertical="center"/>
    </xf>
    <xf numFmtId="0" fontId="88" fillId="11" borderId="15" xfId="0" applyFont="1" applyFill="1" applyBorder="1" applyAlignment="1">
      <alignment horizontal="left" vertical="center"/>
    </xf>
    <xf numFmtId="0" fontId="88" fillId="11" borderId="44" xfId="0" applyFont="1" applyFill="1" applyBorder="1" applyAlignment="1">
      <alignment horizontal="left" vertical="center"/>
    </xf>
    <xf numFmtId="0" fontId="88" fillId="0" borderId="14" xfId="0" applyFont="1" applyFill="1" applyBorder="1" applyAlignment="1">
      <alignment horizontal="center" vertical="center"/>
    </xf>
    <xf numFmtId="0" fontId="88" fillId="0" borderId="70" xfId="0" applyFont="1" applyFill="1" applyBorder="1" applyAlignment="1">
      <alignment horizontal="center" vertical="center"/>
    </xf>
    <xf numFmtId="0" fontId="88" fillId="0" borderId="17" xfId="0" applyFont="1" applyFill="1" applyBorder="1" applyAlignment="1">
      <alignment horizontal="center" vertical="center"/>
    </xf>
    <xf numFmtId="0" fontId="88" fillId="0" borderId="64" xfId="0" applyFont="1" applyBorder="1" applyAlignment="1">
      <alignment horizontal="center" vertical="center"/>
    </xf>
    <xf numFmtId="0" fontId="88" fillId="0" borderId="41" xfId="0" applyFont="1" applyBorder="1" applyAlignment="1">
      <alignment horizontal="center" vertical="center"/>
    </xf>
    <xf numFmtId="0" fontId="88" fillId="0" borderId="42" xfId="0" applyFont="1" applyBorder="1" applyAlignment="1">
      <alignment horizontal="center" vertical="center"/>
    </xf>
    <xf numFmtId="0" fontId="88" fillId="11" borderId="14" xfId="0" applyFont="1" applyFill="1" applyBorder="1" applyAlignment="1">
      <alignment horizontal="center" vertical="center" wrapText="1"/>
    </xf>
    <xf numFmtId="0" fontId="88" fillId="11" borderId="17"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88" fillId="11" borderId="22" xfId="0" applyFont="1" applyFill="1" applyBorder="1" applyAlignment="1">
      <alignment horizontal="center" vertical="center" wrapText="1"/>
    </xf>
    <xf numFmtId="0" fontId="88" fillId="11" borderId="16" xfId="0" applyFont="1" applyFill="1" applyBorder="1" applyAlignment="1">
      <alignment horizontal="center" vertical="center" wrapText="1"/>
    </xf>
    <xf numFmtId="0" fontId="88" fillId="11" borderId="70" xfId="0" applyFont="1" applyFill="1" applyBorder="1" applyAlignment="1">
      <alignment horizontal="center" vertical="center" wrapText="1"/>
    </xf>
    <xf numFmtId="0" fontId="88" fillId="41" borderId="13" xfId="72" applyFont="1" applyFill="1" applyBorder="1" applyAlignment="1">
      <alignment horizontal="center" vertical="center" wrapText="1"/>
      <protection/>
    </xf>
    <xf numFmtId="0" fontId="11" fillId="41" borderId="13" xfId="72" applyFont="1" applyFill="1" applyBorder="1" applyAlignment="1">
      <alignment horizontal="center" vertical="center" wrapText="1"/>
      <protection/>
    </xf>
    <xf numFmtId="0" fontId="86" fillId="0" borderId="14" xfId="0" applyFont="1" applyBorder="1" applyAlignment="1">
      <alignment horizontal="left" vertical="center"/>
    </xf>
    <xf numFmtId="0" fontId="86" fillId="0" borderId="70" xfId="0" applyFont="1" applyBorder="1" applyAlignment="1">
      <alignment horizontal="left" vertical="center"/>
    </xf>
    <xf numFmtId="0" fontId="86" fillId="0" borderId="17" xfId="0" applyFont="1" applyBorder="1" applyAlignment="1">
      <alignment horizontal="left" vertical="center"/>
    </xf>
    <xf numFmtId="0" fontId="88" fillId="11" borderId="54"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11" borderId="64" xfId="0" applyFont="1" applyFill="1" applyBorder="1" applyAlignment="1">
      <alignment horizontal="center" vertical="center"/>
    </xf>
    <xf numFmtId="0" fontId="88" fillId="11" borderId="41" xfId="0" applyFont="1" applyFill="1" applyBorder="1" applyAlignment="1">
      <alignment horizontal="center" vertical="center"/>
    </xf>
    <xf numFmtId="0" fontId="88" fillId="11" borderId="42" xfId="0" applyFont="1" applyFill="1" applyBorder="1" applyAlignment="1">
      <alignment horizontal="center" vertical="center"/>
    </xf>
    <xf numFmtId="0" fontId="88" fillId="11" borderId="66" xfId="0" applyFont="1" applyFill="1" applyBorder="1" applyAlignment="1">
      <alignment horizontal="center" vertical="center"/>
    </xf>
    <xf numFmtId="0" fontId="88" fillId="11" borderId="0" xfId="0" applyFont="1" applyFill="1" applyBorder="1" applyAlignment="1">
      <alignment horizontal="center" vertical="center"/>
    </xf>
    <xf numFmtId="0" fontId="88" fillId="11" borderId="43" xfId="0" applyFont="1" applyFill="1" applyBorder="1" applyAlignment="1">
      <alignment horizontal="center" vertical="center"/>
    </xf>
    <xf numFmtId="0" fontId="88" fillId="11" borderId="39" xfId="0" applyFont="1" applyFill="1" applyBorder="1" applyAlignment="1">
      <alignment horizontal="center" vertical="center"/>
    </xf>
    <xf numFmtId="0" fontId="88" fillId="11" borderId="15" xfId="0" applyFont="1" applyFill="1" applyBorder="1" applyAlignment="1">
      <alignment horizontal="center" vertical="center"/>
    </xf>
    <xf numFmtId="0" fontId="88" fillId="11" borderId="44" xfId="0" applyFont="1" applyFill="1" applyBorder="1" applyAlignment="1">
      <alignment horizontal="center" vertical="center"/>
    </xf>
    <xf numFmtId="0" fontId="88" fillId="11" borderId="13" xfId="0" applyFont="1" applyFill="1" applyBorder="1" applyAlignment="1">
      <alignment horizontal="center" vertical="center"/>
    </xf>
    <xf numFmtId="0" fontId="101" fillId="0" borderId="13" xfId="0" applyFont="1" applyFill="1" applyBorder="1" applyAlignment="1">
      <alignment horizontal="center" vertical="center"/>
    </xf>
    <xf numFmtId="0" fontId="88" fillId="11" borderId="14" xfId="0" applyFont="1" applyFill="1" applyBorder="1" applyAlignment="1">
      <alignment horizontal="left" vertical="center"/>
    </xf>
    <xf numFmtId="0" fontId="88" fillId="11" borderId="70" xfId="0" applyFont="1" applyFill="1" applyBorder="1" applyAlignment="1">
      <alignment horizontal="left" vertical="center"/>
    </xf>
    <xf numFmtId="0" fontId="88" fillId="11" borderId="17" xfId="0" applyFont="1" applyFill="1" applyBorder="1" applyAlignment="1">
      <alignment horizontal="left" vertical="center"/>
    </xf>
    <xf numFmtId="0" fontId="86" fillId="0" borderId="39" xfId="0" applyFont="1" applyBorder="1" applyAlignment="1">
      <alignment horizontal="center" vertical="center"/>
    </xf>
    <xf numFmtId="0" fontId="86" fillId="0" borderId="15" xfId="0" applyFont="1" applyBorder="1" applyAlignment="1">
      <alignment horizontal="center" vertical="center"/>
    </xf>
    <xf numFmtId="0" fontId="86" fillId="0" borderId="70" xfId="0" applyFont="1" applyBorder="1" applyAlignment="1">
      <alignment horizontal="center" vertical="center"/>
    </xf>
    <xf numFmtId="0" fontId="86" fillId="0" borderId="17" xfId="0" applyFont="1" applyBorder="1" applyAlignment="1">
      <alignment horizontal="center" vertical="center"/>
    </xf>
    <xf numFmtId="0" fontId="86" fillId="0" borderId="14" xfId="0" applyFont="1" applyBorder="1" applyAlignment="1">
      <alignment horizontal="center" vertical="center"/>
    </xf>
    <xf numFmtId="0" fontId="88" fillId="0" borderId="64" xfId="0" applyFont="1" applyBorder="1" applyAlignment="1">
      <alignment vertical="center" wrapText="1"/>
    </xf>
    <xf numFmtId="0" fontId="88" fillId="0" borderId="41" xfId="0" applyFont="1" applyBorder="1" applyAlignment="1">
      <alignment vertical="center" wrapText="1"/>
    </xf>
    <xf numFmtId="0" fontId="88" fillId="0" borderId="42" xfId="0" applyFont="1" applyBorder="1" applyAlignment="1">
      <alignment vertical="center" wrapText="1"/>
    </xf>
    <xf numFmtId="0" fontId="88"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8" fillId="17" borderId="14" xfId="0" applyFont="1" applyFill="1" applyBorder="1" applyAlignment="1">
      <alignment horizontal="center" vertical="center"/>
    </xf>
    <xf numFmtId="0" fontId="88" fillId="17" borderId="17" xfId="0" applyFont="1" applyFill="1" applyBorder="1" applyAlignment="1">
      <alignment horizontal="center" vertical="center"/>
    </xf>
    <xf numFmtId="0" fontId="88" fillId="0" borderId="14" xfId="0" applyFont="1" applyFill="1" applyBorder="1" applyAlignment="1">
      <alignment horizontal="left" vertical="center" wrapText="1"/>
    </xf>
    <xf numFmtId="0" fontId="88" fillId="0" borderId="17"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86" fillId="0" borderId="54" xfId="0" applyFont="1" applyFill="1" applyBorder="1" applyAlignment="1">
      <alignment horizontal="left" vertical="center" wrapText="1"/>
    </xf>
    <xf numFmtId="0" fontId="86" fillId="0" borderId="16" xfId="0" applyFont="1" applyFill="1" applyBorder="1" applyAlignment="1">
      <alignment horizontal="left" vertical="center" wrapText="1"/>
    </xf>
    <xf numFmtId="41" fontId="86" fillId="0" borderId="64" xfId="60" applyFont="1" applyFill="1" applyBorder="1" applyAlignment="1">
      <alignment horizontal="left" vertical="center"/>
    </xf>
    <xf numFmtId="41" fontId="86" fillId="0" borderId="66" xfId="60" applyFont="1" applyFill="1" applyBorder="1" applyAlignment="1">
      <alignment horizontal="left" vertical="center"/>
    </xf>
    <xf numFmtId="41" fontId="86" fillId="0" borderId="39" xfId="60" applyFont="1" applyFill="1" applyBorder="1" applyAlignment="1">
      <alignment horizontal="left" vertical="center"/>
    </xf>
    <xf numFmtId="189" fontId="85" fillId="0" borderId="13" xfId="58" applyNumberFormat="1" applyFont="1" applyBorder="1" applyAlignment="1">
      <alignment horizontal="center" vertical="center" wrapText="1"/>
    </xf>
    <xf numFmtId="189" fontId="85" fillId="0" borderId="13" xfId="58" applyNumberFormat="1" applyFont="1" applyBorder="1" applyAlignment="1">
      <alignment horizontal="center" vertical="center"/>
    </xf>
    <xf numFmtId="189" fontId="85" fillId="0" borderId="14" xfId="58" applyNumberFormat="1" applyFont="1" applyBorder="1" applyAlignment="1">
      <alignment horizontal="center" vertical="center"/>
    </xf>
    <xf numFmtId="189" fontId="85" fillId="0" borderId="70" xfId="58" applyNumberFormat="1" applyFont="1" applyBorder="1" applyAlignment="1">
      <alignment horizontal="center" vertical="center"/>
    </xf>
    <xf numFmtId="189" fontId="85" fillId="0" borderId="17" xfId="58" applyNumberFormat="1" applyFont="1" applyBorder="1" applyAlignment="1">
      <alignment horizontal="center" vertical="center"/>
    </xf>
    <xf numFmtId="14" fontId="91" fillId="0" borderId="80" xfId="0" applyNumberFormat="1" applyFont="1" applyBorder="1" applyAlignment="1">
      <alignment horizontal="center" vertical="center"/>
    </xf>
    <xf numFmtId="0" fontId="91" fillId="0" borderId="27" xfId="0" applyFont="1" applyBorder="1" applyAlignment="1">
      <alignment horizontal="center" vertical="center"/>
    </xf>
    <xf numFmtId="0" fontId="91" fillId="0" borderId="28" xfId="0" applyFont="1" applyBorder="1" applyAlignment="1">
      <alignment horizontal="center" vertical="center"/>
    </xf>
    <xf numFmtId="0" fontId="91" fillId="0" borderId="29" xfId="0" applyFont="1" applyBorder="1" applyAlignment="1">
      <alignment horizontal="center" vertical="center"/>
    </xf>
    <xf numFmtId="0" fontId="91" fillId="0" borderId="81" xfId="0" applyFont="1" applyBorder="1" applyAlignment="1">
      <alignment horizontal="center" vertical="center"/>
    </xf>
    <xf numFmtId="0" fontId="91" fillId="0" borderId="35" xfId="0" applyFont="1" applyBorder="1" applyAlignment="1">
      <alignment horizontal="center" vertical="center"/>
    </xf>
    <xf numFmtId="0" fontId="85" fillId="0" borderId="78" xfId="0" applyFont="1" applyBorder="1" applyAlignment="1">
      <alignment horizontal="center" vertical="center" wrapText="1"/>
    </xf>
    <xf numFmtId="0" fontId="85" fillId="0" borderId="62" xfId="0" applyFont="1" applyBorder="1" applyAlignment="1">
      <alignment horizontal="center" vertical="center" wrapText="1"/>
    </xf>
    <xf numFmtId="0" fontId="10" fillId="0" borderId="80" xfId="72" applyFont="1" applyBorder="1" applyAlignment="1">
      <alignment horizontal="center" vertical="center" wrapText="1"/>
      <protection/>
    </xf>
    <xf numFmtId="0" fontId="10" fillId="0" borderId="28" xfId="72" applyFont="1" applyBorder="1" applyAlignment="1">
      <alignment horizontal="center" vertical="center" wrapText="1"/>
      <protection/>
    </xf>
    <xf numFmtId="0" fontId="10" fillId="0" borderId="81" xfId="72" applyFont="1" applyBorder="1" applyAlignment="1">
      <alignment horizontal="center" vertical="center" wrapText="1"/>
      <protection/>
    </xf>
    <xf numFmtId="0" fontId="11" fillId="0" borderId="46" xfId="72" applyFont="1" applyBorder="1" applyAlignment="1">
      <alignment horizontal="center" vertical="center"/>
      <protection/>
    </xf>
    <xf numFmtId="0" fontId="11" fillId="0" borderId="47" xfId="72" applyFont="1" applyBorder="1" applyAlignment="1">
      <alignment horizontal="center" vertical="center"/>
      <protection/>
    </xf>
    <xf numFmtId="0" fontId="11" fillId="0" borderId="48" xfId="72"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2" applyFont="1" applyBorder="1" applyAlignment="1">
      <alignment horizontal="center" vertical="center" wrapText="1"/>
      <protection/>
    </xf>
    <xf numFmtId="0" fontId="11" fillId="0" borderId="69" xfId="72" applyFont="1" applyBorder="1" applyAlignment="1">
      <alignment horizontal="center" vertical="center" wrapText="1"/>
      <protection/>
    </xf>
    <xf numFmtId="0" fontId="11" fillId="0" borderId="72" xfId="72" applyFont="1" applyBorder="1" applyAlignment="1">
      <alignment horizontal="center" vertical="center" wrapText="1"/>
      <protection/>
    </xf>
    <xf numFmtId="0" fontId="11" fillId="0" borderId="50"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1" fillId="0" borderId="52" xfId="72"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85" fillId="0" borderId="82" xfId="0" applyFont="1" applyBorder="1" applyAlignment="1">
      <alignment horizontal="center" vertical="center" wrapText="1"/>
    </xf>
    <xf numFmtId="0" fontId="85"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85" fillId="0" borderId="76" xfId="0" applyFont="1" applyBorder="1" applyAlignment="1">
      <alignment horizontal="center" vertical="center" wrapText="1"/>
    </xf>
    <xf numFmtId="0" fontId="85"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7" xfId="72" applyFont="1" applyBorder="1" applyAlignment="1">
      <alignment horizontal="center" vertical="center" wrapText="1"/>
      <protection/>
    </xf>
    <xf numFmtId="0" fontId="11" fillId="0" borderId="28" xfId="72" applyFont="1" applyBorder="1" applyAlignment="1">
      <alignment horizontal="center" vertical="center" wrapText="1"/>
      <protection/>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0" borderId="81" xfId="72" applyFont="1" applyBorder="1" applyAlignment="1">
      <alignment horizontal="center" vertical="center" wrapText="1"/>
      <protection/>
    </xf>
    <xf numFmtId="0" fontId="11" fillId="0" borderId="34"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00" fillId="0" borderId="83" xfId="0" applyFont="1" applyBorder="1" applyAlignment="1">
      <alignment horizontal="center" vertical="center"/>
    </xf>
    <xf numFmtId="0" fontId="100" fillId="0" borderId="84" xfId="0" applyFont="1" applyBorder="1" applyAlignment="1">
      <alignment horizontal="center" vertical="center"/>
    </xf>
    <xf numFmtId="0" fontId="100" fillId="0" borderId="85" xfId="0" applyFont="1" applyBorder="1" applyAlignment="1">
      <alignment horizontal="center" vertical="center"/>
    </xf>
    <xf numFmtId="0" fontId="11" fillId="5" borderId="0" xfId="72" applyFont="1" applyFill="1" applyAlignment="1">
      <alignment horizontal="left" vertical="center" wrapText="1"/>
      <protection/>
    </xf>
    <xf numFmtId="0" fontId="11" fillId="0" borderId="73" xfId="72" applyFont="1" applyBorder="1" applyAlignment="1">
      <alignment horizontal="center" vertical="center" wrapText="1"/>
      <protection/>
    </xf>
    <xf numFmtId="0" fontId="11" fillId="0" borderId="75" xfId="72" applyFont="1" applyBorder="1" applyAlignment="1">
      <alignment horizontal="center" vertical="center" wrapText="1"/>
      <protection/>
    </xf>
    <xf numFmtId="0" fontId="11" fillId="0" borderId="74" xfId="72" applyFont="1" applyBorder="1" applyAlignment="1">
      <alignment horizontal="center" vertical="center" wrapText="1"/>
      <protection/>
    </xf>
    <xf numFmtId="0" fontId="11" fillId="0" borderId="46" xfId="72" applyFont="1" applyBorder="1" applyAlignment="1">
      <alignment horizontal="center" vertical="center" wrapText="1"/>
      <protection/>
    </xf>
    <xf numFmtId="0" fontId="11" fillId="0" borderId="47" xfId="72" applyFont="1" applyBorder="1" applyAlignment="1">
      <alignment horizontal="center" vertical="center" wrapText="1"/>
      <protection/>
    </xf>
    <xf numFmtId="0" fontId="11" fillId="0" borderId="48" xfId="72" applyFont="1" applyBorder="1" applyAlignment="1">
      <alignment horizontal="center" vertical="center" wrapText="1"/>
      <protection/>
    </xf>
    <xf numFmtId="0" fontId="11" fillId="38" borderId="34" xfId="72" applyFont="1" applyFill="1" applyBorder="1" applyAlignment="1">
      <alignment horizontal="left" vertical="center" wrapText="1"/>
      <protection/>
    </xf>
    <xf numFmtId="0" fontId="10" fillId="0" borderId="73" xfId="72" applyFont="1" applyBorder="1" applyAlignment="1">
      <alignment horizontal="center" vertical="center" wrapText="1"/>
      <protection/>
    </xf>
    <xf numFmtId="0" fontId="10" fillId="0" borderId="75" xfId="72" applyFont="1" applyBorder="1" applyAlignment="1">
      <alignment horizontal="center" vertical="center" wrapText="1"/>
      <protection/>
    </xf>
    <xf numFmtId="0" fontId="10" fillId="0" borderId="74" xfId="72" applyFont="1" applyBorder="1" applyAlignment="1">
      <alignment horizontal="center" vertical="center" wrapText="1"/>
      <protection/>
    </xf>
    <xf numFmtId="9" fontId="11" fillId="0" borderId="73" xfId="72" applyNumberFormat="1" applyFont="1" applyBorder="1" applyAlignment="1">
      <alignment horizontal="center" vertical="center" wrapText="1"/>
      <protection/>
    </xf>
    <xf numFmtId="9" fontId="11" fillId="0" borderId="74" xfId="72" applyNumberFormat="1" applyFont="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0" fontId="11" fillId="38" borderId="67" xfId="72" applyFont="1" applyFill="1" applyBorder="1" applyAlignment="1">
      <alignment horizontal="center" vertical="center" wrapText="1"/>
      <protection/>
    </xf>
    <xf numFmtId="0" fontId="11" fillId="38" borderId="61" xfId="72" applyFont="1" applyFill="1" applyBorder="1" applyAlignment="1">
      <alignment horizontal="center" vertical="center" wrapText="1"/>
      <protection/>
    </xf>
    <xf numFmtId="0" fontId="11" fillId="38" borderId="69" xfId="72" applyFont="1" applyFill="1" applyBorder="1" applyAlignment="1">
      <alignment horizontal="center" vertical="center" wrapText="1"/>
      <protection/>
    </xf>
    <xf numFmtId="0" fontId="11" fillId="38" borderId="72" xfId="72" applyFont="1" applyFill="1" applyBorder="1" applyAlignment="1">
      <alignment horizontal="center" vertical="center" wrapText="1"/>
      <protection/>
    </xf>
    <xf numFmtId="0" fontId="11" fillId="5" borderId="49"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1" fillId="5" borderId="42" xfId="72" applyFont="1" applyFill="1" applyBorder="1" applyAlignment="1">
      <alignment horizontal="center" vertical="center" wrapText="1"/>
      <protection/>
    </xf>
    <xf numFmtId="0" fontId="11" fillId="5" borderId="39" xfId="72" applyFont="1" applyFill="1" applyBorder="1" applyAlignment="1">
      <alignment horizontal="center" vertical="center" wrapText="1"/>
      <protection/>
    </xf>
    <xf numFmtId="0" fontId="11" fillId="5" borderId="44" xfId="72" applyFont="1" applyFill="1" applyBorder="1" applyAlignment="1">
      <alignment horizontal="center" vertical="center" wrapText="1"/>
      <protection/>
    </xf>
    <xf numFmtId="0" fontId="11" fillId="5" borderId="70"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3" fontId="11" fillId="0" borderId="64" xfId="72" applyNumberFormat="1" applyFont="1" applyBorder="1" applyAlignment="1">
      <alignment horizontal="center" vertical="center" wrapText="1"/>
      <protection/>
    </xf>
    <xf numFmtId="3" fontId="11" fillId="0" borderId="42" xfId="72" applyNumberFormat="1" applyFont="1" applyBorder="1" applyAlignment="1">
      <alignment horizontal="center" vertical="center" wrapText="1"/>
      <protection/>
    </xf>
    <xf numFmtId="0" fontId="87" fillId="0" borderId="13" xfId="72" applyFont="1" applyBorder="1" applyAlignment="1">
      <alignment horizontal="left" vertical="center" wrapText="1"/>
      <protection/>
    </xf>
    <xf numFmtId="0" fontId="87" fillId="0" borderId="21" xfId="72" applyFont="1" applyBorder="1" applyAlignment="1">
      <alignment horizontal="left" vertical="center" wrapText="1"/>
      <protection/>
    </xf>
    <xf numFmtId="0" fontId="10" fillId="5" borderId="13" xfId="72" applyFont="1" applyFill="1" applyBorder="1" applyAlignment="1">
      <alignment horizontal="center" vertical="center" wrapText="1"/>
      <protection/>
    </xf>
    <xf numFmtId="0" fontId="11" fillId="5" borderId="15"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0" fontId="10" fillId="0" borderId="37" xfId="72" applyFont="1" applyBorder="1" applyAlignment="1">
      <alignment horizontal="center" vertical="center" wrapText="1"/>
      <protection/>
    </xf>
    <xf numFmtId="0" fontId="10" fillId="0" borderId="63" xfId="72" applyFont="1" applyBorder="1" applyAlignment="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7" xfId="79" applyFont="1" applyFill="1" applyBorder="1" applyAlignment="1" applyProtection="1">
      <alignment horizontal="center" vertical="center" wrapText="1"/>
      <protection/>
    </xf>
    <xf numFmtId="9" fontId="10" fillId="38" borderId="64" xfId="81" applyFont="1" applyFill="1" applyBorder="1" applyAlignment="1" applyProtection="1">
      <alignment horizontal="left" vertical="center" wrapText="1"/>
      <protection/>
    </xf>
    <xf numFmtId="9" fontId="10" fillId="38" borderId="41" xfId="81" applyFont="1" applyFill="1" applyBorder="1" applyAlignment="1" applyProtection="1">
      <alignment horizontal="left" vertical="center" wrapText="1"/>
      <protection/>
    </xf>
    <xf numFmtId="9" fontId="10" fillId="38" borderId="42" xfId="81" applyFont="1" applyFill="1" applyBorder="1" applyAlignment="1" applyProtection="1">
      <alignment horizontal="left" vertical="center" wrapText="1"/>
      <protection/>
    </xf>
    <xf numFmtId="9" fontId="10" fillId="38" borderId="58" xfId="81" applyFont="1" applyFill="1" applyBorder="1" applyAlignment="1" applyProtection="1">
      <alignment horizontal="left" vertical="center" wrapText="1"/>
      <protection/>
    </xf>
    <xf numFmtId="9" fontId="10" fillId="38" borderId="34" xfId="81" applyFont="1" applyFill="1" applyBorder="1" applyAlignment="1" applyProtection="1">
      <alignment horizontal="left" vertical="center" wrapText="1"/>
      <protection/>
    </xf>
    <xf numFmtId="9" fontId="10" fillId="38" borderId="71" xfId="81" applyFont="1" applyFill="1" applyBorder="1" applyAlignment="1" applyProtection="1">
      <alignment horizontal="left" vertical="center" wrapText="1"/>
      <protection/>
    </xf>
    <xf numFmtId="9" fontId="10" fillId="0" borderId="64"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58"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1" xfId="81" applyFont="1" applyFill="1" applyBorder="1" applyAlignment="1" applyProtection="1">
      <alignment horizontal="center" vertical="center" wrapText="1"/>
      <protection/>
    </xf>
    <xf numFmtId="9" fontId="10" fillId="38" borderId="65" xfId="81" applyFont="1" applyFill="1" applyBorder="1" applyAlignment="1" applyProtection="1">
      <alignment horizontal="left" vertical="center" wrapText="1"/>
      <protection/>
    </xf>
    <xf numFmtId="9" fontId="10" fillId="38" borderId="35" xfId="81" applyFont="1" applyFill="1" applyBorder="1" applyAlignment="1" applyProtection="1">
      <alignment horizontal="left" vertical="center" wrapText="1"/>
      <protection/>
    </xf>
    <xf numFmtId="0" fontId="11" fillId="5" borderId="68" xfId="72" applyFont="1" applyFill="1" applyBorder="1" applyAlignment="1">
      <alignment horizontal="center" vertical="center" wrapText="1"/>
      <protection/>
    </xf>
    <xf numFmtId="0" fontId="11" fillId="5" borderId="16" xfId="72" applyFont="1" applyFill="1" applyBorder="1" applyAlignment="1">
      <alignment horizontal="center" vertical="center" wrapText="1"/>
      <protection/>
    </xf>
    <xf numFmtId="0" fontId="11" fillId="5" borderId="69"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2" fontId="10" fillId="0" borderId="51" xfId="72" applyNumberFormat="1" applyFont="1" applyBorder="1" applyAlignment="1">
      <alignment vertical="center" wrapText="1"/>
      <protection/>
    </xf>
    <xf numFmtId="9" fontId="10" fillId="0" borderId="16" xfId="79" applyFont="1" applyFill="1" applyBorder="1" applyAlignment="1" applyProtection="1">
      <alignment horizontal="center" vertical="center" wrapText="1"/>
      <protection/>
    </xf>
    <xf numFmtId="2" fontId="10" fillId="0" borderId="37" xfId="72" applyNumberFormat="1" applyFont="1" applyBorder="1" applyAlignment="1">
      <alignment vertical="center" wrapText="1"/>
      <protection/>
    </xf>
    <xf numFmtId="9" fontId="10" fillId="0" borderId="22" xfId="79" applyFont="1" applyFill="1" applyBorder="1" applyAlignment="1" applyProtection="1">
      <alignment horizontal="center" vertical="center" wrapText="1"/>
      <protection/>
    </xf>
    <xf numFmtId="9" fontId="10" fillId="0" borderId="57" xfId="79" applyFont="1" applyFill="1" applyBorder="1" applyAlignment="1" applyProtection="1">
      <alignment horizontal="center" vertical="center" wrapText="1"/>
      <protection/>
    </xf>
    <xf numFmtId="9" fontId="10" fillId="0" borderId="64" xfId="72" applyNumberFormat="1" applyFont="1" applyBorder="1" applyAlignment="1">
      <alignment horizontal="left" vertical="center" wrapText="1"/>
      <protection/>
    </xf>
    <xf numFmtId="9" fontId="10" fillId="0" borderId="41" xfId="72" applyNumberFormat="1" applyFont="1" applyBorder="1" applyAlignment="1">
      <alignment horizontal="left" vertical="center" wrapText="1"/>
      <protection/>
    </xf>
    <xf numFmtId="9" fontId="10" fillId="0" borderId="65" xfId="72" applyNumberFormat="1" applyFont="1" applyBorder="1" applyAlignment="1">
      <alignment horizontal="left" vertical="center" wrapText="1"/>
      <protection/>
    </xf>
    <xf numFmtId="9" fontId="10" fillId="0" borderId="58" xfId="72" applyNumberFormat="1" applyFont="1" applyBorder="1" applyAlignment="1">
      <alignment horizontal="left" vertical="center" wrapText="1"/>
      <protection/>
    </xf>
    <xf numFmtId="9" fontId="10" fillId="0" borderId="34" xfId="72" applyNumberFormat="1" applyFont="1" applyBorder="1" applyAlignment="1">
      <alignment horizontal="left" vertical="center" wrapText="1"/>
      <protection/>
    </xf>
    <xf numFmtId="9" fontId="10" fillId="0" borderId="35" xfId="72" applyNumberFormat="1" applyFont="1" applyBorder="1" applyAlignment="1">
      <alignment horizontal="left" vertical="center" wrapText="1"/>
      <protection/>
    </xf>
    <xf numFmtId="2" fontId="10" fillId="38" borderId="20" xfId="72" applyNumberFormat="1" applyFont="1" applyFill="1" applyBorder="1" applyAlignment="1">
      <alignment vertical="center" wrapText="1"/>
      <protection/>
    </xf>
    <xf numFmtId="2" fontId="10" fillId="38" borderId="50" xfId="72" applyNumberFormat="1" applyFont="1" applyFill="1" applyBorder="1" applyAlignment="1">
      <alignment vertical="center" wrapText="1"/>
      <protection/>
    </xf>
    <xf numFmtId="190" fontId="10" fillId="0" borderId="22" xfId="79" applyNumberFormat="1" applyFont="1" applyBorder="1" applyAlignment="1">
      <alignment horizontal="center" vertical="center" wrapText="1"/>
    </xf>
    <xf numFmtId="190" fontId="10" fillId="0" borderId="57" xfId="79" applyNumberFormat="1" applyFont="1" applyBorder="1" applyAlignment="1">
      <alignment horizontal="center" vertical="center" wrapText="1"/>
    </xf>
    <xf numFmtId="9" fontId="86" fillId="0" borderId="64" xfId="72" applyNumberFormat="1" applyFont="1" applyBorder="1" applyAlignment="1">
      <alignment horizontal="left" vertical="center" wrapText="1"/>
      <protection/>
    </xf>
    <xf numFmtId="9" fontId="86" fillId="0" borderId="41" xfId="72" applyNumberFormat="1" applyFont="1" applyBorder="1" applyAlignment="1">
      <alignment horizontal="left" vertical="center" wrapText="1"/>
      <protection/>
    </xf>
    <xf numFmtId="9" fontId="86" fillId="0" borderId="65" xfId="72" applyNumberFormat="1" applyFont="1" applyBorder="1" applyAlignment="1">
      <alignment horizontal="left" vertical="center" wrapText="1"/>
      <protection/>
    </xf>
    <xf numFmtId="9" fontId="86" fillId="0" borderId="58" xfId="72" applyNumberFormat="1" applyFont="1" applyBorder="1" applyAlignment="1">
      <alignment horizontal="left" vertical="center" wrapText="1"/>
      <protection/>
    </xf>
    <xf numFmtId="9" fontId="86" fillId="0" borderId="34" xfId="72" applyNumberFormat="1" applyFont="1" applyBorder="1" applyAlignment="1">
      <alignment horizontal="left" vertical="center" wrapText="1"/>
      <protection/>
    </xf>
    <xf numFmtId="9" fontId="86" fillId="0" borderId="35" xfId="72" applyNumberFormat="1" applyFont="1" applyBorder="1" applyAlignment="1">
      <alignment horizontal="left" vertical="center" wrapText="1"/>
      <protection/>
    </xf>
    <xf numFmtId="2" fontId="11" fillId="0" borderId="20" xfId="72" applyNumberFormat="1" applyFont="1" applyFill="1" applyBorder="1" applyAlignment="1">
      <alignment vertical="center" wrapText="1"/>
      <protection/>
    </xf>
    <xf numFmtId="2" fontId="10" fillId="0" borderId="20" xfId="72" applyNumberFormat="1" applyFont="1" applyFill="1" applyBorder="1" applyAlignment="1">
      <alignment vertical="center" wrapText="1"/>
      <protection/>
    </xf>
    <xf numFmtId="190" fontId="10" fillId="0" borderId="16" xfId="79" applyNumberFormat="1" applyFont="1" applyBorder="1" applyAlignment="1">
      <alignment horizontal="center" vertical="center" wrapText="1"/>
    </xf>
    <xf numFmtId="9" fontId="10" fillId="0" borderId="66" xfId="72" applyNumberFormat="1" applyFont="1" applyBorder="1" applyAlignment="1">
      <alignment horizontal="left" vertical="center" wrapText="1"/>
      <protection/>
    </xf>
    <xf numFmtId="9" fontId="10" fillId="0" borderId="0" xfId="72" applyNumberFormat="1" applyFont="1" applyAlignment="1">
      <alignment horizontal="left" vertical="center" wrapText="1"/>
      <protection/>
    </xf>
    <xf numFmtId="9" fontId="10" fillId="0" borderId="29" xfId="72" applyNumberFormat="1" applyFont="1" applyBorder="1" applyAlignment="1">
      <alignment horizontal="left" vertical="center" wrapText="1"/>
      <protection/>
    </xf>
    <xf numFmtId="2" fontId="10" fillId="0" borderId="51" xfId="72" applyNumberFormat="1" applyFont="1" applyFill="1" applyBorder="1" applyAlignment="1">
      <alignment vertical="center" wrapText="1"/>
      <protection/>
    </xf>
    <xf numFmtId="190" fontId="10" fillId="0" borderId="54" xfId="79" applyNumberFormat="1" applyFont="1" applyBorder="1" applyAlignment="1">
      <alignment horizontal="center" vertical="center" wrapText="1"/>
    </xf>
    <xf numFmtId="0" fontId="10" fillId="0" borderId="37" xfId="72" applyFont="1" applyFill="1" applyBorder="1" applyAlignment="1">
      <alignment horizontal="center" vertical="center" wrapText="1"/>
      <protection/>
    </xf>
    <xf numFmtId="0" fontId="10" fillId="0" borderId="63" xfId="72" applyFont="1" applyFill="1" applyBorder="1" applyAlignment="1">
      <alignment horizontal="center" vertical="center" wrapText="1"/>
      <protection/>
    </xf>
    <xf numFmtId="9" fontId="11" fillId="0" borderId="22" xfId="72" applyNumberFormat="1" applyFont="1" applyBorder="1" applyAlignment="1">
      <alignment horizontal="center" vertical="center" wrapText="1"/>
      <protection/>
    </xf>
    <xf numFmtId="0" fontId="11" fillId="0" borderId="57" xfId="72" applyFont="1" applyBorder="1" applyAlignment="1">
      <alignment horizontal="center" vertical="center" wrapText="1"/>
      <protection/>
    </xf>
    <xf numFmtId="9" fontId="10" fillId="0" borderId="64"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42" xfId="81" applyFont="1" applyFill="1" applyBorder="1" applyAlignment="1" applyProtection="1">
      <alignment horizontal="left" vertical="center" wrapText="1"/>
      <protection/>
    </xf>
    <xf numFmtId="9" fontId="10" fillId="0" borderId="58"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71" xfId="81" applyFont="1" applyFill="1" applyBorder="1" applyAlignment="1" applyProtection="1">
      <alignment horizontal="left" vertical="center" wrapText="1"/>
      <protection/>
    </xf>
    <xf numFmtId="3" fontId="10" fillId="0" borderId="64" xfId="72" applyNumberFormat="1" applyFont="1" applyBorder="1" applyAlignment="1">
      <alignment horizontal="center" vertical="center" wrapText="1"/>
      <protection/>
    </xf>
    <xf numFmtId="3" fontId="10" fillId="0" borderId="42" xfId="72" applyNumberFormat="1" applyFont="1" applyBorder="1" applyAlignment="1">
      <alignment horizontal="center" vertical="center" wrapText="1"/>
      <protection/>
    </xf>
    <xf numFmtId="0" fontId="11" fillId="0" borderId="0" xfId="72" applyFont="1" applyFill="1" applyAlignment="1">
      <alignment horizontal="center" vertical="center" wrapText="1"/>
      <protection/>
    </xf>
    <xf numFmtId="2" fontId="10" fillId="0" borderId="50" xfId="72" applyNumberFormat="1" applyFont="1" applyBorder="1" applyAlignment="1">
      <alignment horizontal="left" vertical="center" wrapText="1"/>
      <protection/>
    </xf>
    <xf numFmtId="2" fontId="10" fillId="0" borderId="63" xfId="72" applyNumberFormat="1" applyFont="1" applyBorder="1" applyAlignment="1">
      <alignment horizontal="left" vertical="center" wrapText="1"/>
      <protection/>
    </xf>
    <xf numFmtId="9" fontId="10" fillId="0" borderId="38" xfId="79" applyFont="1" applyFill="1" applyBorder="1" applyAlignment="1" applyProtection="1">
      <alignment horizontal="center" vertical="center" wrapText="1"/>
      <protection/>
    </xf>
    <xf numFmtId="9" fontId="86" fillId="0" borderId="52" xfId="72" applyNumberFormat="1" applyFont="1" applyBorder="1" applyAlignment="1">
      <alignment vertical="center" wrapText="1"/>
      <protection/>
    </xf>
    <xf numFmtId="9" fontId="86" fillId="0" borderId="41" xfId="72" applyNumberFormat="1" applyFont="1" applyBorder="1" applyAlignment="1">
      <alignment vertical="center" wrapText="1"/>
      <protection/>
    </xf>
    <xf numFmtId="9" fontId="86" fillId="0" borderId="65" xfId="72" applyNumberFormat="1" applyFont="1" applyBorder="1" applyAlignment="1">
      <alignment vertical="center" wrapText="1"/>
      <protection/>
    </xf>
    <xf numFmtId="9" fontId="86" fillId="0" borderId="58" xfId="72" applyNumberFormat="1" applyFont="1" applyBorder="1" applyAlignment="1">
      <alignment vertical="center" wrapText="1"/>
      <protection/>
    </xf>
    <xf numFmtId="9" fontId="86" fillId="0" borderId="34" xfId="72" applyNumberFormat="1" applyFont="1" applyBorder="1" applyAlignment="1">
      <alignment vertical="center" wrapText="1"/>
      <protection/>
    </xf>
    <xf numFmtId="9" fontId="86" fillId="0" borderId="35" xfId="72" applyNumberFormat="1" applyFont="1" applyBorder="1" applyAlignment="1">
      <alignment vertical="center" wrapText="1"/>
      <protection/>
    </xf>
    <xf numFmtId="2" fontId="10" fillId="0" borderId="51" xfId="72" applyNumberFormat="1" applyFont="1" applyBorder="1" applyAlignment="1">
      <alignment horizontal="left" vertical="center" wrapText="1"/>
      <protection/>
    </xf>
    <xf numFmtId="2" fontId="10" fillId="0" borderId="20" xfId="72" applyNumberFormat="1" applyFont="1" applyBorder="1" applyAlignment="1">
      <alignment horizontal="left" vertical="center" wrapText="1"/>
      <protection/>
    </xf>
    <xf numFmtId="9" fontId="10" fillId="0" borderId="54" xfId="79" applyFont="1" applyBorder="1" applyAlignment="1">
      <alignment horizontal="center" vertical="center" wrapText="1"/>
    </xf>
    <xf numFmtId="9" fontId="10" fillId="0" borderId="16" xfId="79" applyFont="1" applyBorder="1" applyAlignment="1">
      <alignment horizontal="center" vertical="center" wrapText="1"/>
    </xf>
    <xf numFmtId="9" fontId="10" fillId="0" borderId="22" xfId="72" applyNumberFormat="1" applyFont="1" applyBorder="1" applyAlignment="1">
      <alignment horizontal="center" vertical="center" wrapText="1"/>
      <protection/>
    </xf>
    <xf numFmtId="0" fontId="10" fillId="0" borderId="57" xfId="72" applyFont="1" applyBorder="1" applyAlignment="1">
      <alignment horizontal="center" vertical="center" wrapText="1"/>
      <protection/>
    </xf>
    <xf numFmtId="9" fontId="10" fillId="0" borderId="65"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0" fontId="10" fillId="0" borderId="83" xfId="72" applyFont="1" applyBorder="1" applyAlignment="1">
      <alignment horizontal="center" vertical="center" wrapText="1"/>
      <protection/>
    </xf>
    <xf numFmtId="0" fontId="10" fillId="0" borderId="84" xfId="72" applyFont="1" applyBorder="1" applyAlignment="1">
      <alignment horizontal="center" vertical="center" wrapText="1"/>
      <protection/>
    </xf>
    <xf numFmtId="0" fontId="10" fillId="0" borderId="85" xfId="72" applyFont="1" applyBorder="1" applyAlignment="1">
      <alignment horizontal="center" vertical="center" wrapText="1"/>
      <protection/>
    </xf>
    <xf numFmtId="0" fontId="11" fillId="0" borderId="80"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27" xfId="72" applyFont="1" applyBorder="1" applyAlignment="1">
      <alignment horizontal="center" vertical="center"/>
      <protection/>
    </xf>
    <xf numFmtId="2" fontId="10" fillId="0" borderId="37" xfId="72" applyNumberFormat="1" applyFont="1" applyBorder="1" applyAlignment="1">
      <alignment horizontal="left" vertical="center" wrapText="1"/>
      <protection/>
    </xf>
    <xf numFmtId="9" fontId="10" fillId="0" borderId="22" xfId="79" applyFont="1" applyBorder="1" applyAlignment="1">
      <alignment horizontal="center" vertical="center" wrapText="1"/>
    </xf>
    <xf numFmtId="9" fontId="10" fillId="0" borderId="64" xfId="72" applyNumberFormat="1" applyFont="1" applyFill="1" applyBorder="1" applyAlignment="1">
      <alignment horizontal="left" vertical="center" wrapText="1"/>
      <protection/>
    </xf>
    <xf numFmtId="9" fontId="10" fillId="0" borderId="41" xfId="72" applyNumberFormat="1" applyFont="1" applyFill="1" applyBorder="1" applyAlignment="1">
      <alignment horizontal="left" vertical="center" wrapText="1"/>
      <protection/>
    </xf>
    <xf numFmtId="9" fontId="10" fillId="0" borderId="65" xfId="72" applyNumberFormat="1" applyFont="1" applyFill="1" applyBorder="1" applyAlignment="1">
      <alignment horizontal="left" vertical="center" wrapText="1"/>
      <protection/>
    </xf>
    <xf numFmtId="9" fontId="10" fillId="0" borderId="66" xfId="72" applyNumberFormat="1" applyFont="1" applyFill="1" applyBorder="1" applyAlignment="1">
      <alignment horizontal="left" vertical="center" wrapText="1"/>
      <protection/>
    </xf>
    <xf numFmtId="9" fontId="10" fillId="0" borderId="0" xfId="72" applyNumberFormat="1" applyFont="1" applyFill="1" applyAlignment="1">
      <alignment horizontal="left" vertical="center" wrapText="1"/>
      <protection/>
    </xf>
    <xf numFmtId="9" fontId="10" fillId="0" borderId="29" xfId="72" applyNumberFormat="1" applyFont="1" applyFill="1" applyBorder="1" applyAlignment="1">
      <alignment horizontal="left" vertical="center" wrapText="1"/>
      <protection/>
    </xf>
    <xf numFmtId="0" fontId="11" fillId="0" borderId="28" xfId="72" applyFont="1" applyBorder="1" applyAlignment="1">
      <alignment horizontal="center" vertical="center"/>
      <protection/>
    </xf>
    <xf numFmtId="0" fontId="11" fillId="0" borderId="0" xfId="72" applyFont="1" applyAlignment="1">
      <alignment horizontal="center" vertical="center"/>
      <protection/>
    </xf>
    <xf numFmtId="0" fontId="11" fillId="0" borderId="29" xfId="72" applyFont="1" applyBorder="1" applyAlignment="1">
      <alignment horizontal="center" vertical="center"/>
      <protection/>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11" fillId="0" borderId="7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10" fillId="0" borderId="6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64" xfId="0" applyFont="1" applyFill="1" applyBorder="1" applyAlignment="1" quotePrefix="1">
      <alignment horizontal="left" vertical="center" wrapText="1"/>
    </xf>
    <xf numFmtId="0" fontId="10" fillId="0" borderId="42"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64"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87" xfId="0" applyFont="1" applyFill="1" applyBorder="1" applyAlignment="1">
      <alignment horizontal="left" vertical="top" wrapText="1"/>
    </xf>
    <xf numFmtId="0" fontId="10" fillId="0" borderId="88" xfId="0" applyFont="1" applyFill="1" applyBorder="1" applyAlignment="1">
      <alignment horizontal="left" vertical="top" wrapText="1"/>
    </xf>
    <xf numFmtId="0" fontId="10" fillId="0" borderId="89" xfId="0" applyFont="1" applyFill="1" applyBorder="1" applyAlignment="1">
      <alignment horizontal="left" vertical="top" wrapText="1"/>
    </xf>
    <xf numFmtId="0" fontId="10" fillId="0" borderId="90" xfId="0" applyFont="1" applyFill="1" applyBorder="1" applyAlignment="1">
      <alignment horizontal="left" vertical="top" wrapText="1"/>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9" fontId="19" fillId="0" borderId="64" xfId="72" applyNumberFormat="1" applyFont="1" applyFill="1" applyBorder="1" applyAlignment="1">
      <alignment vertical="center" wrapText="1"/>
      <protection/>
    </xf>
    <xf numFmtId="9" fontId="19" fillId="0" borderId="41" xfId="72" applyNumberFormat="1" applyFont="1" applyFill="1" applyBorder="1" applyAlignment="1">
      <alignment vertical="center" wrapText="1"/>
      <protection/>
    </xf>
    <xf numFmtId="9" fontId="19" fillId="0" borderId="65" xfId="72" applyNumberFormat="1" applyFont="1" applyFill="1" applyBorder="1" applyAlignment="1">
      <alignment vertical="center" wrapText="1"/>
      <protection/>
    </xf>
    <xf numFmtId="9" fontId="19" fillId="0" borderId="39" xfId="72" applyNumberFormat="1" applyFont="1" applyFill="1" applyBorder="1" applyAlignment="1">
      <alignment vertical="center" wrapText="1"/>
      <protection/>
    </xf>
    <xf numFmtId="9" fontId="19" fillId="0" borderId="15" xfId="72" applyNumberFormat="1" applyFont="1" applyFill="1" applyBorder="1" applyAlignment="1">
      <alignment vertical="center" wrapText="1"/>
      <protection/>
    </xf>
    <xf numFmtId="9" fontId="19" fillId="0" borderId="19" xfId="72" applyNumberFormat="1" applyFont="1" applyFill="1" applyBorder="1" applyAlignment="1">
      <alignment vertical="center" wrapText="1"/>
      <protection/>
    </xf>
    <xf numFmtId="0" fontId="0" fillId="0" borderId="51" xfId="0" applyBorder="1" applyAlignment="1">
      <alignment horizontal="left" vertical="center" wrapText="1"/>
    </xf>
    <xf numFmtId="2" fontId="10" fillId="0" borderId="93" xfId="72"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9" applyNumberFormat="1" applyFont="1" applyFill="1" applyBorder="1" applyAlignment="1" applyProtection="1">
      <alignment horizontal="center" vertical="center" wrapText="1"/>
      <protection/>
    </xf>
    <xf numFmtId="190" fontId="10" fillId="0" borderId="57" xfId="79" applyNumberFormat="1" applyFont="1" applyFill="1" applyBorder="1" applyAlignment="1" applyProtection="1">
      <alignment horizontal="center" vertical="center" wrapText="1"/>
      <protection/>
    </xf>
    <xf numFmtId="9" fontId="19" fillId="0" borderId="58" xfId="72" applyNumberFormat="1" applyFont="1" applyFill="1" applyBorder="1" applyAlignment="1">
      <alignment vertical="center" wrapText="1"/>
      <protection/>
    </xf>
    <xf numFmtId="9" fontId="19" fillId="0" borderId="34" xfId="72" applyNumberFormat="1" applyFont="1" applyFill="1" applyBorder="1" applyAlignment="1">
      <alignment vertical="center" wrapText="1"/>
      <protection/>
    </xf>
    <xf numFmtId="9" fontId="19" fillId="0" borderId="35" xfId="72" applyNumberFormat="1" applyFont="1" applyFill="1" applyBorder="1" applyAlignment="1">
      <alignment vertical="center" wrapText="1"/>
      <protection/>
    </xf>
    <xf numFmtId="199" fontId="11" fillId="0" borderId="94" xfId="72" applyNumberFormat="1" applyFont="1" applyBorder="1" applyAlignment="1">
      <alignment horizontal="center" vertical="center" wrapText="1"/>
      <protection/>
    </xf>
    <xf numFmtId="199" fontId="11" fillId="0" borderId="26" xfId="72" applyNumberFormat="1" applyFont="1" applyBorder="1" applyAlignment="1">
      <alignment horizontal="center" vertical="center" wrapText="1"/>
      <protection/>
    </xf>
    <xf numFmtId="199" fontId="11" fillId="0" borderId="95" xfId="72" applyNumberFormat="1" applyFont="1" applyBorder="1" applyAlignment="1">
      <alignment horizontal="center" vertical="center" wrapText="1"/>
      <protection/>
    </xf>
    <xf numFmtId="199" fontId="11" fillId="0" borderId="66" xfId="72" applyNumberFormat="1" applyFont="1" applyBorder="1" applyAlignment="1">
      <alignment horizontal="center" vertical="center" wrapText="1"/>
      <protection/>
    </xf>
    <xf numFmtId="199" fontId="11" fillId="0" borderId="0" xfId="72" applyNumberFormat="1" applyFont="1" applyAlignment="1">
      <alignment horizontal="center" vertical="center" wrapText="1"/>
      <protection/>
    </xf>
    <xf numFmtId="199" fontId="11" fillId="0" borderId="43" xfId="72" applyNumberFormat="1" applyFont="1" applyBorder="1" applyAlignment="1">
      <alignment horizontal="center" vertical="center" wrapText="1"/>
      <protection/>
    </xf>
    <xf numFmtId="199" fontId="11" fillId="0" borderId="58" xfId="72" applyNumberFormat="1" applyFont="1" applyBorder="1" applyAlignment="1">
      <alignment horizontal="center" vertical="center" wrapText="1"/>
      <protection/>
    </xf>
    <xf numFmtId="199" fontId="11" fillId="0" borderId="34" xfId="72" applyNumberFormat="1" applyFont="1" applyBorder="1" applyAlignment="1">
      <alignment horizontal="center" vertical="center" wrapText="1"/>
      <protection/>
    </xf>
    <xf numFmtId="199" fontId="11" fillId="0" borderId="71" xfId="72" applyNumberFormat="1" applyFont="1" applyBorder="1" applyAlignment="1">
      <alignment horizontal="center" vertical="center" wrapText="1"/>
      <protection/>
    </xf>
    <xf numFmtId="0" fontId="11" fillId="38" borderId="26" xfId="72" applyFont="1" applyFill="1" applyBorder="1" applyAlignment="1">
      <alignment horizontal="center" vertical="center" wrapText="1"/>
      <protection/>
    </xf>
    <xf numFmtId="0" fontId="11" fillId="38" borderId="0" xfId="72" applyFont="1" applyFill="1" applyAlignment="1">
      <alignment horizontal="center" vertical="center" wrapText="1"/>
      <protection/>
    </xf>
    <xf numFmtId="0" fontId="11" fillId="38" borderId="34" xfId="72" applyFont="1" applyFill="1" applyBorder="1" applyAlignment="1">
      <alignment horizontal="center" vertical="center" wrapText="1"/>
      <protection/>
    </xf>
    <xf numFmtId="0" fontId="11" fillId="38" borderId="14" xfId="72" applyFont="1" applyFill="1" applyBorder="1" applyAlignment="1">
      <alignment horizontal="left" vertical="center" wrapText="1"/>
      <protection/>
    </xf>
    <xf numFmtId="0" fontId="11" fillId="38" borderId="70" xfId="72" applyFont="1" applyFill="1" applyBorder="1" applyAlignment="1">
      <alignment horizontal="left" vertical="center" wrapText="1"/>
      <protection/>
    </xf>
    <xf numFmtId="0" fontId="11" fillId="38" borderId="17" xfId="72" applyFont="1" applyFill="1" applyBorder="1" applyAlignment="1">
      <alignment horizontal="left" vertical="center" wrapText="1"/>
      <protection/>
    </xf>
    <xf numFmtId="0" fontId="11" fillId="38" borderId="45" xfId="72" applyFont="1" applyFill="1" applyBorder="1" applyAlignment="1">
      <alignment horizontal="left" vertical="center" wrapText="1"/>
      <protection/>
    </xf>
    <xf numFmtId="0" fontId="11" fillId="38" borderId="40" xfId="72" applyFont="1" applyFill="1" applyBorder="1" applyAlignment="1">
      <alignment horizontal="left" vertical="center" wrapText="1"/>
      <protection/>
    </xf>
    <xf numFmtId="0" fontId="11" fillId="38" borderId="86" xfId="72" applyFont="1" applyFill="1" applyBorder="1" applyAlignment="1">
      <alignment horizontal="left" vertical="center" wrapText="1"/>
      <protection/>
    </xf>
    <xf numFmtId="0" fontId="11" fillId="38" borderId="79" xfId="72" applyFont="1" applyFill="1" applyBorder="1" applyAlignment="1">
      <alignment horizontal="left" vertical="center" wrapText="1"/>
      <protection/>
    </xf>
    <xf numFmtId="0" fontId="11" fillId="38" borderId="77" xfId="72" applyFont="1" applyFill="1" applyBorder="1" applyAlignment="1">
      <alignment horizontal="left" vertical="center" wrapText="1"/>
      <protection/>
    </xf>
    <xf numFmtId="14" fontId="101" fillId="0" borderId="13" xfId="0" applyNumberFormat="1" applyFont="1" applyFill="1" applyBorder="1" applyAlignment="1">
      <alignment horizontal="center" vertical="center"/>
    </xf>
    <xf numFmtId="0" fontId="88" fillId="0" borderId="14" xfId="0" applyFont="1" applyBorder="1" applyAlignment="1">
      <alignment horizontal="center" vertical="center" wrapText="1"/>
    </xf>
    <xf numFmtId="0" fontId="88" fillId="0" borderId="17" xfId="0" applyFont="1" applyBorder="1" applyAlignment="1">
      <alignment horizontal="center" vertical="center" wrapText="1"/>
    </xf>
    <xf numFmtId="0" fontId="88" fillId="41" borderId="64" xfId="72" applyFont="1" applyFill="1" applyBorder="1" applyAlignment="1">
      <alignment horizontal="center" vertical="center" wrapText="1"/>
      <protection/>
    </xf>
    <xf numFmtId="0" fontId="88" fillId="41" borderId="41" xfId="72" applyFont="1" applyFill="1" applyBorder="1" applyAlignment="1">
      <alignment horizontal="center" vertical="center" wrapText="1"/>
      <protection/>
    </xf>
    <xf numFmtId="0" fontId="88" fillId="41" borderId="42" xfId="72" applyFont="1" applyFill="1" applyBorder="1" applyAlignment="1">
      <alignment horizontal="center" vertical="center" wrapText="1"/>
      <protection/>
    </xf>
    <xf numFmtId="0" fontId="88" fillId="41" borderId="66" xfId="72" applyFont="1" applyFill="1" applyBorder="1" applyAlignment="1">
      <alignment horizontal="center" vertical="center" wrapText="1"/>
      <protection/>
    </xf>
    <xf numFmtId="0" fontId="88" fillId="41" borderId="0" xfId="72" applyFont="1" applyFill="1" applyBorder="1" applyAlignment="1">
      <alignment horizontal="center" vertical="center" wrapText="1"/>
      <protection/>
    </xf>
    <xf numFmtId="0" fontId="88" fillId="41" borderId="43" xfId="72" applyFont="1" applyFill="1" applyBorder="1" applyAlignment="1">
      <alignment horizontal="center" vertical="center" wrapText="1"/>
      <protection/>
    </xf>
    <xf numFmtId="0" fontId="88" fillId="41" borderId="39" xfId="72" applyFont="1" applyFill="1" applyBorder="1" applyAlignment="1">
      <alignment horizontal="center" vertical="center" wrapText="1"/>
      <protection/>
    </xf>
    <xf numFmtId="0" fontId="88" fillId="41" borderId="15" xfId="72" applyFont="1" applyFill="1" applyBorder="1" applyAlignment="1">
      <alignment horizontal="center" vertical="center" wrapText="1"/>
      <protection/>
    </xf>
    <xf numFmtId="0" fontId="88" fillId="41" borderId="44" xfId="72" applyFont="1" applyFill="1" applyBorder="1" applyAlignment="1">
      <alignment horizontal="center" vertical="center" wrapText="1"/>
      <protection/>
    </xf>
    <xf numFmtId="0" fontId="11" fillId="41" borderId="64" xfId="72" applyFont="1" applyFill="1" applyBorder="1" applyAlignment="1">
      <alignment horizontal="center" vertical="center" wrapText="1"/>
      <protection/>
    </xf>
    <xf numFmtId="0" fontId="11" fillId="41" borderId="41" xfId="72" applyFont="1" applyFill="1" applyBorder="1" applyAlignment="1">
      <alignment horizontal="center" vertical="center" wrapText="1"/>
      <protection/>
    </xf>
    <xf numFmtId="0" fontId="11" fillId="41" borderId="42" xfId="72" applyFont="1" applyFill="1" applyBorder="1" applyAlignment="1">
      <alignment horizontal="center" vertical="center" wrapText="1"/>
      <protection/>
    </xf>
    <xf numFmtId="0" fontId="11" fillId="41" borderId="66" xfId="72" applyFont="1" applyFill="1" applyBorder="1" applyAlignment="1">
      <alignment horizontal="center" vertical="center" wrapText="1"/>
      <protection/>
    </xf>
    <xf numFmtId="0" fontId="11" fillId="41" borderId="0" xfId="72" applyFont="1" applyFill="1" applyBorder="1" applyAlignment="1">
      <alignment horizontal="center" vertical="center" wrapText="1"/>
      <protection/>
    </xf>
    <xf numFmtId="0" fontId="11" fillId="41" borderId="43" xfId="72" applyFont="1" applyFill="1" applyBorder="1" applyAlignment="1">
      <alignment horizontal="center" vertical="center" wrapText="1"/>
      <protection/>
    </xf>
    <xf numFmtId="0" fontId="11" fillId="41" borderId="39" xfId="72" applyFont="1" applyFill="1" applyBorder="1" applyAlignment="1">
      <alignment horizontal="center" vertical="center" wrapText="1"/>
      <protection/>
    </xf>
    <xf numFmtId="0" fontId="11" fillId="41" borderId="15" xfId="72" applyFont="1" applyFill="1" applyBorder="1" applyAlignment="1">
      <alignment horizontal="center" vertical="center" wrapText="1"/>
      <protection/>
    </xf>
    <xf numFmtId="0" fontId="11" fillId="41" borderId="44" xfId="72" applyFont="1" applyFill="1" applyBorder="1" applyAlignment="1">
      <alignment horizontal="center" vertical="center" wrapText="1"/>
      <protection/>
    </xf>
    <xf numFmtId="0" fontId="88" fillId="0" borderId="14" xfId="0" applyFont="1" applyBorder="1" applyAlignment="1">
      <alignment horizontal="left" vertical="center" wrapText="1"/>
    </xf>
    <xf numFmtId="0" fontId="88" fillId="0" borderId="17" xfId="0" applyFont="1" applyBorder="1" applyAlignment="1">
      <alignment horizontal="left" vertical="center" wrapText="1"/>
    </xf>
    <xf numFmtId="0" fontId="11" fillId="0" borderId="14" xfId="0" applyFont="1" applyBorder="1" applyAlignment="1">
      <alignment horizontal="left" vertical="center" wrapText="1"/>
    </xf>
    <xf numFmtId="0" fontId="88" fillId="0" borderId="14" xfId="0" applyFont="1" applyBorder="1" applyAlignment="1">
      <alignment horizontal="center" vertical="center"/>
    </xf>
    <xf numFmtId="0" fontId="88" fillId="0" borderId="70" xfId="0" applyFont="1" applyBorder="1" applyAlignment="1">
      <alignment horizontal="center" vertical="center"/>
    </xf>
    <xf numFmtId="0" fontId="88" fillId="0" borderId="17" xfId="0" applyFont="1" applyBorder="1" applyAlignment="1">
      <alignment horizontal="center" vertical="center"/>
    </xf>
    <xf numFmtId="0" fontId="86" fillId="0" borderId="22" xfId="59" applyNumberFormat="1" applyFont="1" applyBorder="1" applyAlignment="1">
      <alignment horizontal="center" vertical="center" wrapText="1"/>
    </xf>
    <xf numFmtId="0" fontId="86" fillId="0" borderId="16" xfId="59" applyNumberFormat="1" applyFont="1" applyBorder="1" applyAlignment="1">
      <alignment horizontal="center" vertical="center" wrapText="1"/>
    </xf>
    <xf numFmtId="0" fontId="86" fillId="0" borderId="22" xfId="0" applyFont="1" applyBorder="1" applyAlignment="1">
      <alignment horizontal="center" vertical="center"/>
    </xf>
    <xf numFmtId="0" fontId="86" fillId="0" borderId="16" xfId="0" applyFont="1" applyBorder="1" applyAlignment="1">
      <alignment horizontal="center" vertical="center"/>
    </xf>
    <xf numFmtId="9" fontId="86" fillId="0" borderId="22" xfId="79" applyFont="1" applyBorder="1" applyAlignment="1">
      <alignment horizontal="center" vertical="center" wrapText="1"/>
    </xf>
    <xf numFmtId="9" fontId="86" fillId="0" borderId="16" xfId="79" applyFont="1" applyBorder="1" applyAlignment="1">
      <alignment horizontal="center" vertical="center" wrapText="1"/>
    </xf>
    <xf numFmtId="9" fontId="86" fillId="0" borderId="22" xfId="79" applyFont="1" applyBorder="1" applyAlignment="1">
      <alignment horizontal="center" vertical="center"/>
    </xf>
    <xf numFmtId="9" fontId="86" fillId="0" borderId="16" xfId="79" applyFont="1" applyBorder="1" applyAlignment="1">
      <alignment horizontal="center" vertical="center"/>
    </xf>
    <xf numFmtId="0" fontId="86" fillId="0" borderId="22" xfId="79" applyNumberFormat="1" applyFont="1" applyBorder="1" applyAlignment="1">
      <alignment horizontal="left" vertical="center" wrapText="1"/>
    </xf>
    <xf numFmtId="0" fontId="86" fillId="0" borderId="16" xfId="79" applyNumberFormat="1" applyFont="1" applyBorder="1" applyAlignment="1">
      <alignment horizontal="left" vertical="center" wrapText="1"/>
    </xf>
    <xf numFmtId="0" fontId="10" fillId="0" borderId="22" xfId="79" applyNumberFormat="1" applyFont="1" applyFill="1" applyBorder="1" applyAlignment="1">
      <alignment horizontal="center" vertical="center"/>
    </xf>
    <xf numFmtId="0" fontId="10" fillId="0" borderId="16" xfId="79" applyNumberFormat="1" applyFont="1" applyFill="1" applyBorder="1" applyAlignment="1">
      <alignment horizontal="center" vertical="center"/>
    </xf>
    <xf numFmtId="0" fontId="10" fillId="0" borderId="22" xfId="79" applyNumberFormat="1" applyFont="1" applyBorder="1" applyAlignment="1">
      <alignment horizontal="center" vertical="center" wrapText="1"/>
    </xf>
    <xf numFmtId="0" fontId="10" fillId="0" borderId="16" xfId="79" applyNumberFormat="1" applyFont="1" applyBorder="1" applyAlignment="1">
      <alignment horizontal="center" vertical="center" wrapText="1"/>
    </xf>
    <xf numFmtId="0" fontId="88" fillId="11" borderId="0" xfId="0" applyFont="1" applyFill="1" applyAlignment="1">
      <alignment horizontal="center" vertical="center"/>
    </xf>
    <xf numFmtId="0" fontId="88" fillId="0" borderId="13" xfId="0" applyFont="1" applyBorder="1" applyAlignment="1">
      <alignment horizontal="center" vertical="center" wrapText="1"/>
    </xf>
    <xf numFmtId="9" fontId="10" fillId="0" borderId="22" xfId="79" applyFont="1" applyBorder="1" applyAlignment="1">
      <alignment horizontal="left" vertical="center" wrapText="1"/>
    </xf>
    <xf numFmtId="9" fontId="10" fillId="0" borderId="16" xfId="79" applyFont="1" applyBorder="1" applyAlignment="1">
      <alignment horizontal="left" vertical="center" wrapText="1"/>
    </xf>
    <xf numFmtId="0" fontId="86" fillId="0" borderId="22" xfId="0" applyFont="1" applyBorder="1" applyAlignment="1">
      <alignment horizontal="center" vertical="center" wrapText="1"/>
    </xf>
    <xf numFmtId="0" fontId="86" fillId="0" borderId="16" xfId="0" applyFont="1" applyBorder="1" applyAlignment="1">
      <alignment horizontal="center" vertical="center" wrapText="1"/>
    </xf>
    <xf numFmtId="9" fontId="86" fillId="0" borderId="22" xfId="0" applyNumberFormat="1" applyFont="1" applyBorder="1" applyAlignment="1">
      <alignment horizontal="center" vertical="center"/>
    </xf>
    <xf numFmtId="9" fontId="86" fillId="0" borderId="16" xfId="0" applyNumberFormat="1" applyFont="1" applyBorder="1" applyAlignment="1">
      <alignment horizontal="center" vertical="center"/>
    </xf>
    <xf numFmtId="9" fontId="10" fillId="0" borderId="16" xfId="72" applyNumberFormat="1" applyFont="1" applyBorder="1" applyAlignment="1">
      <alignment horizontal="center" vertical="center" wrapText="1"/>
      <protection/>
    </xf>
    <xf numFmtId="0" fontId="88" fillId="11" borderId="13" xfId="0" applyFont="1" applyFill="1" applyBorder="1" applyAlignment="1">
      <alignment horizontal="center" vertical="center" wrapText="1"/>
    </xf>
    <xf numFmtId="0" fontId="11" fillId="38" borderId="16" xfId="72" applyFont="1" applyFill="1" applyBorder="1" applyAlignment="1">
      <alignment horizontal="left" vertical="center" wrapText="1"/>
      <protection/>
    </xf>
    <xf numFmtId="0" fontId="11" fillId="0" borderId="13" xfId="0" applyFont="1" applyBorder="1" applyAlignment="1">
      <alignment horizontal="center" vertical="center" wrapText="1"/>
    </xf>
    <xf numFmtId="0" fontId="88" fillId="11" borderId="13" xfId="0" applyFont="1" applyFill="1" applyBorder="1" applyAlignment="1">
      <alignment horizontal="left" vertical="center"/>
    </xf>
    <xf numFmtId="0" fontId="86" fillId="0" borderId="13" xfId="0" applyFont="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9" fontId="10" fillId="38" borderId="13" xfId="72" applyNumberFormat="1" applyFont="1" applyFill="1" applyBorder="1" applyAlignment="1">
      <alignment horizontal="left" vertical="center" wrapText="1"/>
      <protection/>
    </xf>
    <xf numFmtId="0" fontId="11" fillId="5" borderId="61" xfId="72" applyFont="1" applyFill="1" applyBorder="1" applyAlignment="1">
      <alignment horizontal="center" vertical="center" wrapText="1"/>
      <protection/>
    </xf>
    <xf numFmtId="0" fontId="11" fillId="5" borderId="96" xfId="72" applyFont="1" applyFill="1" applyBorder="1" applyAlignment="1">
      <alignment horizontal="center" vertical="center" wrapText="1"/>
      <protection/>
    </xf>
    <xf numFmtId="0" fontId="11" fillId="5" borderId="51" xfId="72" applyFont="1" applyFill="1" applyBorder="1" applyAlignment="1">
      <alignment horizontal="center" vertical="center" wrapText="1"/>
      <protection/>
    </xf>
    <xf numFmtId="2" fontId="10" fillId="0" borderId="63" xfId="72" applyNumberFormat="1" applyFont="1" applyBorder="1" applyAlignment="1">
      <alignment vertical="center" wrapText="1"/>
      <protection/>
    </xf>
    <xf numFmtId="9" fontId="10" fillId="0" borderId="39" xfId="72" applyNumberFormat="1" applyFont="1" applyBorder="1" applyAlignment="1">
      <alignment horizontal="left" vertical="center" wrapText="1"/>
      <protection/>
    </xf>
    <xf numFmtId="9" fontId="10" fillId="0" borderId="15" xfId="72" applyNumberFormat="1" applyFont="1" applyBorder="1" applyAlignment="1">
      <alignment horizontal="left" vertical="center" wrapText="1"/>
      <protection/>
    </xf>
    <xf numFmtId="9" fontId="10" fillId="0" borderId="19" xfId="72" applyNumberFormat="1" applyFont="1" applyBorder="1" applyAlignment="1">
      <alignment horizontal="left" vertical="center" wrapText="1"/>
      <protection/>
    </xf>
    <xf numFmtId="9" fontId="19" fillId="0" borderId="66" xfId="72" applyNumberFormat="1" applyFont="1" applyFill="1" applyBorder="1" applyAlignment="1">
      <alignment vertical="center" wrapText="1"/>
      <protection/>
    </xf>
    <xf numFmtId="9" fontId="19" fillId="0" borderId="0" xfId="72" applyNumberFormat="1" applyFont="1" applyFill="1" applyAlignment="1">
      <alignment vertical="center" wrapText="1"/>
      <protection/>
    </xf>
    <xf numFmtId="9" fontId="19" fillId="0" borderId="29" xfId="72" applyNumberFormat="1" applyFont="1" applyFill="1" applyBorder="1" applyAlignment="1">
      <alignment vertical="center" wrapText="1"/>
      <protection/>
    </xf>
    <xf numFmtId="9" fontId="10" fillId="0" borderId="13" xfId="76" applyNumberFormat="1" applyFont="1" applyBorder="1" applyAlignment="1">
      <alignment horizontal="center" vertic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2428875</xdr:rowOff>
    </xdr:from>
    <xdr:to>
      <xdr:col>7</xdr:col>
      <xdr:colOff>238125</xdr:colOff>
      <xdr:row>15</xdr:row>
      <xdr:rowOff>2428875</xdr:rowOff>
    </xdr:to>
    <xdr:pic>
      <xdr:nvPicPr>
        <xdr:cNvPr id="1" name="Entrada de lápiz 1"/>
        <xdr:cNvPicPr preferRelativeResize="1">
          <a:picLocks noChangeAspect="1"/>
        </xdr:cNvPicPr>
      </xdr:nvPicPr>
      <xdr:blipFill>
        <a:blip r:embed="rId1"/>
        <a:stretch>
          <a:fillRect/>
        </a:stretch>
      </xdr:blipFill>
      <xdr:spPr>
        <a:xfrm>
          <a:off x="5257800" y="11734800"/>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7" name="Entrada de lápiz 4"/>
        <xdr:cNvPicPr preferRelativeResize="1">
          <a:picLocks noChangeAspect="1"/>
        </xdr:cNvPicPr>
      </xdr:nvPicPr>
      <xdr:blipFill>
        <a:blip r:embed="rId1"/>
        <a:stretch>
          <a:fillRect/>
        </a:stretch>
      </xdr:blipFill>
      <xdr:spPr>
        <a:xfrm>
          <a:off x="5381625" y="9648825"/>
          <a:ext cx="0" cy="0"/>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1633537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0</xdr:rowOff>
    </xdr:to>
    <xdr:pic>
      <xdr:nvPicPr>
        <xdr:cNvPr id="9" name="Entrada de lápiz 4"/>
        <xdr:cNvPicPr preferRelativeResize="1">
          <a:picLocks noChangeAspect="1"/>
        </xdr:cNvPicPr>
      </xdr:nvPicPr>
      <xdr:blipFill>
        <a:blip r:embed="rId1"/>
        <a:stretch>
          <a:fillRect/>
        </a:stretch>
      </xdr:blipFill>
      <xdr:spPr>
        <a:xfrm>
          <a:off x="5381625" y="2071687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412682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2646997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72100" y="18030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19</xdr:row>
      <xdr:rowOff>0</xdr:rowOff>
    </xdr:from>
    <xdr:to>
      <xdr:col>7</xdr:col>
      <xdr:colOff>257175</xdr:colOff>
      <xdr:row>19</xdr:row>
      <xdr:rowOff>0</xdr:rowOff>
    </xdr:to>
    <xdr:pic>
      <xdr:nvPicPr>
        <xdr:cNvPr id="1" name="Entrada de lápiz 4"/>
        <xdr:cNvPicPr preferRelativeResize="1">
          <a:picLocks noChangeAspect="1"/>
        </xdr:cNvPicPr>
      </xdr:nvPicPr>
      <xdr:blipFill>
        <a:blip r:embed="rId1"/>
        <a:stretch>
          <a:fillRect/>
        </a:stretch>
      </xdr:blipFill>
      <xdr:spPr>
        <a:xfrm>
          <a:off x="6457950" y="19678650"/>
          <a:ext cx="0" cy="0"/>
        </a:xfrm>
        <a:prstGeom prst="rect">
          <a:avLst/>
        </a:prstGeom>
        <a:noFill/>
        <a:ln w="9525" cmpd="sng">
          <a:noFill/>
        </a:ln>
      </xdr:spPr>
    </xdr:pic>
    <xdr:clientData/>
  </xdr:twoCellAnchor>
  <xdr:twoCellAnchor editAs="oneCell">
    <xdr:from>
      <xdr:col>7</xdr:col>
      <xdr:colOff>257175</xdr:colOff>
      <xdr:row>19</xdr:row>
      <xdr:rowOff>0</xdr:rowOff>
    </xdr:from>
    <xdr:to>
      <xdr:col>7</xdr:col>
      <xdr:colOff>257175</xdr:colOff>
      <xdr:row>19</xdr:row>
      <xdr:rowOff>0</xdr:rowOff>
    </xdr:to>
    <xdr:pic>
      <xdr:nvPicPr>
        <xdr:cNvPr id="2" name="Entrada de lápiz 4"/>
        <xdr:cNvPicPr preferRelativeResize="1">
          <a:picLocks noChangeAspect="1"/>
        </xdr:cNvPicPr>
      </xdr:nvPicPr>
      <xdr:blipFill>
        <a:blip r:embed="rId1"/>
        <a:stretch>
          <a:fillRect/>
        </a:stretch>
      </xdr:blipFill>
      <xdr:spPr>
        <a:xfrm>
          <a:off x="6457950" y="196786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671"/>
      <c r="B1" s="674" t="s">
        <v>16</v>
      </c>
      <c r="C1" s="675"/>
      <c r="D1" s="675"/>
      <c r="E1" s="675"/>
      <c r="F1" s="675"/>
      <c r="G1" s="675"/>
      <c r="H1" s="675"/>
      <c r="I1" s="675"/>
      <c r="J1" s="675"/>
      <c r="K1" s="675"/>
      <c r="L1" s="675"/>
      <c r="M1" s="675"/>
      <c r="N1" s="675"/>
      <c r="O1" s="675"/>
      <c r="P1" s="675"/>
      <c r="Q1" s="675"/>
      <c r="R1" s="675"/>
      <c r="S1" s="675"/>
      <c r="T1" s="675"/>
      <c r="U1" s="675"/>
      <c r="V1" s="675"/>
      <c r="W1" s="675"/>
      <c r="X1" s="675"/>
      <c r="Y1" s="675"/>
      <c r="Z1" s="675"/>
      <c r="AA1" s="676"/>
      <c r="AB1" s="677" t="s">
        <v>423</v>
      </c>
      <c r="AC1" s="678"/>
      <c r="AD1" s="679"/>
    </row>
    <row r="2" spans="1:30" ht="30.75" customHeight="1" thickBot="1">
      <c r="A2" s="672"/>
      <c r="B2" s="674" t="s">
        <v>17</v>
      </c>
      <c r="C2" s="675"/>
      <c r="D2" s="675"/>
      <c r="E2" s="675"/>
      <c r="F2" s="675"/>
      <c r="G2" s="675"/>
      <c r="H2" s="675"/>
      <c r="I2" s="675"/>
      <c r="J2" s="675"/>
      <c r="K2" s="675"/>
      <c r="L2" s="675"/>
      <c r="M2" s="675"/>
      <c r="N2" s="675"/>
      <c r="O2" s="675"/>
      <c r="P2" s="675"/>
      <c r="Q2" s="675"/>
      <c r="R2" s="675"/>
      <c r="S2" s="675"/>
      <c r="T2" s="675"/>
      <c r="U2" s="675"/>
      <c r="V2" s="675"/>
      <c r="W2" s="675"/>
      <c r="X2" s="675"/>
      <c r="Y2" s="675"/>
      <c r="Z2" s="675"/>
      <c r="AA2" s="676"/>
      <c r="AB2" s="624" t="s">
        <v>418</v>
      </c>
      <c r="AC2" s="625"/>
      <c r="AD2" s="626"/>
    </row>
    <row r="3" spans="1:30" ht="24" customHeight="1">
      <c r="A3" s="672"/>
      <c r="B3" s="577" t="s">
        <v>295</v>
      </c>
      <c r="C3" s="578"/>
      <c r="D3" s="578"/>
      <c r="E3" s="578"/>
      <c r="F3" s="578"/>
      <c r="G3" s="578"/>
      <c r="H3" s="578"/>
      <c r="I3" s="578"/>
      <c r="J3" s="578"/>
      <c r="K3" s="578"/>
      <c r="L3" s="578"/>
      <c r="M3" s="578"/>
      <c r="N3" s="578"/>
      <c r="O3" s="578"/>
      <c r="P3" s="578"/>
      <c r="Q3" s="578"/>
      <c r="R3" s="578"/>
      <c r="S3" s="578"/>
      <c r="T3" s="578"/>
      <c r="U3" s="578"/>
      <c r="V3" s="578"/>
      <c r="W3" s="578"/>
      <c r="X3" s="578"/>
      <c r="Y3" s="578"/>
      <c r="Z3" s="578"/>
      <c r="AA3" s="579"/>
      <c r="AB3" s="624" t="s">
        <v>424</v>
      </c>
      <c r="AC3" s="625"/>
      <c r="AD3" s="626"/>
    </row>
    <row r="4" spans="1:30" ht="21.75" customHeight="1" thickBot="1">
      <c r="A4" s="673"/>
      <c r="B4" s="621"/>
      <c r="C4" s="622"/>
      <c r="D4" s="622"/>
      <c r="E4" s="622"/>
      <c r="F4" s="622"/>
      <c r="G4" s="622"/>
      <c r="H4" s="622"/>
      <c r="I4" s="622"/>
      <c r="J4" s="622"/>
      <c r="K4" s="622"/>
      <c r="L4" s="622"/>
      <c r="M4" s="622"/>
      <c r="N4" s="622"/>
      <c r="O4" s="622"/>
      <c r="P4" s="622"/>
      <c r="Q4" s="622"/>
      <c r="R4" s="622"/>
      <c r="S4" s="622"/>
      <c r="T4" s="622"/>
      <c r="U4" s="622"/>
      <c r="V4" s="622"/>
      <c r="W4" s="622"/>
      <c r="X4" s="622"/>
      <c r="Y4" s="622"/>
      <c r="Z4" s="622"/>
      <c r="AA4" s="623"/>
      <c r="AB4" s="627" t="s">
        <v>175</v>
      </c>
      <c r="AC4" s="628"/>
      <c r="AD4" s="629"/>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651" t="s">
        <v>293</v>
      </c>
      <c r="B7" s="652"/>
      <c r="C7" s="657"/>
      <c r="D7" s="630" t="s">
        <v>71</v>
      </c>
      <c r="E7" s="636"/>
      <c r="F7" s="636"/>
      <c r="G7" s="636"/>
      <c r="H7" s="631"/>
      <c r="I7" s="639" t="s">
        <v>74</v>
      </c>
      <c r="J7" s="640"/>
      <c r="K7" s="630" t="s">
        <v>67</v>
      </c>
      <c r="L7" s="631"/>
      <c r="M7" s="606" t="s">
        <v>70</v>
      </c>
      <c r="N7" s="607"/>
      <c r="O7" s="645" t="s">
        <v>425</v>
      </c>
      <c r="P7" s="646"/>
      <c r="Q7" s="56"/>
      <c r="R7" s="56"/>
      <c r="S7" s="56"/>
      <c r="T7" s="56"/>
      <c r="U7" s="56"/>
      <c r="V7" s="56"/>
      <c r="W7" s="56"/>
      <c r="X7" s="56"/>
      <c r="Y7" s="56"/>
      <c r="Z7" s="57"/>
      <c r="AA7" s="56"/>
      <c r="AB7" s="56"/>
      <c r="AC7" s="62"/>
      <c r="AD7" s="63"/>
    </row>
    <row r="8" spans="1:30" ht="15">
      <c r="A8" s="653"/>
      <c r="B8" s="654"/>
      <c r="C8" s="658"/>
      <c r="D8" s="632"/>
      <c r="E8" s="637"/>
      <c r="F8" s="637"/>
      <c r="G8" s="637"/>
      <c r="H8" s="633"/>
      <c r="I8" s="641"/>
      <c r="J8" s="642"/>
      <c r="K8" s="632"/>
      <c r="L8" s="633"/>
      <c r="M8" s="647" t="s">
        <v>68</v>
      </c>
      <c r="N8" s="648"/>
      <c r="O8" s="649"/>
      <c r="P8" s="650"/>
      <c r="Q8" s="56"/>
      <c r="R8" s="56"/>
      <c r="S8" s="56"/>
      <c r="T8" s="56"/>
      <c r="U8" s="56"/>
      <c r="V8" s="56"/>
      <c r="W8" s="56"/>
      <c r="X8" s="56"/>
      <c r="Y8" s="56"/>
      <c r="Z8" s="57"/>
      <c r="AA8" s="56"/>
      <c r="AB8" s="56"/>
      <c r="AC8" s="62"/>
      <c r="AD8" s="63"/>
    </row>
    <row r="9" spans="1:30" ht="15.75" thickBot="1">
      <c r="A9" s="655"/>
      <c r="B9" s="656"/>
      <c r="C9" s="659"/>
      <c r="D9" s="634"/>
      <c r="E9" s="638"/>
      <c r="F9" s="638"/>
      <c r="G9" s="638"/>
      <c r="H9" s="635"/>
      <c r="I9" s="643"/>
      <c r="J9" s="644"/>
      <c r="K9" s="634"/>
      <c r="L9" s="635"/>
      <c r="M9" s="602" t="s">
        <v>69</v>
      </c>
      <c r="N9" s="603"/>
      <c r="O9" s="604"/>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630" t="s">
        <v>0</v>
      </c>
      <c r="B11" s="631"/>
      <c r="C11" s="661"/>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3"/>
    </row>
    <row r="12" spans="1:30" ht="15" customHeight="1">
      <c r="A12" s="632"/>
      <c r="B12" s="633"/>
      <c r="C12" s="664"/>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6"/>
    </row>
    <row r="13" spans="1:30" ht="15" customHeight="1" thickBot="1">
      <c r="A13" s="634"/>
      <c r="B13" s="635"/>
      <c r="C13" s="667"/>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600" t="s">
        <v>77</v>
      </c>
      <c r="B15" s="601"/>
      <c r="C15" s="680" t="s">
        <v>426</v>
      </c>
      <c r="D15" s="681"/>
      <c r="E15" s="681"/>
      <c r="F15" s="681"/>
      <c r="G15" s="681"/>
      <c r="H15" s="681"/>
      <c r="I15" s="681"/>
      <c r="J15" s="681"/>
      <c r="K15" s="682"/>
      <c r="L15" s="594" t="s">
        <v>73</v>
      </c>
      <c r="M15" s="670"/>
      <c r="N15" s="670"/>
      <c r="O15" s="670"/>
      <c r="P15" s="670"/>
      <c r="Q15" s="595"/>
      <c r="R15" s="591"/>
      <c r="S15" s="592"/>
      <c r="T15" s="592"/>
      <c r="U15" s="592"/>
      <c r="V15" s="592"/>
      <c r="W15" s="592"/>
      <c r="X15" s="593"/>
      <c r="Y15" s="594" t="s">
        <v>72</v>
      </c>
      <c r="Z15" s="595"/>
      <c r="AA15" s="614"/>
      <c r="AB15" s="615"/>
      <c r="AC15" s="615"/>
      <c r="AD15" s="616"/>
    </row>
    <row r="16" spans="1:30" ht="9" customHeight="1" thickBot="1">
      <c r="A16" s="61"/>
      <c r="B16" s="56"/>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75"/>
      <c r="AD16" s="76"/>
    </row>
    <row r="17" spans="1:30" s="78" customFormat="1" ht="37.5" customHeight="1" thickBot="1">
      <c r="A17" s="600" t="s">
        <v>79</v>
      </c>
      <c r="B17" s="601"/>
      <c r="C17" s="618"/>
      <c r="D17" s="619"/>
      <c r="E17" s="619"/>
      <c r="F17" s="619"/>
      <c r="G17" s="619"/>
      <c r="H17" s="619"/>
      <c r="I17" s="619"/>
      <c r="J17" s="619"/>
      <c r="K17" s="619"/>
      <c r="L17" s="619"/>
      <c r="M17" s="619"/>
      <c r="N17" s="619"/>
      <c r="O17" s="619"/>
      <c r="P17" s="619"/>
      <c r="Q17" s="620"/>
      <c r="R17" s="660" t="s">
        <v>374</v>
      </c>
      <c r="S17" s="598"/>
      <c r="T17" s="598"/>
      <c r="U17" s="598"/>
      <c r="V17" s="599"/>
      <c r="W17" s="596"/>
      <c r="X17" s="597"/>
      <c r="Y17" s="598" t="s">
        <v>15</v>
      </c>
      <c r="Z17" s="598"/>
      <c r="AA17" s="598"/>
      <c r="AB17" s="599"/>
      <c r="AC17" s="689"/>
      <c r="AD17" s="690"/>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660" t="s">
        <v>1</v>
      </c>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9"/>
      <c r="AE19" s="86"/>
      <c r="AF19" s="86"/>
    </row>
    <row r="20" spans="1:32" ht="31.5" customHeight="1" thickBot="1">
      <c r="A20" s="85"/>
      <c r="B20" s="62"/>
      <c r="C20" s="686" t="s">
        <v>376</v>
      </c>
      <c r="D20" s="687"/>
      <c r="E20" s="687"/>
      <c r="F20" s="687"/>
      <c r="G20" s="687"/>
      <c r="H20" s="687"/>
      <c r="I20" s="687"/>
      <c r="J20" s="687"/>
      <c r="K20" s="687"/>
      <c r="L20" s="687"/>
      <c r="M20" s="687"/>
      <c r="N20" s="687"/>
      <c r="O20" s="687"/>
      <c r="P20" s="688"/>
      <c r="Q20" s="683" t="s">
        <v>377</v>
      </c>
      <c r="R20" s="684"/>
      <c r="S20" s="684"/>
      <c r="T20" s="684"/>
      <c r="U20" s="684"/>
      <c r="V20" s="684"/>
      <c r="W20" s="684"/>
      <c r="X20" s="684"/>
      <c r="Y20" s="684"/>
      <c r="Z20" s="684"/>
      <c r="AA20" s="684"/>
      <c r="AB20" s="684"/>
      <c r="AC20" s="684"/>
      <c r="AD20" s="685"/>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41" t="s">
        <v>378</v>
      </c>
      <c r="B22" s="546"/>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42" t="s">
        <v>379</v>
      </c>
      <c r="B23" s="5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42" t="s">
        <v>380</v>
      </c>
      <c r="B24" s="549"/>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612" t="s">
        <v>381</v>
      </c>
      <c r="B25" s="613"/>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608" t="s">
        <v>76</v>
      </c>
      <c r="B27" s="609"/>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1"/>
    </row>
    <row r="28" spans="1:30" ht="15" customHeight="1">
      <c r="A28" s="586" t="s">
        <v>189</v>
      </c>
      <c r="B28" s="588" t="s">
        <v>6</v>
      </c>
      <c r="C28" s="589"/>
      <c r="D28" s="549" t="s">
        <v>398</v>
      </c>
      <c r="E28" s="550"/>
      <c r="F28" s="550"/>
      <c r="G28" s="550"/>
      <c r="H28" s="550"/>
      <c r="I28" s="550"/>
      <c r="J28" s="550"/>
      <c r="K28" s="550"/>
      <c r="L28" s="550"/>
      <c r="M28" s="550"/>
      <c r="N28" s="550"/>
      <c r="O28" s="590"/>
      <c r="P28" s="572" t="s">
        <v>8</v>
      </c>
      <c r="Q28" s="572" t="s">
        <v>84</v>
      </c>
      <c r="R28" s="572"/>
      <c r="S28" s="572"/>
      <c r="T28" s="572"/>
      <c r="U28" s="572"/>
      <c r="V28" s="572"/>
      <c r="W28" s="572"/>
      <c r="X28" s="572"/>
      <c r="Y28" s="572"/>
      <c r="Z28" s="572"/>
      <c r="AA28" s="572"/>
      <c r="AB28" s="572"/>
      <c r="AC28" s="572"/>
      <c r="AD28" s="581"/>
    </row>
    <row r="29" spans="1:30" ht="27" customHeight="1">
      <c r="A29" s="587"/>
      <c r="B29" s="582"/>
      <c r="C29" s="584"/>
      <c r="D29" s="173" t="s">
        <v>39</v>
      </c>
      <c r="E29" s="173" t="s">
        <v>40</v>
      </c>
      <c r="F29" s="173" t="s">
        <v>41</v>
      </c>
      <c r="G29" s="173" t="s">
        <v>42</v>
      </c>
      <c r="H29" s="173" t="s">
        <v>43</v>
      </c>
      <c r="I29" s="173" t="s">
        <v>44</v>
      </c>
      <c r="J29" s="173" t="s">
        <v>45</v>
      </c>
      <c r="K29" s="173" t="s">
        <v>46</v>
      </c>
      <c r="L29" s="173" t="s">
        <v>47</v>
      </c>
      <c r="M29" s="173" t="s">
        <v>48</v>
      </c>
      <c r="N29" s="173" t="s">
        <v>49</v>
      </c>
      <c r="O29" s="173" t="s">
        <v>50</v>
      </c>
      <c r="P29" s="590"/>
      <c r="Q29" s="572"/>
      <c r="R29" s="572"/>
      <c r="S29" s="572"/>
      <c r="T29" s="572"/>
      <c r="U29" s="572"/>
      <c r="V29" s="572"/>
      <c r="W29" s="572"/>
      <c r="X29" s="572"/>
      <c r="Y29" s="572"/>
      <c r="Z29" s="572"/>
      <c r="AA29" s="572"/>
      <c r="AB29" s="572"/>
      <c r="AC29" s="572"/>
      <c r="AD29" s="581"/>
    </row>
    <row r="30" spans="1:30" ht="42" customHeight="1" thickBot="1">
      <c r="A30" s="88"/>
      <c r="B30" s="573"/>
      <c r="C30" s="574"/>
      <c r="D30" s="92"/>
      <c r="E30" s="92"/>
      <c r="F30" s="92"/>
      <c r="G30" s="92"/>
      <c r="H30" s="92"/>
      <c r="I30" s="92"/>
      <c r="J30" s="92"/>
      <c r="K30" s="92"/>
      <c r="L30" s="92"/>
      <c r="M30" s="92"/>
      <c r="N30" s="92"/>
      <c r="O30" s="92"/>
      <c r="P30" s="89">
        <f>SUM(D30:O30)</f>
        <v>0</v>
      </c>
      <c r="Q30" s="575" t="s">
        <v>296</v>
      </c>
      <c r="R30" s="575"/>
      <c r="S30" s="575"/>
      <c r="T30" s="575"/>
      <c r="U30" s="575"/>
      <c r="V30" s="575"/>
      <c r="W30" s="575"/>
      <c r="X30" s="575"/>
      <c r="Y30" s="575"/>
      <c r="Z30" s="575"/>
      <c r="AA30" s="575"/>
      <c r="AB30" s="575"/>
      <c r="AC30" s="575"/>
      <c r="AD30" s="576"/>
    </row>
    <row r="31" spans="1:30" ht="45" customHeight="1">
      <c r="A31" s="577" t="s">
        <v>292</v>
      </c>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9"/>
    </row>
    <row r="32" spans="1:41" ht="22.5" customHeight="1">
      <c r="A32" s="542" t="s">
        <v>190</v>
      </c>
      <c r="B32" s="572" t="s">
        <v>62</v>
      </c>
      <c r="C32" s="572" t="s">
        <v>6</v>
      </c>
      <c r="D32" s="572" t="s">
        <v>60</v>
      </c>
      <c r="E32" s="572"/>
      <c r="F32" s="572"/>
      <c r="G32" s="572"/>
      <c r="H32" s="572"/>
      <c r="I32" s="572"/>
      <c r="J32" s="572"/>
      <c r="K32" s="572"/>
      <c r="L32" s="572"/>
      <c r="M32" s="572"/>
      <c r="N32" s="572"/>
      <c r="O32" s="572"/>
      <c r="P32" s="572"/>
      <c r="Q32" s="572" t="s">
        <v>85</v>
      </c>
      <c r="R32" s="572"/>
      <c r="S32" s="572"/>
      <c r="T32" s="572"/>
      <c r="U32" s="572"/>
      <c r="V32" s="572"/>
      <c r="W32" s="572"/>
      <c r="X32" s="572"/>
      <c r="Y32" s="572"/>
      <c r="Z32" s="572"/>
      <c r="AA32" s="572"/>
      <c r="AB32" s="572"/>
      <c r="AC32" s="572"/>
      <c r="AD32" s="581"/>
      <c r="AG32" s="90"/>
      <c r="AH32" s="90"/>
      <c r="AI32" s="90"/>
      <c r="AJ32" s="90"/>
      <c r="AK32" s="90"/>
      <c r="AL32" s="90"/>
      <c r="AM32" s="90"/>
      <c r="AN32" s="90"/>
      <c r="AO32" s="90"/>
    </row>
    <row r="33" spans="1:41" ht="27" customHeight="1">
      <c r="A33" s="542"/>
      <c r="B33" s="572"/>
      <c r="C33" s="580"/>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72" t="s">
        <v>403</v>
      </c>
      <c r="R33" s="572"/>
      <c r="S33" s="572"/>
      <c r="T33" s="572" t="s">
        <v>406</v>
      </c>
      <c r="U33" s="572"/>
      <c r="V33" s="572"/>
      <c r="W33" s="582" t="s">
        <v>81</v>
      </c>
      <c r="X33" s="583"/>
      <c r="Y33" s="583"/>
      <c r="Z33" s="584"/>
      <c r="AA33" s="582" t="s">
        <v>82</v>
      </c>
      <c r="AB33" s="583"/>
      <c r="AC33" s="583"/>
      <c r="AD33" s="585"/>
      <c r="AG33" s="90"/>
      <c r="AH33" s="90"/>
      <c r="AI33" s="90"/>
      <c r="AJ33" s="90"/>
      <c r="AK33" s="90"/>
      <c r="AL33" s="90"/>
      <c r="AM33" s="90"/>
      <c r="AN33" s="90"/>
      <c r="AO33" s="90"/>
    </row>
    <row r="34" spans="1:41" ht="45" customHeight="1">
      <c r="A34" s="560"/>
      <c r="B34" s="562"/>
      <c r="C34" s="93" t="s">
        <v>9</v>
      </c>
      <c r="D34" s="92"/>
      <c r="E34" s="92"/>
      <c r="F34" s="92"/>
      <c r="G34" s="92"/>
      <c r="H34" s="92"/>
      <c r="I34" s="92"/>
      <c r="J34" s="92"/>
      <c r="K34" s="92"/>
      <c r="L34" s="92"/>
      <c r="M34" s="92"/>
      <c r="N34" s="92"/>
      <c r="O34" s="92"/>
      <c r="P34" s="212">
        <f>SUM(D34:O34)</f>
        <v>0</v>
      </c>
      <c r="Q34" s="564" t="s">
        <v>404</v>
      </c>
      <c r="R34" s="565"/>
      <c r="S34" s="566"/>
      <c r="T34" s="565" t="s">
        <v>405</v>
      </c>
      <c r="U34" s="565"/>
      <c r="V34" s="566"/>
      <c r="W34" s="564" t="s">
        <v>402</v>
      </c>
      <c r="X34" s="565"/>
      <c r="Y34" s="565"/>
      <c r="Z34" s="566"/>
      <c r="AA34" s="564" t="s">
        <v>407</v>
      </c>
      <c r="AB34" s="565"/>
      <c r="AC34" s="565"/>
      <c r="AD34" s="570"/>
      <c r="AG34" s="90"/>
      <c r="AH34" s="90"/>
      <c r="AI34" s="90"/>
      <c r="AJ34" s="90"/>
      <c r="AK34" s="90"/>
      <c r="AL34" s="90"/>
      <c r="AM34" s="90"/>
      <c r="AN34" s="90"/>
      <c r="AO34" s="90"/>
    </row>
    <row r="35" spans="1:41" ht="45" customHeight="1" thickBot="1">
      <c r="A35" s="561"/>
      <c r="B35" s="563"/>
      <c r="C35" s="94" t="s">
        <v>10</v>
      </c>
      <c r="D35" s="95"/>
      <c r="E35" s="95"/>
      <c r="F35" s="95"/>
      <c r="G35" s="96"/>
      <c r="H35" s="96"/>
      <c r="I35" s="96"/>
      <c r="J35" s="96"/>
      <c r="K35" s="96"/>
      <c r="L35" s="96"/>
      <c r="M35" s="96"/>
      <c r="N35" s="96"/>
      <c r="O35" s="96"/>
      <c r="P35" s="178">
        <f>SUM(D35:O35)</f>
        <v>0</v>
      </c>
      <c r="Q35" s="567"/>
      <c r="R35" s="568"/>
      <c r="S35" s="569"/>
      <c r="T35" s="568"/>
      <c r="U35" s="568"/>
      <c r="V35" s="569"/>
      <c r="W35" s="567"/>
      <c r="X35" s="568"/>
      <c r="Y35" s="568"/>
      <c r="Z35" s="569"/>
      <c r="AA35" s="567"/>
      <c r="AB35" s="568"/>
      <c r="AC35" s="568"/>
      <c r="AD35" s="571"/>
      <c r="AE35" s="50"/>
      <c r="AF35" s="97"/>
      <c r="AG35" s="90"/>
      <c r="AH35" s="90"/>
      <c r="AI35" s="90"/>
      <c r="AJ35" s="90"/>
      <c r="AK35" s="90"/>
      <c r="AL35" s="90"/>
      <c r="AM35" s="90"/>
      <c r="AN35" s="90"/>
      <c r="AO35" s="90"/>
    </row>
    <row r="36" spans="1:41" ht="25.5" customHeight="1">
      <c r="A36" s="541" t="s">
        <v>191</v>
      </c>
      <c r="B36" s="543" t="s">
        <v>61</v>
      </c>
      <c r="C36" s="545" t="s">
        <v>11</v>
      </c>
      <c r="D36" s="545"/>
      <c r="E36" s="545"/>
      <c r="F36" s="545"/>
      <c r="G36" s="545"/>
      <c r="H36" s="545"/>
      <c r="I36" s="545"/>
      <c r="J36" s="545"/>
      <c r="K36" s="545"/>
      <c r="L36" s="545"/>
      <c r="M36" s="545"/>
      <c r="N36" s="545"/>
      <c r="O36" s="545"/>
      <c r="P36" s="545"/>
      <c r="Q36" s="546" t="s">
        <v>78</v>
      </c>
      <c r="R36" s="547"/>
      <c r="S36" s="547"/>
      <c r="T36" s="547"/>
      <c r="U36" s="547"/>
      <c r="V36" s="547"/>
      <c r="W36" s="547"/>
      <c r="X36" s="547"/>
      <c r="Y36" s="547"/>
      <c r="Z36" s="547"/>
      <c r="AA36" s="547"/>
      <c r="AB36" s="547"/>
      <c r="AC36" s="547"/>
      <c r="AD36" s="548"/>
      <c r="AG36" s="90"/>
      <c r="AH36" s="90"/>
      <c r="AI36" s="90"/>
      <c r="AJ36" s="90"/>
      <c r="AK36" s="90"/>
      <c r="AL36" s="90"/>
      <c r="AM36" s="90"/>
      <c r="AN36" s="90"/>
      <c r="AO36" s="90"/>
    </row>
    <row r="37" spans="1:41" ht="25.5" customHeight="1">
      <c r="A37" s="542"/>
      <c r="B37" s="544"/>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49" t="s">
        <v>83</v>
      </c>
      <c r="R37" s="550"/>
      <c r="S37" s="550"/>
      <c r="T37" s="550"/>
      <c r="U37" s="550"/>
      <c r="V37" s="550"/>
      <c r="W37" s="550"/>
      <c r="X37" s="550"/>
      <c r="Y37" s="550"/>
      <c r="Z37" s="550"/>
      <c r="AA37" s="550"/>
      <c r="AB37" s="550"/>
      <c r="AC37" s="550"/>
      <c r="AD37" s="551"/>
      <c r="AG37" s="98"/>
      <c r="AH37" s="98"/>
      <c r="AI37" s="98"/>
      <c r="AJ37" s="98"/>
      <c r="AK37" s="98"/>
      <c r="AL37" s="98"/>
      <c r="AM37" s="98"/>
      <c r="AN37" s="98"/>
      <c r="AO37" s="98"/>
    </row>
    <row r="38" spans="1:41" ht="28.5" customHeight="1">
      <c r="A38" s="552"/>
      <c r="B38" s="553"/>
      <c r="C38" s="93" t="s">
        <v>9</v>
      </c>
      <c r="D38" s="99"/>
      <c r="E38" s="99"/>
      <c r="F38" s="99"/>
      <c r="G38" s="99"/>
      <c r="H38" s="99"/>
      <c r="I38" s="99"/>
      <c r="J38" s="99"/>
      <c r="K38" s="99"/>
      <c r="L38" s="99"/>
      <c r="M38" s="99"/>
      <c r="N38" s="99"/>
      <c r="O38" s="99"/>
      <c r="P38" s="100">
        <f aca="true" t="shared" si="0" ref="P38:P45">SUM(D38:O38)</f>
        <v>0</v>
      </c>
      <c r="Q38" s="554" t="s">
        <v>408</v>
      </c>
      <c r="R38" s="555"/>
      <c r="S38" s="555"/>
      <c r="T38" s="555"/>
      <c r="U38" s="555"/>
      <c r="V38" s="555"/>
      <c r="W38" s="555"/>
      <c r="X38" s="555"/>
      <c r="Y38" s="555"/>
      <c r="Z38" s="555"/>
      <c r="AA38" s="555"/>
      <c r="AB38" s="555"/>
      <c r="AC38" s="555"/>
      <c r="AD38" s="556"/>
      <c r="AE38" s="101"/>
      <c r="AG38" s="102"/>
      <c r="AH38" s="102"/>
      <c r="AI38" s="102"/>
      <c r="AJ38" s="102"/>
      <c r="AK38" s="102"/>
      <c r="AL38" s="102"/>
      <c r="AM38" s="102"/>
      <c r="AN38" s="102"/>
      <c r="AO38" s="102"/>
    </row>
    <row r="39" spans="1:31" ht="28.5" customHeight="1">
      <c r="A39" s="534"/>
      <c r="B39" s="535"/>
      <c r="C39" s="103" t="s">
        <v>10</v>
      </c>
      <c r="D39" s="104"/>
      <c r="E39" s="104"/>
      <c r="F39" s="104"/>
      <c r="G39" s="104"/>
      <c r="H39" s="104"/>
      <c r="I39" s="104"/>
      <c r="J39" s="104"/>
      <c r="K39" s="104"/>
      <c r="L39" s="104"/>
      <c r="M39" s="104"/>
      <c r="N39" s="104"/>
      <c r="O39" s="104"/>
      <c r="P39" s="105">
        <f t="shared" si="0"/>
        <v>0</v>
      </c>
      <c r="Q39" s="557"/>
      <c r="R39" s="558"/>
      <c r="S39" s="558"/>
      <c r="T39" s="558"/>
      <c r="U39" s="558"/>
      <c r="V39" s="558"/>
      <c r="W39" s="558"/>
      <c r="X39" s="558"/>
      <c r="Y39" s="558"/>
      <c r="Z39" s="558"/>
      <c r="AA39" s="558"/>
      <c r="AB39" s="558"/>
      <c r="AC39" s="558"/>
      <c r="AD39" s="559"/>
      <c r="AE39" s="101"/>
    </row>
    <row r="40" spans="1:31" ht="28.5" customHeight="1">
      <c r="A40" s="534"/>
      <c r="B40" s="526"/>
      <c r="C40" s="106" t="s">
        <v>9</v>
      </c>
      <c r="D40" s="107"/>
      <c r="E40" s="107"/>
      <c r="F40" s="107"/>
      <c r="G40" s="107"/>
      <c r="H40" s="107"/>
      <c r="I40" s="107"/>
      <c r="J40" s="107"/>
      <c r="K40" s="107"/>
      <c r="L40" s="107"/>
      <c r="M40" s="107"/>
      <c r="N40" s="107"/>
      <c r="O40" s="107"/>
      <c r="P40" s="105">
        <f t="shared" si="0"/>
        <v>0</v>
      </c>
      <c r="Q40" s="528"/>
      <c r="R40" s="529"/>
      <c r="S40" s="529"/>
      <c r="T40" s="529"/>
      <c r="U40" s="529"/>
      <c r="V40" s="529"/>
      <c r="W40" s="529"/>
      <c r="X40" s="529"/>
      <c r="Y40" s="529"/>
      <c r="Z40" s="529"/>
      <c r="AA40" s="529"/>
      <c r="AB40" s="529"/>
      <c r="AC40" s="529"/>
      <c r="AD40" s="530"/>
      <c r="AE40" s="101"/>
    </row>
    <row r="41" spans="1:31" ht="28.5" customHeight="1">
      <c r="A41" s="534"/>
      <c r="B41" s="535"/>
      <c r="C41" s="103" t="s">
        <v>10</v>
      </c>
      <c r="D41" s="104"/>
      <c r="E41" s="104"/>
      <c r="F41" s="104"/>
      <c r="G41" s="104"/>
      <c r="H41" s="104"/>
      <c r="I41" s="104"/>
      <c r="J41" s="104"/>
      <c r="K41" s="104"/>
      <c r="L41" s="108"/>
      <c r="M41" s="108"/>
      <c r="N41" s="108"/>
      <c r="O41" s="108"/>
      <c r="P41" s="105">
        <f t="shared" si="0"/>
        <v>0</v>
      </c>
      <c r="Q41" s="536"/>
      <c r="R41" s="537"/>
      <c r="S41" s="537"/>
      <c r="T41" s="537"/>
      <c r="U41" s="537"/>
      <c r="V41" s="537"/>
      <c r="W41" s="537"/>
      <c r="X41" s="537"/>
      <c r="Y41" s="537"/>
      <c r="Z41" s="537"/>
      <c r="AA41" s="537"/>
      <c r="AB41" s="537"/>
      <c r="AC41" s="537"/>
      <c r="AD41" s="538"/>
      <c r="AE41" s="101"/>
    </row>
    <row r="42" spans="1:31" ht="28.5" customHeight="1">
      <c r="A42" s="539"/>
      <c r="B42" s="526"/>
      <c r="C42" s="106" t="s">
        <v>9</v>
      </c>
      <c r="D42" s="107"/>
      <c r="E42" s="107"/>
      <c r="F42" s="107"/>
      <c r="G42" s="107"/>
      <c r="H42" s="107"/>
      <c r="I42" s="107"/>
      <c r="J42" s="107"/>
      <c r="K42" s="107"/>
      <c r="L42" s="107"/>
      <c r="M42" s="107"/>
      <c r="N42" s="107"/>
      <c r="O42" s="107"/>
      <c r="P42" s="105">
        <f t="shared" si="0"/>
        <v>0</v>
      </c>
      <c r="Q42" s="528"/>
      <c r="R42" s="529"/>
      <c r="S42" s="529"/>
      <c r="T42" s="529"/>
      <c r="U42" s="529"/>
      <c r="V42" s="529"/>
      <c r="W42" s="529"/>
      <c r="X42" s="529"/>
      <c r="Y42" s="529"/>
      <c r="Z42" s="529"/>
      <c r="AA42" s="529"/>
      <c r="AB42" s="529"/>
      <c r="AC42" s="529"/>
      <c r="AD42" s="530"/>
      <c r="AE42" s="101"/>
    </row>
    <row r="43" spans="1:31" ht="28.5" customHeight="1">
      <c r="A43" s="540"/>
      <c r="B43" s="535"/>
      <c r="C43" s="103" t="s">
        <v>10</v>
      </c>
      <c r="D43" s="104"/>
      <c r="E43" s="104"/>
      <c r="F43" s="104"/>
      <c r="G43" s="109"/>
      <c r="H43" s="104"/>
      <c r="I43" s="104"/>
      <c r="J43" s="104"/>
      <c r="K43" s="104"/>
      <c r="L43" s="108"/>
      <c r="M43" s="108"/>
      <c r="N43" s="108"/>
      <c r="O43" s="108"/>
      <c r="P43" s="105">
        <f t="shared" si="0"/>
        <v>0</v>
      </c>
      <c r="Q43" s="536"/>
      <c r="R43" s="537"/>
      <c r="S43" s="537"/>
      <c r="T43" s="537"/>
      <c r="U43" s="537"/>
      <c r="V43" s="537"/>
      <c r="W43" s="537"/>
      <c r="X43" s="537"/>
      <c r="Y43" s="537"/>
      <c r="Z43" s="537"/>
      <c r="AA43" s="537"/>
      <c r="AB43" s="537"/>
      <c r="AC43" s="537"/>
      <c r="AD43" s="538"/>
      <c r="AE43" s="101"/>
    </row>
    <row r="44" spans="1:31" ht="28.5" customHeight="1">
      <c r="A44" s="524"/>
      <c r="B44" s="526"/>
      <c r="C44" s="106" t="s">
        <v>9</v>
      </c>
      <c r="D44" s="107"/>
      <c r="E44" s="107"/>
      <c r="F44" s="107"/>
      <c r="G44" s="107"/>
      <c r="H44" s="107"/>
      <c r="I44" s="107"/>
      <c r="J44" s="107"/>
      <c r="K44" s="107"/>
      <c r="L44" s="107"/>
      <c r="M44" s="107"/>
      <c r="N44" s="107"/>
      <c r="O44" s="107"/>
      <c r="P44" s="105">
        <f t="shared" si="0"/>
        <v>0</v>
      </c>
      <c r="Q44" s="528"/>
      <c r="R44" s="529"/>
      <c r="S44" s="529"/>
      <c r="T44" s="529"/>
      <c r="U44" s="529"/>
      <c r="V44" s="529"/>
      <c r="W44" s="529"/>
      <c r="X44" s="529"/>
      <c r="Y44" s="529"/>
      <c r="Z44" s="529"/>
      <c r="AA44" s="529"/>
      <c r="AB44" s="529"/>
      <c r="AC44" s="529"/>
      <c r="AD44" s="530"/>
      <c r="AE44" s="101"/>
    </row>
    <row r="45" spans="1:31" ht="28.5" customHeight="1" thickBot="1">
      <c r="A45" s="525"/>
      <c r="B45" s="527"/>
      <c r="C45" s="94" t="s">
        <v>10</v>
      </c>
      <c r="D45" s="110"/>
      <c r="E45" s="110"/>
      <c r="F45" s="110"/>
      <c r="G45" s="110"/>
      <c r="H45" s="110"/>
      <c r="I45" s="110"/>
      <c r="J45" s="110"/>
      <c r="K45" s="110"/>
      <c r="L45" s="111"/>
      <c r="M45" s="111"/>
      <c r="N45" s="111"/>
      <c r="O45" s="111"/>
      <c r="P45" s="112">
        <f t="shared" si="0"/>
        <v>0</v>
      </c>
      <c r="Q45" s="531"/>
      <c r="R45" s="532"/>
      <c r="S45" s="532"/>
      <c r="T45" s="532"/>
      <c r="U45" s="532"/>
      <c r="V45" s="532"/>
      <c r="W45" s="532"/>
      <c r="X45" s="532"/>
      <c r="Y45" s="532"/>
      <c r="Z45" s="532"/>
      <c r="AA45" s="532"/>
      <c r="AB45" s="532"/>
      <c r="AC45" s="532"/>
      <c r="AD45" s="533"/>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O49"/>
  <sheetViews>
    <sheetView showGridLines="0" zoomScale="70" zoomScaleNormal="70" workbookViewId="0" topLeftCell="E34">
      <selection activeCell="I35" sqref="I35:J35"/>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46"/>
      <c r="B1" s="849" t="s">
        <v>16</v>
      </c>
      <c r="C1" s="850"/>
      <c r="D1" s="850"/>
      <c r="E1" s="850"/>
      <c r="F1" s="850"/>
      <c r="G1" s="850"/>
      <c r="H1" s="850"/>
      <c r="I1" s="850"/>
      <c r="J1" s="850"/>
      <c r="K1" s="850"/>
      <c r="L1" s="850"/>
      <c r="M1" s="850"/>
      <c r="N1" s="850"/>
      <c r="O1" s="850"/>
      <c r="P1" s="850"/>
      <c r="Q1" s="850"/>
      <c r="R1" s="850"/>
      <c r="S1" s="850"/>
      <c r="T1" s="850"/>
      <c r="U1" s="850"/>
      <c r="V1" s="850"/>
      <c r="W1" s="850"/>
      <c r="X1" s="850"/>
      <c r="Y1" s="850"/>
      <c r="Z1" s="850"/>
      <c r="AA1" s="851"/>
      <c r="AB1" s="852" t="s">
        <v>423</v>
      </c>
      <c r="AC1" s="853"/>
      <c r="AD1" s="854"/>
    </row>
    <row r="2" spans="1:30" ht="30.75" customHeight="1" thickBot="1">
      <c r="A2" s="847"/>
      <c r="B2" s="849" t="s">
        <v>17</v>
      </c>
      <c r="C2" s="850"/>
      <c r="D2" s="850"/>
      <c r="E2" s="850"/>
      <c r="F2" s="850"/>
      <c r="G2" s="850"/>
      <c r="H2" s="850"/>
      <c r="I2" s="850"/>
      <c r="J2" s="850"/>
      <c r="K2" s="850"/>
      <c r="L2" s="850"/>
      <c r="M2" s="850"/>
      <c r="N2" s="850"/>
      <c r="O2" s="850"/>
      <c r="P2" s="850"/>
      <c r="Q2" s="850"/>
      <c r="R2" s="850"/>
      <c r="S2" s="850"/>
      <c r="T2" s="850"/>
      <c r="U2" s="850"/>
      <c r="V2" s="850"/>
      <c r="W2" s="850"/>
      <c r="X2" s="850"/>
      <c r="Y2" s="850"/>
      <c r="Z2" s="850"/>
      <c r="AA2" s="851"/>
      <c r="AB2" s="855" t="s">
        <v>418</v>
      </c>
      <c r="AC2" s="856"/>
      <c r="AD2" s="857"/>
    </row>
    <row r="3" spans="1:30" ht="24" customHeight="1">
      <c r="A3" s="847"/>
      <c r="B3" s="858" t="s">
        <v>295</v>
      </c>
      <c r="C3" s="859"/>
      <c r="D3" s="859"/>
      <c r="E3" s="859"/>
      <c r="F3" s="859"/>
      <c r="G3" s="859"/>
      <c r="H3" s="859"/>
      <c r="I3" s="859"/>
      <c r="J3" s="859"/>
      <c r="K3" s="859"/>
      <c r="L3" s="859"/>
      <c r="M3" s="859"/>
      <c r="N3" s="859"/>
      <c r="O3" s="859"/>
      <c r="P3" s="859"/>
      <c r="Q3" s="859"/>
      <c r="R3" s="859"/>
      <c r="S3" s="859"/>
      <c r="T3" s="859"/>
      <c r="U3" s="859"/>
      <c r="V3" s="859"/>
      <c r="W3" s="859"/>
      <c r="X3" s="859"/>
      <c r="Y3" s="859"/>
      <c r="Z3" s="859"/>
      <c r="AA3" s="860"/>
      <c r="AB3" s="855" t="s">
        <v>424</v>
      </c>
      <c r="AC3" s="856"/>
      <c r="AD3" s="857"/>
    </row>
    <row r="4" spans="1:30" ht="21.75" customHeight="1" thickBot="1">
      <c r="A4" s="848"/>
      <c r="B4" s="861"/>
      <c r="C4" s="862"/>
      <c r="D4" s="862"/>
      <c r="E4" s="862"/>
      <c r="F4" s="862"/>
      <c r="G4" s="862"/>
      <c r="H4" s="862"/>
      <c r="I4" s="862"/>
      <c r="J4" s="862"/>
      <c r="K4" s="862"/>
      <c r="L4" s="862"/>
      <c r="M4" s="862"/>
      <c r="N4" s="862"/>
      <c r="O4" s="862"/>
      <c r="P4" s="862"/>
      <c r="Q4" s="862"/>
      <c r="R4" s="862"/>
      <c r="S4" s="862"/>
      <c r="T4" s="862"/>
      <c r="U4" s="862"/>
      <c r="V4" s="862"/>
      <c r="W4" s="862"/>
      <c r="X4" s="862"/>
      <c r="Y4" s="862"/>
      <c r="Z4" s="862"/>
      <c r="AA4" s="863"/>
      <c r="AB4" s="627" t="s">
        <v>777</v>
      </c>
      <c r="AC4" s="628"/>
      <c r="AD4" s="629"/>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30" t="s">
        <v>293</v>
      </c>
      <c r="B7" s="631"/>
      <c r="C7" s="883" t="s">
        <v>45</v>
      </c>
      <c r="D7" s="630" t="s">
        <v>71</v>
      </c>
      <c r="E7" s="636"/>
      <c r="F7" s="636"/>
      <c r="G7" s="636"/>
      <c r="H7" s="631"/>
      <c r="I7" s="838">
        <v>45146</v>
      </c>
      <c r="J7" s="839"/>
      <c r="K7" s="630" t="s">
        <v>67</v>
      </c>
      <c r="L7" s="631"/>
      <c r="M7" s="844" t="s">
        <v>70</v>
      </c>
      <c r="N7" s="845"/>
      <c r="O7" s="864"/>
      <c r="P7" s="865"/>
      <c r="Q7" s="252"/>
      <c r="R7" s="252"/>
      <c r="S7" s="252"/>
      <c r="T7" s="252"/>
      <c r="U7" s="252"/>
      <c r="V7" s="252"/>
      <c r="W7" s="252"/>
      <c r="X7" s="252"/>
      <c r="Y7" s="252"/>
      <c r="Z7" s="253"/>
      <c r="AA7" s="252"/>
      <c r="AB7" s="252"/>
      <c r="AC7" s="258"/>
      <c r="AD7" s="259"/>
    </row>
    <row r="8" spans="1:30" ht="15" customHeight="1">
      <c r="A8" s="632"/>
      <c r="B8" s="633"/>
      <c r="C8" s="884"/>
      <c r="D8" s="632"/>
      <c r="E8" s="886"/>
      <c r="F8" s="886"/>
      <c r="G8" s="886"/>
      <c r="H8" s="633"/>
      <c r="I8" s="840"/>
      <c r="J8" s="841"/>
      <c r="K8" s="632"/>
      <c r="L8" s="633"/>
      <c r="M8" s="866" t="s">
        <v>68</v>
      </c>
      <c r="N8" s="867"/>
      <c r="O8" s="868"/>
      <c r="P8" s="869"/>
      <c r="Q8" s="252"/>
      <c r="R8" s="252"/>
      <c r="S8" s="252"/>
      <c r="T8" s="252"/>
      <c r="U8" s="252"/>
      <c r="V8" s="252"/>
      <c r="W8" s="252"/>
      <c r="X8" s="252"/>
      <c r="Y8" s="252"/>
      <c r="Z8" s="253"/>
      <c r="AA8" s="252"/>
      <c r="AB8" s="252"/>
      <c r="AC8" s="258"/>
      <c r="AD8" s="259"/>
    </row>
    <row r="9" spans="1:30" ht="15.75" customHeight="1" thickBot="1">
      <c r="A9" s="634"/>
      <c r="B9" s="635"/>
      <c r="C9" s="885"/>
      <c r="D9" s="634"/>
      <c r="E9" s="638"/>
      <c r="F9" s="638"/>
      <c r="G9" s="638"/>
      <c r="H9" s="635"/>
      <c r="I9" s="842"/>
      <c r="J9" s="843"/>
      <c r="K9" s="634"/>
      <c r="L9" s="635"/>
      <c r="M9" s="870" t="s">
        <v>69</v>
      </c>
      <c r="N9" s="871"/>
      <c r="O9" s="872" t="s">
        <v>425</v>
      </c>
      <c r="P9" s="873"/>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30" t="s">
        <v>0</v>
      </c>
      <c r="B11" s="631"/>
      <c r="C11" s="661" t="s">
        <v>497</v>
      </c>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3"/>
    </row>
    <row r="12" spans="1:30" ht="15" customHeight="1">
      <c r="A12" s="632"/>
      <c r="B12" s="633"/>
      <c r="C12" s="664"/>
      <c r="D12" s="992"/>
      <c r="E12" s="992"/>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666"/>
    </row>
    <row r="13" spans="1:30" ht="15" customHeight="1" thickBot="1">
      <c r="A13" s="634"/>
      <c r="B13" s="635"/>
      <c r="C13" s="667"/>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9"/>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00" t="s">
        <v>77</v>
      </c>
      <c r="B15" s="601"/>
      <c r="C15" s="887" t="s">
        <v>426</v>
      </c>
      <c r="D15" s="888"/>
      <c r="E15" s="888"/>
      <c r="F15" s="888"/>
      <c r="G15" s="888"/>
      <c r="H15" s="888"/>
      <c r="I15" s="888"/>
      <c r="J15" s="888"/>
      <c r="K15" s="889"/>
      <c r="L15" s="594" t="s">
        <v>73</v>
      </c>
      <c r="M15" s="670"/>
      <c r="N15" s="670"/>
      <c r="O15" s="670"/>
      <c r="P15" s="670"/>
      <c r="Q15" s="595"/>
      <c r="R15" s="890" t="s">
        <v>622</v>
      </c>
      <c r="S15" s="891"/>
      <c r="T15" s="891"/>
      <c r="U15" s="891"/>
      <c r="V15" s="891"/>
      <c r="W15" s="891"/>
      <c r="X15" s="892"/>
      <c r="Y15" s="594" t="s">
        <v>72</v>
      </c>
      <c r="Z15" s="595"/>
      <c r="AA15" s="887" t="s">
        <v>623</v>
      </c>
      <c r="AB15" s="888"/>
      <c r="AC15" s="888"/>
      <c r="AD15" s="889"/>
    </row>
    <row r="16" spans="1:30" ht="9" customHeight="1" thickBot="1">
      <c r="A16" s="257"/>
      <c r="B16" s="252"/>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271"/>
      <c r="AD16" s="272"/>
    </row>
    <row r="17" spans="1:30" s="273" customFormat="1" ht="37.5" customHeight="1" thickBot="1">
      <c r="A17" s="600" t="s">
        <v>79</v>
      </c>
      <c r="B17" s="601"/>
      <c r="C17" s="680" t="s">
        <v>579</v>
      </c>
      <c r="D17" s="681"/>
      <c r="E17" s="681"/>
      <c r="F17" s="681"/>
      <c r="G17" s="681"/>
      <c r="H17" s="681"/>
      <c r="I17" s="681"/>
      <c r="J17" s="681"/>
      <c r="K17" s="681"/>
      <c r="L17" s="681"/>
      <c r="M17" s="681"/>
      <c r="N17" s="681"/>
      <c r="O17" s="681"/>
      <c r="P17" s="681"/>
      <c r="Q17" s="682"/>
      <c r="R17" s="594" t="s">
        <v>374</v>
      </c>
      <c r="S17" s="670"/>
      <c r="T17" s="670"/>
      <c r="U17" s="670"/>
      <c r="V17" s="595"/>
      <c r="W17" s="596"/>
      <c r="X17" s="597"/>
      <c r="Y17" s="670" t="s">
        <v>15</v>
      </c>
      <c r="Z17" s="670"/>
      <c r="AA17" s="670"/>
      <c r="AB17" s="595"/>
      <c r="AC17" s="897">
        <f>+VIGENCIA!D7</f>
        <v>0.5779259291341293</v>
      </c>
      <c r="AD17" s="898"/>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4" t="s">
        <v>1</v>
      </c>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595"/>
      <c r="AE19" s="275"/>
      <c r="AF19" s="275"/>
    </row>
    <row r="20" spans="1:32" ht="31.5" customHeight="1" thickBot="1">
      <c r="A20" s="276"/>
      <c r="B20" s="258"/>
      <c r="C20" s="698" t="s">
        <v>376</v>
      </c>
      <c r="D20" s="746"/>
      <c r="E20" s="746"/>
      <c r="F20" s="746"/>
      <c r="G20" s="746"/>
      <c r="H20" s="746"/>
      <c r="I20" s="746"/>
      <c r="J20" s="746"/>
      <c r="K20" s="746"/>
      <c r="L20" s="746"/>
      <c r="M20" s="746"/>
      <c r="N20" s="746"/>
      <c r="O20" s="746"/>
      <c r="P20" s="699"/>
      <c r="Q20" s="696" t="s">
        <v>377</v>
      </c>
      <c r="R20" s="899"/>
      <c r="S20" s="899"/>
      <c r="T20" s="899"/>
      <c r="U20" s="899"/>
      <c r="V20" s="899"/>
      <c r="W20" s="899"/>
      <c r="X20" s="899"/>
      <c r="Y20" s="899"/>
      <c r="Z20" s="899"/>
      <c r="AA20" s="899"/>
      <c r="AB20" s="899"/>
      <c r="AC20" s="899"/>
      <c r="AD20" s="697"/>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00" t="s">
        <v>378</v>
      </c>
      <c r="B22" s="901"/>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902" t="s">
        <v>379</v>
      </c>
      <c r="B23" s="903"/>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f>+VIGENCIA!L16</f>
        <v>-19105647</v>
      </c>
      <c r="V23" s="191">
        <f>+VIGENCIA!N16</f>
        <v>68314000</v>
      </c>
      <c r="W23" s="191">
        <f>+VIGENCIA!P16</f>
        <v>-5394667</v>
      </c>
      <c r="X23" s="191"/>
      <c r="Y23" s="191"/>
      <c r="Z23" s="191"/>
      <c r="AA23" s="191"/>
      <c r="AB23" s="191"/>
      <c r="AC23" s="191">
        <f>SUM(Q23:AB23)</f>
        <v>6473884534</v>
      </c>
      <c r="AD23" s="456">
        <f>+AC23/AC22</f>
        <v>0.9664618497138766</v>
      </c>
      <c r="AE23" s="4"/>
      <c r="AF23" s="4"/>
    </row>
    <row r="24" spans="1:32" ht="31.5" customHeight="1">
      <c r="A24" s="902" t="s">
        <v>380</v>
      </c>
      <c r="B24" s="903"/>
      <c r="C24" s="192">
        <f>13360000-12360000</f>
        <v>1000000</v>
      </c>
      <c r="D24" s="191">
        <v>1136000</v>
      </c>
      <c r="E24" s="191">
        <v>3553334</v>
      </c>
      <c r="F24" s="191">
        <v>57122894</v>
      </c>
      <c r="G24" s="191">
        <f>1000000-RESERVA!L14</f>
        <v>346666</v>
      </c>
      <c r="H24" s="191">
        <f>1000000-RESERVA!N14</f>
        <v>-22400000</v>
      </c>
      <c r="I24" s="191">
        <f>516500+70560000-RESERVA!P14</f>
        <v>71040500</v>
      </c>
      <c r="J24" s="191"/>
      <c r="K24" s="191"/>
      <c r="L24" s="191"/>
      <c r="M24" s="191"/>
      <c r="N24" s="191"/>
      <c r="O24" s="191">
        <f>SUM(C24:N24)</f>
        <v>111799394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56"/>
      <c r="AE24" s="4"/>
      <c r="AF24" s="4"/>
    </row>
    <row r="25" spans="1:32" ht="31.5" customHeight="1" thickBot="1">
      <c r="A25" s="904" t="s">
        <v>381</v>
      </c>
      <c r="B25" s="905"/>
      <c r="C25" s="193">
        <f>+RESERVA!E14</f>
        <v>613145</v>
      </c>
      <c r="D25" s="194">
        <f>+RESERVA!G14</f>
        <v>450994</v>
      </c>
      <c r="E25" s="194">
        <f>+RESERVA!I14</f>
        <v>634080</v>
      </c>
      <c r="F25" s="194">
        <f>+RESERVA!K14</f>
        <v>515228</v>
      </c>
      <c r="G25" s="194">
        <f>+RESERVA!M14</f>
        <v>1618238</v>
      </c>
      <c r="H25" s="194">
        <f>+RESERVA!O14</f>
        <v>2875004</v>
      </c>
      <c r="I25" s="194">
        <f>+RESERVA!Q14</f>
        <v>805846</v>
      </c>
      <c r="J25" s="194"/>
      <c r="K25" s="194"/>
      <c r="L25" s="194"/>
      <c r="M25" s="194"/>
      <c r="N25" s="194"/>
      <c r="O25" s="194">
        <f>SUM(C25:N25)</f>
        <v>7512535</v>
      </c>
      <c r="P25" s="455">
        <f>+O25/O24</f>
        <v>0.06719656280068924</v>
      </c>
      <c r="Q25" s="193">
        <f>+VIGENCIA!E16</f>
        <v>7763070</v>
      </c>
      <c r="R25" s="194">
        <f>+VIGENCIA!G16</f>
        <v>354001805</v>
      </c>
      <c r="S25" s="194">
        <f>+VIGENCIA!I16</f>
        <v>525548557</v>
      </c>
      <c r="T25" s="194">
        <f>+VIGENCIA!K16</f>
        <v>547224383</v>
      </c>
      <c r="U25" s="194">
        <f>+VIGENCIA!M16</f>
        <v>557928399</v>
      </c>
      <c r="V25" s="194">
        <f>+VIGENCIA!O16</f>
        <v>536595066</v>
      </c>
      <c r="W25" s="194">
        <f>+VIGENCIA!Q16</f>
        <v>559772399</v>
      </c>
      <c r="X25" s="194"/>
      <c r="Y25" s="194"/>
      <c r="Z25" s="194"/>
      <c r="AA25" s="194"/>
      <c r="AB25" s="194"/>
      <c r="AC25" s="194">
        <f>SUM(Q25:AB25)</f>
        <v>3088833679</v>
      </c>
      <c r="AD25" s="457">
        <f>+AC25/AC24</f>
        <v>0.4611203513418824</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906" t="s">
        <v>76</v>
      </c>
      <c r="B27" s="907"/>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9"/>
    </row>
    <row r="28" spans="1:30" ht="15" customHeight="1">
      <c r="A28" s="910" t="s">
        <v>189</v>
      </c>
      <c r="B28" s="912" t="s">
        <v>6</v>
      </c>
      <c r="C28" s="913"/>
      <c r="D28" s="903" t="s">
        <v>398</v>
      </c>
      <c r="E28" s="916"/>
      <c r="F28" s="916"/>
      <c r="G28" s="916"/>
      <c r="H28" s="916"/>
      <c r="I28" s="916"/>
      <c r="J28" s="916"/>
      <c r="K28" s="916"/>
      <c r="L28" s="916"/>
      <c r="M28" s="916"/>
      <c r="N28" s="916"/>
      <c r="O28" s="917"/>
      <c r="P28" s="918" t="s">
        <v>8</v>
      </c>
      <c r="Q28" s="918" t="s">
        <v>84</v>
      </c>
      <c r="R28" s="918"/>
      <c r="S28" s="918"/>
      <c r="T28" s="918"/>
      <c r="U28" s="918"/>
      <c r="V28" s="918"/>
      <c r="W28" s="918"/>
      <c r="X28" s="918"/>
      <c r="Y28" s="918"/>
      <c r="Z28" s="918"/>
      <c r="AA28" s="918"/>
      <c r="AB28" s="918"/>
      <c r="AC28" s="918"/>
      <c r="AD28" s="919"/>
    </row>
    <row r="29" spans="1:30" ht="27" customHeight="1">
      <c r="A29" s="911"/>
      <c r="B29" s="914"/>
      <c r="C29" s="915"/>
      <c r="D29" s="281" t="s">
        <v>39</v>
      </c>
      <c r="E29" s="281" t="s">
        <v>40</v>
      </c>
      <c r="F29" s="281" t="s">
        <v>41</v>
      </c>
      <c r="G29" s="281" t="s">
        <v>42</v>
      </c>
      <c r="H29" s="281" t="s">
        <v>43</v>
      </c>
      <c r="I29" s="281" t="s">
        <v>44</v>
      </c>
      <c r="J29" s="281" t="s">
        <v>45</v>
      </c>
      <c r="K29" s="281" t="s">
        <v>46</v>
      </c>
      <c r="L29" s="281" t="s">
        <v>47</v>
      </c>
      <c r="M29" s="281" t="s">
        <v>48</v>
      </c>
      <c r="N29" s="281" t="s">
        <v>49</v>
      </c>
      <c r="O29" s="281" t="s">
        <v>50</v>
      </c>
      <c r="P29" s="917"/>
      <c r="Q29" s="918"/>
      <c r="R29" s="918"/>
      <c r="S29" s="918"/>
      <c r="T29" s="918"/>
      <c r="U29" s="918"/>
      <c r="V29" s="918"/>
      <c r="W29" s="918"/>
      <c r="X29" s="918"/>
      <c r="Y29" s="918"/>
      <c r="Z29" s="918"/>
      <c r="AA29" s="918"/>
      <c r="AB29" s="918"/>
      <c r="AC29" s="918"/>
      <c r="AD29" s="919"/>
    </row>
    <row r="30" spans="1:30" ht="70.5" customHeight="1" thickBot="1">
      <c r="A30" s="394" t="str">
        <f>C17</f>
        <v>Ejecutar el 100%  las actividades programadas para una correcta gestión administrativa y organizacional</v>
      </c>
      <c r="B30" s="990" t="s">
        <v>450</v>
      </c>
      <c r="C30" s="991"/>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22"/>
      <c r="R30" s="922"/>
      <c r="S30" s="922"/>
      <c r="T30" s="922"/>
      <c r="U30" s="922"/>
      <c r="V30" s="922"/>
      <c r="W30" s="922"/>
      <c r="X30" s="922"/>
      <c r="Y30" s="922"/>
      <c r="Z30" s="922"/>
      <c r="AA30" s="922"/>
      <c r="AB30" s="922"/>
      <c r="AC30" s="922"/>
      <c r="AD30" s="923"/>
    </row>
    <row r="31" spans="1:30" ht="45" customHeight="1">
      <c r="A31" s="858" t="s">
        <v>292</v>
      </c>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60"/>
    </row>
    <row r="32" spans="1:41" ht="22.5" customHeight="1">
      <c r="A32" s="902" t="s">
        <v>190</v>
      </c>
      <c r="B32" s="918" t="s">
        <v>62</v>
      </c>
      <c r="C32" s="918" t="s">
        <v>6</v>
      </c>
      <c r="D32" s="918" t="s">
        <v>60</v>
      </c>
      <c r="E32" s="918"/>
      <c r="F32" s="918"/>
      <c r="G32" s="918"/>
      <c r="H32" s="918"/>
      <c r="I32" s="918"/>
      <c r="J32" s="918"/>
      <c r="K32" s="918"/>
      <c r="L32" s="918"/>
      <c r="M32" s="918"/>
      <c r="N32" s="918"/>
      <c r="O32" s="918"/>
      <c r="P32" s="918"/>
      <c r="Q32" s="918" t="s">
        <v>85</v>
      </c>
      <c r="R32" s="918"/>
      <c r="S32" s="918"/>
      <c r="T32" s="918"/>
      <c r="U32" s="918"/>
      <c r="V32" s="918"/>
      <c r="W32" s="918"/>
      <c r="X32" s="918"/>
      <c r="Y32" s="918"/>
      <c r="Z32" s="918"/>
      <c r="AA32" s="918"/>
      <c r="AB32" s="918"/>
      <c r="AC32" s="918"/>
      <c r="AD32" s="919"/>
      <c r="AG32" s="90"/>
      <c r="AH32" s="90"/>
      <c r="AI32" s="90"/>
      <c r="AJ32" s="90"/>
      <c r="AK32" s="90"/>
      <c r="AL32" s="90"/>
      <c r="AM32" s="90"/>
      <c r="AN32" s="90"/>
      <c r="AO32" s="90"/>
    </row>
    <row r="33" spans="1:41" ht="27" customHeight="1">
      <c r="A33" s="902"/>
      <c r="B33" s="918"/>
      <c r="C33" s="924"/>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8" t="s">
        <v>403</v>
      </c>
      <c r="R33" s="918"/>
      <c r="S33" s="918"/>
      <c r="T33" s="918" t="s">
        <v>406</v>
      </c>
      <c r="U33" s="918"/>
      <c r="V33" s="918"/>
      <c r="W33" s="914" t="s">
        <v>81</v>
      </c>
      <c r="X33" s="925"/>
      <c r="Y33" s="925"/>
      <c r="Z33" s="915"/>
      <c r="AA33" s="914" t="s">
        <v>82</v>
      </c>
      <c r="AB33" s="925"/>
      <c r="AC33" s="925"/>
      <c r="AD33" s="926"/>
      <c r="AG33" s="90"/>
      <c r="AH33" s="90"/>
      <c r="AI33" s="90"/>
      <c r="AJ33" s="90"/>
      <c r="AK33" s="90"/>
      <c r="AL33" s="90"/>
      <c r="AM33" s="90"/>
      <c r="AN33" s="90"/>
      <c r="AO33" s="90"/>
    </row>
    <row r="34" spans="1:41" ht="182.25" customHeight="1">
      <c r="A34" s="980" t="str">
        <f>A30</f>
        <v>Ejecutar el 100%  las actividades programadas para una correcta gestión administrativa y organizacional</v>
      </c>
      <c r="B34" s="982">
        <f>+AC17</f>
        <v>0.5779259291341293</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984" t="s">
        <v>859</v>
      </c>
      <c r="R34" s="985"/>
      <c r="S34" s="986"/>
      <c r="T34" s="984" t="s">
        <v>860</v>
      </c>
      <c r="U34" s="985"/>
      <c r="V34" s="986"/>
      <c r="W34" s="937" t="s">
        <v>861</v>
      </c>
      <c r="X34" s="938"/>
      <c r="Y34" s="938"/>
      <c r="Z34" s="939"/>
      <c r="AA34" s="937" t="s">
        <v>862</v>
      </c>
      <c r="AB34" s="938"/>
      <c r="AC34" s="938"/>
      <c r="AD34" s="939"/>
      <c r="AG34" s="90"/>
      <c r="AH34" s="90"/>
      <c r="AI34" s="90"/>
      <c r="AJ34" s="90"/>
      <c r="AK34" s="90"/>
      <c r="AL34" s="90"/>
      <c r="AM34" s="90"/>
      <c r="AN34" s="90"/>
      <c r="AO34" s="90"/>
    </row>
    <row r="35" spans="1:41" ht="182.25" customHeight="1" thickBot="1">
      <c r="A35" s="981"/>
      <c r="B35" s="983"/>
      <c r="C35" s="285" t="s">
        <v>10</v>
      </c>
      <c r="D35" s="418">
        <f>((D39*($B$38/$B$34))+(D41*($B$40/$B$34))+(D43*($B$42/$B$34))+(D45*($B$44/$B$34))+(D47*($B$46/$B$34))+(D49*($B$48/$B$34))*$P$34)</f>
        <v>0.07888333333333336</v>
      </c>
      <c r="E35" s="418">
        <f>((E39*($B$38/$B$34))+(E41*($B$40/$B$34))+(E43*($B$42/$B$34))+(E45*($B$44/$B$34))+(E47*($B$46/$B$34))+(E49*($B$48/$B$34))*$P$34)</f>
        <v>0.11388333333333335</v>
      </c>
      <c r="F35" s="418">
        <f>((F39*($B$38/$B$34))+(F41*($B$40/$B$34))+(F43*($B$42/$B$34))+(F45*($B$44/$B$34))+(F47*($B$46/$B$34))+(F49*($B$48/$B$34))*$P$34)</f>
        <v>0.09221666666666667</v>
      </c>
      <c r="G35" s="418">
        <f>((G39*($B$38/$B$34))+(G41*($B$40/$B$34))+(G43*($B$42/$B$34))+(G45*($B$44/$B$34))+(G47*($B$46/$B$34))+(G49*($B$48/$B$34))*$P$34)</f>
        <v>0.07721666666666667</v>
      </c>
      <c r="H35" s="418">
        <f>((H39*($B$38/$B$34))+(H41*($B$40/$B$34))+(H43*($B$42/$B$34))+(H45*($B$44/$B$34))+(H47*($B$46/$B$34))+(H49*($B$48/$B$34))*$P$34)</f>
        <v>0.0788888888888889</v>
      </c>
      <c r="I35" s="496">
        <f>((I39*($B$38/$B$34))+(I41*($B$40/$B$34))+(I43*($B$42/$B$34))+(I45*($B$44/$B$34))+(I47*($B$46/$B$34))+(I49*($B$48/$B$34))*$P$34)</f>
        <v>0.08221666666666667</v>
      </c>
      <c r="J35" s="496">
        <f>((J39*($B$38/$B$34))+(J41*($B$40/$B$34))+(J43*($B$42/$B$34))+(J45*($B$44/$B$34))+(J47*($B$46/$B$34))+(J49*($B$48/$B$34))*$P$34)</f>
        <v>0.08388333333333334</v>
      </c>
      <c r="K35" s="96"/>
      <c r="L35" s="96"/>
      <c r="M35" s="96"/>
      <c r="N35" s="96"/>
      <c r="O35" s="96"/>
      <c r="P35" s="178">
        <f>SUM(D35:O35)</f>
        <v>0.6071888888888889</v>
      </c>
      <c r="Q35" s="987"/>
      <c r="R35" s="988"/>
      <c r="S35" s="989"/>
      <c r="T35" s="987"/>
      <c r="U35" s="988"/>
      <c r="V35" s="989"/>
      <c r="W35" s="940"/>
      <c r="X35" s="941"/>
      <c r="Y35" s="941"/>
      <c r="Z35" s="942"/>
      <c r="AA35" s="940"/>
      <c r="AB35" s="941"/>
      <c r="AC35" s="941"/>
      <c r="AD35" s="942"/>
      <c r="AE35" s="50"/>
      <c r="AG35" s="90"/>
      <c r="AH35" s="90"/>
      <c r="AI35" s="90"/>
      <c r="AJ35" s="90"/>
      <c r="AK35" s="90"/>
      <c r="AL35" s="90"/>
      <c r="AM35" s="90"/>
      <c r="AN35" s="90"/>
      <c r="AO35" s="90"/>
    </row>
    <row r="36" spans="1:41" ht="25.5" customHeight="1">
      <c r="A36" s="900" t="s">
        <v>191</v>
      </c>
      <c r="B36" s="945" t="s">
        <v>61</v>
      </c>
      <c r="C36" s="947" t="s">
        <v>11</v>
      </c>
      <c r="D36" s="947"/>
      <c r="E36" s="947"/>
      <c r="F36" s="947"/>
      <c r="G36" s="947"/>
      <c r="H36" s="947"/>
      <c r="I36" s="947"/>
      <c r="J36" s="947"/>
      <c r="K36" s="947"/>
      <c r="L36" s="947"/>
      <c r="M36" s="947"/>
      <c r="N36" s="947"/>
      <c r="O36" s="947"/>
      <c r="P36" s="947"/>
      <c r="Q36" s="901" t="s">
        <v>78</v>
      </c>
      <c r="R36" s="948"/>
      <c r="S36" s="948"/>
      <c r="T36" s="948"/>
      <c r="U36" s="948"/>
      <c r="V36" s="948"/>
      <c r="W36" s="948"/>
      <c r="X36" s="948"/>
      <c r="Y36" s="948"/>
      <c r="Z36" s="948"/>
      <c r="AA36" s="948"/>
      <c r="AB36" s="948"/>
      <c r="AC36" s="948"/>
      <c r="AD36" s="949"/>
      <c r="AG36" s="90"/>
      <c r="AH36" s="90"/>
      <c r="AI36" s="90"/>
      <c r="AJ36" s="90"/>
      <c r="AK36" s="90"/>
      <c r="AL36" s="90"/>
      <c r="AM36" s="90"/>
      <c r="AN36" s="90"/>
      <c r="AO36" s="90"/>
    </row>
    <row r="37" spans="1:41" ht="25.5" customHeight="1">
      <c r="A37" s="902"/>
      <c r="B37" s="946"/>
      <c r="C37" s="432" t="s">
        <v>12</v>
      </c>
      <c r="D37" s="432" t="s">
        <v>36</v>
      </c>
      <c r="E37" s="432" t="s">
        <v>37</v>
      </c>
      <c r="F37" s="432" t="s">
        <v>38</v>
      </c>
      <c r="G37" s="432" t="s">
        <v>51</v>
      </c>
      <c r="H37" s="432" t="s">
        <v>52</v>
      </c>
      <c r="I37" s="432" t="s">
        <v>53</v>
      </c>
      <c r="J37" s="432" t="s">
        <v>54</v>
      </c>
      <c r="K37" s="432" t="s">
        <v>55</v>
      </c>
      <c r="L37" s="432" t="s">
        <v>56</v>
      </c>
      <c r="M37" s="432" t="s">
        <v>57</v>
      </c>
      <c r="N37" s="432" t="s">
        <v>58</v>
      </c>
      <c r="O37" s="432" t="s">
        <v>59</v>
      </c>
      <c r="P37" s="432" t="s">
        <v>63</v>
      </c>
      <c r="Q37" s="903" t="s">
        <v>83</v>
      </c>
      <c r="R37" s="916"/>
      <c r="S37" s="916"/>
      <c r="T37" s="916"/>
      <c r="U37" s="916"/>
      <c r="V37" s="916"/>
      <c r="W37" s="916"/>
      <c r="X37" s="916"/>
      <c r="Y37" s="916"/>
      <c r="Z37" s="916"/>
      <c r="AA37" s="916"/>
      <c r="AB37" s="916"/>
      <c r="AC37" s="916"/>
      <c r="AD37" s="950"/>
      <c r="AG37" s="98"/>
      <c r="AH37" s="98"/>
      <c r="AI37" s="98"/>
      <c r="AJ37" s="98"/>
      <c r="AK37" s="98"/>
      <c r="AL37" s="98"/>
      <c r="AM37" s="98"/>
      <c r="AN37" s="98"/>
      <c r="AO37" s="98"/>
    </row>
    <row r="38" spans="1:41" ht="110.25" customHeight="1">
      <c r="A38" s="978" t="s">
        <v>580</v>
      </c>
      <c r="B38" s="979">
        <f>+$B$34/6</f>
        <v>0.09632098818902156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956" t="s">
        <v>863</v>
      </c>
      <c r="R38" s="957"/>
      <c r="S38" s="957"/>
      <c r="T38" s="957"/>
      <c r="U38" s="957"/>
      <c r="V38" s="957"/>
      <c r="W38" s="957"/>
      <c r="X38" s="957"/>
      <c r="Y38" s="957"/>
      <c r="Z38" s="957"/>
      <c r="AA38" s="957"/>
      <c r="AB38" s="957"/>
      <c r="AC38" s="957"/>
      <c r="AD38" s="958"/>
      <c r="AE38" s="287"/>
      <c r="AG38" s="102"/>
      <c r="AH38" s="102"/>
      <c r="AI38" s="102"/>
      <c r="AJ38" s="102"/>
      <c r="AK38" s="102"/>
      <c r="AL38" s="102"/>
      <c r="AM38" s="102"/>
      <c r="AN38" s="102"/>
      <c r="AO38" s="102"/>
    </row>
    <row r="39" spans="1:31" ht="110.25" customHeight="1">
      <c r="A39" s="973"/>
      <c r="B39" s="974"/>
      <c r="C39" s="288" t="s">
        <v>10</v>
      </c>
      <c r="D39" s="104">
        <v>0.1</v>
      </c>
      <c r="E39" s="104">
        <v>0.1</v>
      </c>
      <c r="F39" s="104">
        <v>0.08</v>
      </c>
      <c r="G39" s="104">
        <v>0.08</v>
      </c>
      <c r="H39" s="104">
        <v>0.08</v>
      </c>
      <c r="I39" s="104">
        <v>0.08</v>
      </c>
      <c r="J39" s="104">
        <v>0.08</v>
      </c>
      <c r="K39" s="104"/>
      <c r="L39" s="104"/>
      <c r="M39" s="104"/>
      <c r="N39" s="104"/>
      <c r="O39" s="104"/>
      <c r="P39" s="289">
        <f aca="true" t="shared" si="1" ref="P39:P45">SUM(D39:O39)</f>
        <v>0.6</v>
      </c>
      <c r="Q39" s="975"/>
      <c r="R39" s="976"/>
      <c r="S39" s="976"/>
      <c r="T39" s="976"/>
      <c r="U39" s="976"/>
      <c r="V39" s="976"/>
      <c r="W39" s="976"/>
      <c r="X39" s="976"/>
      <c r="Y39" s="976"/>
      <c r="Z39" s="976"/>
      <c r="AA39" s="976"/>
      <c r="AB39" s="976"/>
      <c r="AC39" s="976"/>
      <c r="AD39" s="977"/>
      <c r="AE39" s="287"/>
    </row>
    <row r="40" spans="1:31" ht="93.75" customHeight="1">
      <c r="A40" s="972" t="s">
        <v>581</v>
      </c>
      <c r="B40" s="964">
        <f>+$B$34/6</f>
        <v>0.09632098818902156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956" t="s">
        <v>864</v>
      </c>
      <c r="R40" s="957"/>
      <c r="S40" s="957"/>
      <c r="T40" s="957"/>
      <c r="U40" s="957"/>
      <c r="V40" s="957"/>
      <c r="W40" s="957"/>
      <c r="X40" s="957"/>
      <c r="Y40" s="957"/>
      <c r="Z40" s="957"/>
      <c r="AA40" s="957"/>
      <c r="AB40" s="957"/>
      <c r="AC40" s="957"/>
      <c r="AD40" s="958"/>
      <c r="AE40" s="287"/>
    </row>
    <row r="41" spans="1:31" ht="93.75" customHeight="1">
      <c r="A41" s="973"/>
      <c r="B41" s="974"/>
      <c r="C41" s="288" t="s">
        <v>10</v>
      </c>
      <c r="D41" s="104">
        <v>0.2</v>
      </c>
      <c r="E41" s="104">
        <v>0.3</v>
      </c>
      <c r="F41" s="104">
        <v>0.15</v>
      </c>
      <c r="G41" s="104">
        <v>0.03</v>
      </c>
      <c r="H41" s="104">
        <v>0.03</v>
      </c>
      <c r="I41" s="104">
        <v>0.03</v>
      </c>
      <c r="J41" s="104">
        <v>0.04</v>
      </c>
      <c r="K41" s="104"/>
      <c r="L41" s="104"/>
      <c r="M41" s="104"/>
      <c r="N41" s="104"/>
      <c r="O41" s="104"/>
      <c r="P41" s="289">
        <f t="shared" si="1"/>
        <v>0.7800000000000001</v>
      </c>
      <c r="Q41" s="975"/>
      <c r="R41" s="976"/>
      <c r="S41" s="976"/>
      <c r="T41" s="976"/>
      <c r="U41" s="976"/>
      <c r="V41" s="976"/>
      <c r="W41" s="976"/>
      <c r="X41" s="976"/>
      <c r="Y41" s="976"/>
      <c r="Z41" s="976"/>
      <c r="AA41" s="976"/>
      <c r="AB41" s="976"/>
      <c r="AC41" s="976"/>
      <c r="AD41" s="977"/>
      <c r="AE41" s="287"/>
    </row>
    <row r="42" spans="1:31" ht="124.5" customHeight="1">
      <c r="A42" s="978" t="s">
        <v>582</v>
      </c>
      <c r="B42" s="964">
        <f>+$B$34/6</f>
        <v>0.09632098818902156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956" t="s">
        <v>865</v>
      </c>
      <c r="R42" s="957"/>
      <c r="S42" s="957"/>
      <c r="T42" s="957"/>
      <c r="U42" s="957"/>
      <c r="V42" s="957"/>
      <c r="W42" s="957"/>
      <c r="X42" s="957"/>
      <c r="Y42" s="957"/>
      <c r="Z42" s="957"/>
      <c r="AA42" s="957"/>
      <c r="AB42" s="957"/>
      <c r="AC42" s="957"/>
      <c r="AD42" s="958"/>
      <c r="AE42" s="287"/>
    </row>
    <row r="43" spans="1:31" ht="124.5" customHeight="1">
      <c r="A43" s="973"/>
      <c r="B43" s="974"/>
      <c r="C43" s="288" t="s">
        <v>10</v>
      </c>
      <c r="D43" s="104">
        <v>0.05</v>
      </c>
      <c r="E43" s="104">
        <v>0.05</v>
      </c>
      <c r="F43" s="104">
        <v>0.07</v>
      </c>
      <c r="G43" s="104">
        <v>0.09</v>
      </c>
      <c r="H43" s="104">
        <v>0.1</v>
      </c>
      <c r="I43" s="104">
        <v>0.12</v>
      </c>
      <c r="J43" s="104">
        <v>0.12</v>
      </c>
      <c r="K43" s="104"/>
      <c r="L43" s="104"/>
      <c r="M43" s="104"/>
      <c r="N43" s="104"/>
      <c r="O43" s="104"/>
      <c r="P43" s="289">
        <f t="shared" si="1"/>
        <v>0.6</v>
      </c>
      <c r="Q43" s="975"/>
      <c r="R43" s="976"/>
      <c r="S43" s="976"/>
      <c r="T43" s="976"/>
      <c r="U43" s="976"/>
      <c r="V43" s="976"/>
      <c r="W43" s="976"/>
      <c r="X43" s="976"/>
      <c r="Y43" s="976"/>
      <c r="Z43" s="976"/>
      <c r="AA43" s="976"/>
      <c r="AB43" s="976"/>
      <c r="AC43" s="976"/>
      <c r="AD43" s="977"/>
      <c r="AE43" s="287"/>
    </row>
    <row r="44" spans="1:31" ht="93.75" customHeight="1">
      <c r="A44" s="972" t="s">
        <v>792</v>
      </c>
      <c r="B44" s="964">
        <f>+$B$34/6</f>
        <v>0.09632098818902156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956" t="s">
        <v>866</v>
      </c>
      <c r="R44" s="957"/>
      <c r="S44" s="957"/>
      <c r="T44" s="957"/>
      <c r="U44" s="957"/>
      <c r="V44" s="957"/>
      <c r="W44" s="957"/>
      <c r="X44" s="957"/>
      <c r="Y44" s="957"/>
      <c r="Z44" s="957"/>
      <c r="AA44" s="957"/>
      <c r="AB44" s="957"/>
      <c r="AC44" s="957"/>
      <c r="AD44" s="958"/>
      <c r="AE44" s="287"/>
    </row>
    <row r="45" spans="1:31" ht="93.75" customHeight="1">
      <c r="A45" s="973"/>
      <c r="B45" s="974"/>
      <c r="C45" s="288" t="s">
        <v>10</v>
      </c>
      <c r="D45" s="104">
        <v>0.02</v>
      </c>
      <c r="E45" s="104">
        <v>0.07</v>
      </c>
      <c r="F45" s="104">
        <v>0.08</v>
      </c>
      <c r="G45" s="104">
        <v>0.09</v>
      </c>
      <c r="H45" s="104">
        <v>0.09</v>
      </c>
      <c r="I45" s="104">
        <v>0.09</v>
      </c>
      <c r="J45" s="104">
        <v>0.09</v>
      </c>
      <c r="K45" s="104"/>
      <c r="L45" s="104"/>
      <c r="M45" s="104"/>
      <c r="N45" s="104"/>
      <c r="O45" s="104"/>
      <c r="P45" s="333">
        <f t="shared" si="1"/>
        <v>0.5299999999999999</v>
      </c>
      <c r="Q45" s="975"/>
      <c r="R45" s="976"/>
      <c r="S45" s="976"/>
      <c r="T45" s="976"/>
      <c r="U45" s="976"/>
      <c r="V45" s="976"/>
      <c r="W45" s="976"/>
      <c r="X45" s="976"/>
      <c r="Y45" s="976"/>
      <c r="Z45" s="976"/>
      <c r="AA45" s="976"/>
      <c r="AB45" s="976"/>
      <c r="AC45" s="976"/>
      <c r="AD45" s="977"/>
      <c r="AE45" s="287"/>
    </row>
    <row r="46" spans="1:31" ht="93.75" customHeight="1">
      <c r="A46" s="972" t="s">
        <v>793</v>
      </c>
      <c r="B46" s="964">
        <f>+$B$34/6</f>
        <v>0.09632098818902156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956" t="s">
        <v>867</v>
      </c>
      <c r="R46" s="957"/>
      <c r="S46" s="957"/>
      <c r="T46" s="957"/>
      <c r="U46" s="957"/>
      <c r="V46" s="957"/>
      <c r="W46" s="957"/>
      <c r="X46" s="957"/>
      <c r="Y46" s="957"/>
      <c r="Z46" s="957"/>
      <c r="AA46" s="957"/>
      <c r="AB46" s="957"/>
      <c r="AC46" s="957"/>
      <c r="AD46" s="958"/>
      <c r="AE46" s="287"/>
    </row>
    <row r="47" spans="1:31" ht="93.75" customHeight="1">
      <c r="A47" s="973"/>
      <c r="B47" s="974"/>
      <c r="C47" s="288" t="s">
        <v>10</v>
      </c>
      <c r="D47" s="410">
        <v>0.0833</v>
      </c>
      <c r="E47" s="410">
        <v>0.0833</v>
      </c>
      <c r="F47" s="410">
        <v>0.0833</v>
      </c>
      <c r="G47" s="410">
        <v>0.0833</v>
      </c>
      <c r="H47" s="410">
        <v>0.08333333333333334</v>
      </c>
      <c r="I47" s="493">
        <v>0.0833</v>
      </c>
      <c r="J47" s="493">
        <v>0.0833</v>
      </c>
      <c r="K47" s="104"/>
      <c r="L47" s="104"/>
      <c r="M47" s="104"/>
      <c r="N47" s="104"/>
      <c r="O47" s="104"/>
      <c r="P47" s="333">
        <f>SUM(D47:O47)</f>
        <v>0.5831333333333333</v>
      </c>
      <c r="Q47" s="975"/>
      <c r="R47" s="976"/>
      <c r="S47" s="976"/>
      <c r="T47" s="976"/>
      <c r="U47" s="976"/>
      <c r="V47" s="976"/>
      <c r="W47" s="976"/>
      <c r="X47" s="976"/>
      <c r="Y47" s="976"/>
      <c r="Z47" s="976"/>
      <c r="AA47" s="976"/>
      <c r="AB47" s="976"/>
      <c r="AC47" s="976"/>
      <c r="AD47" s="977"/>
      <c r="AE47" s="287"/>
    </row>
    <row r="48" spans="1:41" ht="93.75" customHeight="1">
      <c r="A48" s="962" t="s">
        <v>628</v>
      </c>
      <c r="B48" s="964">
        <f>+$B$34/6</f>
        <v>0.09632098818902156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966" t="s">
        <v>858</v>
      </c>
      <c r="R48" s="967"/>
      <c r="S48" s="967"/>
      <c r="T48" s="967"/>
      <c r="U48" s="967"/>
      <c r="V48" s="967"/>
      <c r="W48" s="967"/>
      <c r="X48" s="967"/>
      <c r="Y48" s="967"/>
      <c r="Z48" s="967"/>
      <c r="AA48" s="967"/>
      <c r="AB48" s="967"/>
      <c r="AC48" s="967"/>
      <c r="AD48" s="968"/>
      <c r="AE48" s="287"/>
      <c r="AG48" s="102"/>
      <c r="AH48" s="102"/>
      <c r="AI48" s="102"/>
      <c r="AJ48" s="102"/>
      <c r="AK48" s="102"/>
      <c r="AL48" s="102"/>
      <c r="AM48" s="102"/>
      <c r="AN48" s="102"/>
      <c r="AO48" s="102"/>
    </row>
    <row r="49" spans="1:31" ht="93.75" customHeight="1" thickBot="1">
      <c r="A49" s="963"/>
      <c r="B49" s="965"/>
      <c r="C49" s="285" t="s">
        <v>10</v>
      </c>
      <c r="D49" s="110">
        <v>0.02</v>
      </c>
      <c r="E49" s="110">
        <v>0.08</v>
      </c>
      <c r="F49" s="110">
        <v>0.09</v>
      </c>
      <c r="G49" s="110">
        <v>0.09</v>
      </c>
      <c r="H49" s="110">
        <v>0.09</v>
      </c>
      <c r="I49" s="110">
        <v>0.09</v>
      </c>
      <c r="J49" s="110">
        <v>0.09</v>
      </c>
      <c r="K49" s="110"/>
      <c r="L49" s="110"/>
      <c r="M49" s="110"/>
      <c r="N49" s="110"/>
      <c r="O49" s="110"/>
      <c r="P49" s="433">
        <f>SUM(D49:O49)</f>
        <v>0.5499999999999999</v>
      </c>
      <c r="Q49" s="969"/>
      <c r="R49" s="970"/>
      <c r="S49" s="970"/>
      <c r="T49" s="970"/>
      <c r="U49" s="970"/>
      <c r="V49" s="970"/>
      <c r="W49" s="970"/>
      <c r="X49" s="970"/>
      <c r="Y49" s="970"/>
      <c r="Z49" s="970"/>
      <c r="AA49" s="970"/>
      <c r="AB49" s="970"/>
      <c r="AC49" s="970"/>
      <c r="AD49" s="971"/>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48 W34 T34 Q34 Q38:AD47">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O43"/>
  <sheetViews>
    <sheetView showGridLines="0" tabSelected="1" zoomScale="70" zoomScaleNormal="70" workbookViewId="0" topLeftCell="G34">
      <selection activeCell="Q38" sqref="Q38:AD39"/>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1010"/>
      <c r="B1" s="1013" t="s">
        <v>16</v>
      </c>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5"/>
      <c r="AB1" s="852" t="s">
        <v>18</v>
      </c>
      <c r="AC1" s="853"/>
      <c r="AD1" s="854"/>
    </row>
    <row r="2" spans="1:30" ht="30.75" customHeight="1">
      <c r="A2" s="1011"/>
      <c r="B2" s="1024" t="s">
        <v>17</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6"/>
      <c r="AB2" s="855" t="s">
        <v>418</v>
      </c>
      <c r="AC2" s="856"/>
      <c r="AD2" s="857"/>
    </row>
    <row r="3" spans="1:30" ht="24" customHeight="1">
      <c r="A3" s="1011"/>
      <c r="B3" s="877" t="s">
        <v>295</v>
      </c>
      <c r="C3" s="878"/>
      <c r="D3" s="878"/>
      <c r="E3" s="878"/>
      <c r="F3" s="878"/>
      <c r="G3" s="878"/>
      <c r="H3" s="878"/>
      <c r="I3" s="878"/>
      <c r="J3" s="878"/>
      <c r="K3" s="878"/>
      <c r="L3" s="878"/>
      <c r="M3" s="878"/>
      <c r="N3" s="878"/>
      <c r="O3" s="878"/>
      <c r="P3" s="878"/>
      <c r="Q3" s="878"/>
      <c r="R3" s="878"/>
      <c r="S3" s="878"/>
      <c r="T3" s="878"/>
      <c r="U3" s="878"/>
      <c r="V3" s="878"/>
      <c r="W3" s="878"/>
      <c r="X3" s="878"/>
      <c r="Y3" s="878"/>
      <c r="Z3" s="878"/>
      <c r="AA3" s="879"/>
      <c r="AB3" s="855" t="s">
        <v>478</v>
      </c>
      <c r="AC3" s="856"/>
      <c r="AD3" s="857"/>
    </row>
    <row r="4" spans="1:30" ht="21.75" customHeight="1" thickBot="1">
      <c r="A4" s="1012"/>
      <c r="B4" s="880"/>
      <c r="C4" s="881"/>
      <c r="D4" s="881"/>
      <c r="E4" s="881"/>
      <c r="F4" s="881"/>
      <c r="G4" s="881"/>
      <c r="H4" s="881"/>
      <c r="I4" s="881"/>
      <c r="J4" s="881"/>
      <c r="K4" s="881"/>
      <c r="L4" s="881"/>
      <c r="M4" s="881"/>
      <c r="N4" s="881"/>
      <c r="O4" s="881"/>
      <c r="P4" s="881"/>
      <c r="Q4" s="881"/>
      <c r="R4" s="881"/>
      <c r="S4" s="881"/>
      <c r="T4" s="881"/>
      <c r="U4" s="881"/>
      <c r="V4" s="881"/>
      <c r="W4" s="881"/>
      <c r="X4" s="881"/>
      <c r="Y4" s="881"/>
      <c r="Z4" s="881"/>
      <c r="AA4" s="882"/>
      <c r="AB4" s="627" t="s">
        <v>778</v>
      </c>
      <c r="AC4" s="628"/>
      <c r="AD4" s="629"/>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30" t="s">
        <v>293</v>
      </c>
      <c r="B7" s="631"/>
      <c r="C7" s="883" t="s">
        <v>45</v>
      </c>
      <c r="D7" s="630" t="s">
        <v>71</v>
      </c>
      <c r="E7" s="636"/>
      <c r="F7" s="636"/>
      <c r="G7" s="636"/>
      <c r="H7" s="631"/>
      <c r="I7" s="838">
        <v>45146</v>
      </c>
      <c r="J7" s="839"/>
      <c r="K7" s="630" t="s">
        <v>67</v>
      </c>
      <c r="L7" s="631"/>
      <c r="M7" s="844" t="s">
        <v>70</v>
      </c>
      <c r="N7" s="845"/>
      <c r="O7" s="864"/>
      <c r="P7" s="865"/>
      <c r="Q7" s="252"/>
      <c r="R7" s="252"/>
      <c r="S7" s="252"/>
      <c r="T7" s="252"/>
      <c r="U7" s="252"/>
      <c r="V7" s="252"/>
      <c r="W7" s="252"/>
      <c r="X7" s="252"/>
      <c r="Y7" s="252"/>
      <c r="Z7" s="253"/>
      <c r="AA7" s="252"/>
      <c r="AB7" s="252"/>
      <c r="AC7" s="258"/>
      <c r="AD7" s="259"/>
    </row>
    <row r="8" spans="1:30" ht="15" customHeight="1">
      <c r="A8" s="632"/>
      <c r="B8" s="633"/>
      <c r="C8" s="884"/>
      <c r="D8" s="632"/>
      <c r="E8" s="886"/>
      <c r="F8" s="886"/>
      <c r="G8" s="886"/>
      <c r="H8" s="633"/>
      <c r="I8" s="840"/>
      <c r="J8" s="841"/>
      <c r="K8" s="632"/>
      <c r="L8" s="633"/>
      <c r="M8" s="866" t="s">
        <v>68</v>
      </c>
      <c r="N8" s="867"/>
      <c r="O8" s="868"/>
      <c r="P8" s="869"/>
      <c r="Q8" s="252"/>
      <c r="R8" s="252"/>
      <c r="S8" s="252"/>
      <c r="T8" s="252"/>
      <c r="U8" s="252"/>
      <c r="V8" s="252"/>
      <c r="W8" s="252"/>
      <c r="X8" s="252"/>
      <c r="Y8" s="252"/>
      <c r="Z8" s="253"/>
      <c r="AA8" s="252"/>
      <c r="AB8" s="252"/>
      <c r="AC8" s="258"/>
      <c r="AD8" s="259"/>
    </row>
    <row r="9" spans="1:30" ht="15.75" customHeight="1" thickBot="1">
      <c r="A9" s="634"/>
      <c r="B9" s="635"/>
      <c r="C9" s="885"/>
      <c r="D9" s="634"/>
      <c r="E9" s="638"/>
      <c r="F9" s="638"/>
      <c r="G9" s="638"/>
      <c r="H9" s="635"/>
      <c r="I9" s="842"/>
      <c r="J9" s="843"/>
      <c r="K9" s="634"/>
      <c r="L9" s="635"/>
      <c r="M9" s="870" t="s">
        <v>69</v>
      </c>
      <c r="N9" s="871"/>
      <c r="O9" s="872" t="s">
        <v>425</v>
      </c>
      <c r="P9" s="873"/>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30" t="s">
        <v>0</v>
      </c>
      <c r="B11" s="631"/>
      <c r="C11" s="874" t="s">
        <v>497</v>
      </c>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6"/>
    </row>
    <row r="12" spans="1:30" ht="15" customHeight="1">
      <c r="A12" s="632"/>
      <c r="B12" s="633"/>
      <c r="C12" s="877"/>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9"/>
    </row>
    <row r="13" spans="1:30" ht="15" customHeight="1" thickBot="1">
      <c r="A13" s="634"/>
      <c r="B13" s="635"/>
      <c r="C13" s="880"/>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2"/>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00" t="s">
        <v>77</v>
      </c>
      <c r="B15" s="601"/>
      <c r="C15" s="887" t="s">
        <v>426</v>
      </c>
      <c r="D15" s="888"/>
      <c r="E15" s="888"/>
      <c r="F15" s="888"/>
      <c r="G15" s="888"/>
      <c r="H15" s="888"/>
      <c r="I15" s="888"/>
      <c r="J15" s="888"/>
      <c r="K15" s="889"/>
      <c r="L15" s="594" t="s">
        <v>73</v>
      </c>
      <c r="M15" s="670"/>
      <c r="N15" s="670"/>
      <c r="O15" s="670"/>
      <c r="P15" s="670"/>
      <c r="Q15" s="595"/>
      <c r="R15" s="890" t="s">
        <v>622</v>
      </c>
      <c r="S15" s="891"/>
      <c r="T15" s="891"/>
      <c r="U15" s="891"/>
      <c r="V15" s="891"/>
      <c r="W15" s="891"/>
      <c r="X15" s="892"/>
      <c r="Y15" s="594" t="s">
        <v>72</v>
      </c>
      <c r="Z15" s="595"/>
      <c r="AA15" s="887" t="s">
        <v>623</v>
      </c>
      <c r="AB15" s="888"/>
      <c r="AC15" s="888"/>
      <c r="AD15" s="889"/>
    </row>
    <row r="16" spans="1:30" ht="9" customHeight="1" thickBot="1">
      <c r="A16" s="257"/>
      <c r="B16" s="252"/>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271"/>
      <c r="AD16" s="272"/>
    </row>
    <row r="17" spans="1:30" s="273" customFormat="1" ht="37.5" customHeight="1" thickBot="1">
      <c r="A17" s="600" t="s">
        <v>79</v>
      </c>
      <c r="B17" s="601"/>
      <c r="C17" s="887" t="s">
        <v>498</v>
      </c>
      <c r="D17" s="888"/>
      <c r="E17" s="888"/>
      <c r="F17" s="888"/>
      <c r="G17" s="888"/>
      <c r="H17" s="888"/>
      <c r="I17" s="888"/>
      <c r="J17" s="888"/>
      <c r="K17" s="888"/>
      <c r="L17" s="888"/>
      <c r="M17" s="888"/>
      <c r="N17" s="888"/>
      <c r="O17" s="888"/>
      <c r="P17" s="888"/>
      <c r="Q17" s="889"/>
      <c r="R17" s="594" t="s">
        <v>374</v>
      </c>
      <c r="S17" s="670"/>
      <c r="T17" s="670"/>
      <c r="U17" s="670"/>
      <c r="V17" s="595"/>
      <c r="W17" s="596"/>
      <c r="X17" s="597"/>
      <c r="Y17" s="670" t="s">
        <v>15</v>
      </c>
      <c r="Z17" s="670"/>
      <c r="AA17" s="670"/>
      <c r="AB17" s="595"/>
      <c r="AC17" s="897">
        <f>+VIGENCIA!D8</f>
        <v>0.1314687069939176</v>
      </c>
      <c r="AD17" s="898"/>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4" t="s">
        <v>1</v>
      </c>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595"/>
      <c r="AE19" s="275"/>
      <c r="AF19" s="275"/>
    </row>
    <row r="20" spans="1:32" ht="31.5" customHeight="1" thickBot="1">
      <c r="A20" s="276"/>
      <c r="B20" s="258"/>
      <c r="C20" s="698" t="s">
        <v>376</v>
      </c>
      <c r="D20" s="746"/>
      <c r="E20" s="746"/>
      <c r="F20" s="746"/>
      <c r="G20" s="746"/>
      <c r="H20" s="746"/>
      <c r="I20" s="746"/>
      <c r="J20" s="746"/>
      <c r="K20" s="746"/>
      <c r="L20" s="746"/>
      <c r="M20" s="746"/>
      <c r="N20" s="746"/>
      <c r="O20" s="746"/>
      <c r="P20" s="699"/>
      <c r="Q20" s="696" t="s">
        <v>377</v>
      </c>
      <c r="R20" s="899"/>
      <c r="S20" s="899"/>
      <c r="T20" s="899"/>
      <c r="U20" s="899"/>
      <c r="V20" s="899"/>
      <c r="W20" s="899"/>
      <c r="X20" s="899"/>
      <c r="Y20" s="899"/>
      <c r="Z20" s="899"/>
      <c r="AA20" s="899"/>
      <c r="AB20" s="899"/>
      <c r="AC20" s="899"/>
      <c r="AD20" s="697"/>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00" t="s">
        <v>378</v>
      </c>
      <c r="B22" s="901"/>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902" t="s">
        <v>379</v>
      </c>
      <c r="B23" s="903"/>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f>+VIGENCIA!L17</f>
        <v>-20290999</v>
      </c>
      <c r="V23" s="191">
        <f>+VIGENCIA!N17</f>
        <v>26780000</v>
      </c>
      <c r="W23" s="191">
        <f>+VIGENCIA!P17</f>
        <v>0</v>
      </c>
      <c r="X23" s="191"/>
      <c r="Y23" s="191"/>
      <c r="Z23" s="191"/>
      <c r="AA23" s="191"/>
      <c r="AB23" s="191"/>
      <c r="AC23" s="191">
        <f>SUM(Q23:AB23)</f>
        <v>1472091434</v>
      </c>
      <c r="AD23" s="456">
        <f>_xlfn.IFERROR(AC23/(SUMIF(Q23:AB23,"&gt;0",Q22:AB22))," ")</f>
        <v>0.966060532812725</v>
      </c>
      <c r="AE23" s="4"/>
      <c r="AF23" s="4"/>
    </row>
    <row r="24" spans="1:32" ht="31.5" customHeight="1">
      <c r="A24" s="902" t="s">
        <v>380</v>
      </c>
      <c r="B24" s="903"/>
      <c r="C24" s="192">
        <f>33674667-25434667</f>
        <v>8240000</v>
      </c>
      <c r="D24" s="191">
        <v>-12943667</v>
      </c>
      <c r="E24" s="191">
        <v>2965600</v>
      </c>
      <c r="F24" s="191">
        <v>12943667</v>
      </c>
      <c r="G24" s="191">
        <f>+RESERVA!L15</f>
        <v>0</v>
      </c>
      <c r="H24" s="191">
        <f>+RESERVA!N15</f>
        <v>0</v>
      </c>
      <c r="I24" s="191">
        <f>+RESERVA!P15</f>
        <v>0</v>
      </c>
      <c r="J24" s="191"/>
      <c r="K24" s="191"/>
      <c r="L24" s="191"/>
      <c r="M24" s="191"/>
      <c r="N24" s="191"/>
      <c r="O24" s="191">
        <f>SUM(C24:N24)</f>
        <v>11205600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56"/>
      <c r="AE24" s="4"/>
      <c r="AF24" s="4"/>
    </row>
    <row r="25" spans="1:32" ht="31.5" customHeight="1" thickBot="1">
      <c r="A25" s="904" t="s">
        <v>381</v>
      </c>
      <c r="B25" s="905"/>
      <c r="C25" s="193">
        <f>+RESERVA!E15</f>
        <v>8240000</v>
      </c>
      <c r="D25" s="194">
        <f>+RESERVA!G15</f>
        <v>0</v>
      </c>
      <c r="E25" s="194">
        <f>+RESERVA!I15</f>
        <v>0</v>
      </c>
      <c r="F25" s="194"/>
      <c r="G25" s="194">
        <f>+RESERVA!M15</f>
        <v>0</v>
      </c>
      <c r="H25" s="194">
        <f>+RESERVA!O15</f>
        <v>0</v>
      </c>
      <c r="I25" s="194">
        <f>+RESERVA!Q15</f>
        <v>0</v>
      </c>
      <c r="J25" s="194"/>
      <c r="K25" s="194"/>
      <c r="L25" s="194"/>
      <c r="M25" s="194"/>
      <c r="N25" s="194"/>
      <c r="O25" s="194">
        <f>SUM(C25:N25)</f>
        <v>8240000</v>
      </c>
      <c r="P25" s="455">
        <f>+O25/O24</f>
        <v>0.7353466124080816</v>
      </c>
      <c r="Q25" s="193">
        <f>+VIGENCIA!E17</f>
        <v>0</v>
      </c>
      <c r="R25" s="194">
        <f>+VIGENCIA!G17</f>
        <v>45917998</v>
      </c>
      <c r="S25" s="194">
        <f>+VIGENCIA!I17</f>
        <v>110000397</v>
      </c>
      <c r="T25" s="194">
        <f>+VIGENCIA!K17</f>
        <v>124259997</v>
      </c>
      <c r="U25" s="194">
        <f>+VIGENCIA!M17</f>
        <v>130302664</v>
      </c>
      <c r="V25" s="194">
        <f>+VIGENCIA!O17</f>
        <v>130302664</v>
      </c>
      <c r="W25" s="194">
        <f>+VIGENCIA!Q17</f>
        <v>136997664</v>
      </c>
      <c r="X25" s="194"/>
      <c r="Y25" s="194"/>
      <c r="Z25" s="194"/>
      <c r="AA25" s="194"/>
      <c r="AB25" s="194"/>
      <c r="AC25" s="194">
        <f>SUM(Q25:AB25)</f>
        <v>677781384</v>
      </c>
      <c r="AD25" s="457">
        <f>_xlfn.IFERROR(AC25/(SUMIF(Q25:AB25,"&gt;0",Q24:AB24))," ")</f>
        <v>0.9077574673556769</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6" t="s">
        <v>76</v>
      </c>
      <c r="B27" s="907"/>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9"/>
    </row>
    <row r="28" spans="1:30" ht="15" customHeight="1">
      <c r="A28" s="910" t="s">
        <v>189</v>
      </c>
      <c r="B28" s="912" t="s">
        <v>6</v>
      </c>
      <c r="C28" s="913"/>
      <c r="D28" s="903" t="s">
        <v>398</v>
      </c>
      <c r="E28" s="916"/>
      <c r="F28" s="916"/>
      <c r="G28" s="916"/>
      <c r="H28" s="916"/>
      <c r="I28" s="916"/>
      <c r="J28" s="916"/>
      <c r="K28" s="916"/>
      <c r="L28" s="916"/>
      <c r="M28" s="916"/>
      <c r="N28" s="916"/>
      <c r="O28" s="917"/>
      <c r="P28" s="918" t="s">
        <v>8</v>
      </c>
      <c r="Q28" s="918" t="s">
        <v>84</v>
      </c>
      <c r="R28" s="918"/>
      <c r="S28" s="918"/>
      <c r="T28" s="918"/>
      <c r="U28" s="918"/>
      <c r="V28" s="918"/>
      <c r="W28" s="918"/>
      <c r="X28" s="918"/>
      <c r="Y28" s="918"/>
      <c r="Z28" s="918"/>
      <c r="AA28" s="918"/>
      <c r="AB28" s="918"/>
      <c r="AC28" s="918"/>
      <c r="AD28" s="919"/>
    </row>
    <row r="29" spans="1:30" ht="27" customHeight="1">
      <c r="A29" s="911"/>
      <c r="B29" s="914"/>
      <c r="C29" s="915"/>
      <c r="D29" s="281" t="s">
        <v>39</v>
      </c>
      <c r="E29" s="281" t="s">
        <v>40</v>
      </c>
      <c r="F29" s="281" t="s">
        <v>41</v>
      </c>
      <c r="G29" s="281" t="s">
        <v>42</v>
      </c>
      <c r="H29" s="281" t="s">
        <v>43</v>
      </c>
      <c r="I29" s="281" t="s">
        <v>44</v>
      </c>
      <c r="J29" s="281" t="s">
        <v>45</v>
      </c>
      <c r="K29" s="281" t="s">
        <v>46</v>
      </c>
      <c r="L29" s="281" t="s">
        <v>47</v>
      </c>
      <c r="M29" s="281" t="s">
        <v>48</v>
      </c>
      <c r="N29" s="281" t="s">
        <v>49</v>
      </c>
      <c r="O29" s="281" t="s">
        <v>50</v>
      </c>
      <c r="P29" s="917"/>
      <c r="Q29" s="918"/>
      <c r="R29" s="918"/>
      <c r="S29" s="918"/>
      <c r="T29" s="918"/>
      <c r="U29" s="918"/>
      <c r="V29" s="918"/>
      <c r="W29" s="918"/>
      <c r="X29" s="918"/>
      <c r="Y29" s="918"/>
      <c r="Z29" s="918"/>
      <c r="AA29" s="918"/>
      <c r="AB29" s="918"/>
      <c r="AC29" s="918"/>
      <c r="AD29" s="919"/>
    </row>
    <row r="30" spans="1:30" ht="57" customHeight="1" thickBot="1">
      <c r="A30" s="282" t="str">
        <f>C17</f>
        <v>Soportar al 100% la implementación de las políticas del Modelo Integrado de Planeación y Gestión</v>
      </c>
      <c r="B30" s="990" t="s">
        <v>450</v>
      </c>
      <c r="C30" s="991"/>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22"/>
      <c r="R30" s="922"/>
      <c r="S30" s="922"/>
      <c r="T30" s="922"/>
      <c r="U30" s="922"/>
      <c r="V30" s="922"/>
      <c r="W30" s="922"/>
      <c r="X30" s="922"/>
      <c r="Y30" s="922"/>
      <c r="Z30" s="922"/>
      <c r="AA30" s="922"/>
      <c r="AB30" s="922"/>
      <c r="AC30" s="922"/>
      <c r="AD30" s="923"/>
    </row>
    <row r="31" spans="1:30" ht="45" customHeight="1">
      <c r="A31" s="858" t="s">
        <v>292</v>
      </c>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60"/>
    </row>
    <row r="32" spans="1:41" ht="22.5" customHeight="1">
      <c r="A32" s="902" t="s">
        <v>190</v>
      </c>
      <c r="B32" s="918" t="s">
        <v>62</v>
      </c>
      <c r="C32" s="918" t="s">
        <v>6</v>
      </c>
      <c r="D32" s="918" t="s">
        <v>60</v>
      </c>
      <c r="E32" s="918"/>
      <c r="F32" s="918"/>
      <c r="G32" s="918"/>
      <c r="H32" s="918"/>
      <c r="I32" s="918"/>
      <c r="J32" s="918"/>
      <c r="K32" s="918"/>
      <c r="L32" s="918"/>
      <c r="M32" s="918"/>
      <c r="N32" s="918"/>
      <c r="O32" s="918"/>
      <c r="P32" s="918"/>
      <c r="Q32" s="918" t="s">
        <v>85</v>
      </c>
      <c r="R32" s="918"/>
      <c r="S32" s="918"/>
      <c r="T32" s="918"/>
      <c r="U32" s="918"/>
      <c r="V32" s="918"/>
      <c r="W32" s="918"/>
      <c r="X32" s="918"/>
      <c r="Y32" s="918"/>
      <c r="Z32" s="918"/>
      <c r="AA32" s="918"/>
      <c r="AB32" s="918"/>
      <c r="AC32" s="918"/>
      <c r="AD32" s="919"/>
      <c r="AG32" s="90"/>
      <c r="AH32" s="90"/>
      <c r="AI32" s="90"/>
      <c r="AJ32" s="90"/>
      <c r="AK32" s="90"/>
      <c r="AL32" s="90"/>
      <c r="AM32" s="90"/>
      <c r="AN32" s="90"/>
      <c r="AO32" s="90"/>
    </row>
    <row r="33" spans="1:41" ht="27" customHeight="1">
      <c r="A33" s="902"/>
      <c r="B33" s="918"/>
      <c r="C33" s="924"/>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8" t="s">
        <v>403</v>
      </c>
      <c r="R33" s="918"/>
      <c r="S33" s="918"/>
      <c r="T33" s="918" t="s">
        <v>406</v>
      </c>
      <c r="U33" s="918"/>
      <c r="V33" s="918"/>
      <c r="W33" s="914" t="s">
        <v>81</v>
      </c>
      <c r="X33" s="925"/>
      <c r="Y33" s="925"/>
      <c r="Z33" s="915"/>
      <c r="AA33" s="914" t="s">
        <v>82</v>
      </c>
      <c r="AB33" s="925"/>
      <c r="AC33" s="925"/>
      <c r="AD33" s="926"/>
      <c r="AG33" s="90"/>
      <c r="AH33" s="90"/>
      <c r="AI33" s="90"/>
      <c r="AJ33" s="90"/>
      <c r="AK33" s="90"/>
      <c r="AL33" s="90"/>
      <c r="AM33" s="90"/>
      <c r="AN33" s="90"/>
      <c r="AO33" s="90"/>
    </row>
    <row r="34" spans="1:41" ht="92.25" customHeight="1">
      <c r="A34" s="927" t="s">
        <v>499</v>
      </c>
      <c r="B34" s="1006">
        <f>+AC17</f>
        <v>0.1314687069939176</v>
      </c>
      <c r="C34" s="284" t="s">
        <v>9</v>
      </c>
      <c r="D34" s="177">
        <f>((D38*($B$38/$B$34))+(D40*($B$40/$B$34))+(D42*($B$42/$B$34)))*$P$34</f>
        <v>0.05476588432814744</v>
      </c>
      <c r="E34" s="177">
        <f aca="true" t="shared" si="0" ref="E34:O34">((E38*($B$38/$B$34))+(E40*($B$40/$B$34))+(E42*($B$42/$B$34)))*$P$34</f>
        <v>0.10420730767994722</v>
      </c>
      <c r="F34" s="177">
        <f t="shared" si="0"/>
        <v>0.08443073833922732</v>
      </c>
      <c r="G34" s="177">
        <f t="shared" si="0"/>
        <v>0.08138818920988579</v>
      </c>
      <c r="H34" s="177">
        <f t="shared" si="0"/>
        <v>0.08595201290389808</v>
      </c>
      <c r="I34" s="177">
        <f t="shared" si="0"/>
        <v>0.06313289443383664</v>
      </c>
      <c r="J34" s="177">
        <f t="shared" si="0"/>
        <v>0.09507966029192265</v>
      </c>
      <c r="K34" s="177">
        <f>((K38*($B$38/$B$34))+(K40*($B$40/$B$34))+(K42*($B$42/$B$34)))*$P$34</f>
        <v>0.08671265018623346</v>
      </c>
      <c r="L34" s="177">
        <f t="shared" si="0"/>
        <v>0.07454245366886736</v>
      </c>
      <c r="M34" s="177">
        <f t="shared" si="0"/>
        <v>0.09203711116258112</v>
      </c>
      <c r="N34" s="177">
        <f t="shared" si="0"/>
        <v>0.07910627736287965</v>
      </c>
      <c r="O34" s="177">
        <f t="shared" si="0"/>
        <v>0.08747328746856883</v>
      </c>
      <c r="P34" s="177">
        <v>1</v>
      </c>
      <c r="Q34" s="937" t="s">
        <v>879</v>
      </c>
      <c r="R34" s="938"/>
      <c r="S34" s="939"/>
      <c r="T34" s="937" t="s">
        <v>880</v>
      </c>
      <c r="U34" s="938"/>
      <c r="V34" s="939"/>
      <c r="W34" s="937" t="s">
        <v>881</v>
      </c>
      <c r="X34" s="938"/>
      <c r="Y34" s="938"/>
      <c r="Z34" s="939"/>
      <c r="AA34" s="937" t="s">
        <v>882</v>
      </c>
      <c r="AB34" s="938"/>
      <c r="AC34" s="938"/>
      <c r="AD34" s="1008"/>
      <c r="AG34" s="90"/>
      <c r="AH34" s="90"/>
      <c r="AI34" s="90"/>
      <c r="AJ34" s="90"/>
      <c r="AK34" s="90"/>
      <c r="AL34" s="90"/>
      <c r="AM34" s="90"/>
      <c r="AN34" s="90"/>
      <c r="AO34" s="90"/>
    </row>
    <row r="35" spans="1:41" ht="92.25" customHeight="1" thickBot="1">
      <c r="A35" s="928"/>
      <c r="B35" s="1007"/>
      <c r="C35" s="285" t="s">
        <v>10</v>
      </c>
      <c r="D35" s="418">
        <f>((D39*($B$38/$B$34))+(D41*($B$40/$B$34))+(D43*($B$42/$B$34)))*$P$34</f>
        <v>0.06161161986916587</v>
      </c>
      <c r="E35" s="418">
        <f>((E39*($B$38/$B$34))+(E41*($B$40/$B$34))+(E43*($B$42/$B$34)))*$P$34</f>
        <v>0.09736157213892879</v>
      </c>
      <c r="F35" s="418">
        <f>((F39*($B$38/$B$34))+(F41*($B$40/$B$34))+(F43*($B$42/$B$34)))*$P$34</f>
        <v>0.07986691464521503</v>
      </c>
      <c r="G35" s="418">
        <f>((G39*($B$38/$B$34))+(G41*($B$40/$B$34))+(G43*($B$42/$B$34)))*$P$34</f>
        <v>0.07758500279820887</v>
      </c>
      <c r="H35" s="418">
        <f>((H39*($B$38/$B$34))+(H41*($B$40/$B$34))+(H43*($B$42/$B$34)))*$P$34</f>
        <v>0.08595201290389808</v>
      </c>
      <c r="I35" s="496">
        <f>((I39*($B$38/$B$34))+(I41*($B$40/$B$34))+(I43*($B$42/$B$34)))*$P$34</f>
        <v>0.07226054182186122</v>
      </c>
      <c r="J35" s="496">
        <f>((J39*($B$38/$B$34))+(J41*($B$40/$B$34))+(J43*($B$42/$B$34)))*$P$34</f>
        <v>0.08823392475090422</v>
      </c>
      <c r="K35" s="96"/>
      <c r="L35" s="96"/>
      <c r="M35" s="96"/>
      <c r="N35" s="96"/>
      <c r="O35" s="96"/>
      <c r="P35" s="178">
        <f>SUM(D35:O35)</f>
        <v>0.5628715889281821</v>
      </c>
      <c r="Q35" s="940"/>
      <c r="R35" s="941"/>
      <c r="S35" s="942"/>
      <c r="T35" s="940"/>
      <c r="U35" s="941"/>
      <c r="V35" s="942"/>
      <c r="W35" s="940"/>
      <c r="X35" s="941"/>
      <c r="Y35" s="941"/>
      <c r="Z35" s="942"/>
      <c r="AA35" s="940"/>
      <c r="AB35" s="941"/>
      <c r="AC35" s="941"/>
      <c r="AD35" s="1009"/>
      <c r="AE35" s="50"/>
      <c r="AG35" s="90"/>
      <c r="AH35" s="90"/>
      <c r="AI35" s="90"/>
      <c r="AJ35" s="90"/>
      <c r="AK35" s="90"/>
      <c r="AL35" s="90"/>
      <c r="AM35" s="90"/>
      <c r="AN35" s="90"/>
      <c r="AO35" s="90"/>
    </row>
    <row r="36" spans="1:41" ht="25.5" customHeight="1">
      <c r="A36" s="900" t="s">
        <v>191</v>
      </c>
      <c r="B36" s="945" t="s">
        <v>61</v>
      </c>
      <c r="C36" s="947" t="s">
        <v>11</v>
      </c>
      <c r="D36" s="947"/>
      <c r="E36" s="947"/>
      <c r="F36" s="947"/>
      <c r="G36" s="947"/>
      <c r="H36" s="947"/>
      <c r="I36" s="947"/>
      <c r="J36" s="947"/>
      <c r="K36" s="947"/>
      <c r="L36" s="947"/>
      <c r="M36" s="947"/>
      <c r="N36" s="947"/>
      <c r="O36" s="947"/>
      <c r="P36" s="947"/>
      <c r="Q36" s="901" t="s">
        <v>78</v>
      </c>
      <c r="R36" s="948"/>
      <c r="S36" s="948"/>
      <c r="T36" s="948"/>
      <c r="U36" s="948"/>
      <c r="V36" s="948"/>
      <c r="W36" s="948"/>
      <c r="X36" s="948"/>
      <c r="Y36" s="948"/>
      <c r="Z36" s="948"/>
      <c r="AA36" s="948"/>
      <c r="AB36" s="948"/>
      <c r="AC36" s="948"/>
      <c r="AD36" s="949"/>
      <c r="AG36" s="90"/>
      <c r="AH36" s="90"/>
      <c r="AI36" s="90"/>
      <c r="AJ36" s="90"/>
      <c r="AK36" s="90"/>
      <c r="AL36" s="90"/>
      <c r="AM36" s="90"/>
      <c r="AN36" s="90"/>
      <c r="AO36" s="90"/>
    </row>
    <row r="37" spans="1:41" ht="51" customHeight="1">
      <c r="A37" s="902"/>
      <c r="B37" s="946"/>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03" t="s">
        <v>83</v>
      </c>
      <c r="R37" s="916"/>
      <c r="S37" s="916"/>
      <c r="T37" s="916"/>
      <c r="U37" s="916"/>
      <c r="V37" s="916"/>
      <c r="W37" s="916"/>
      <c r="X37" s="916"/>
      <c r="Y37" s="916"/>
      <c r="Z37" s="916"/>
      <c r="AA37" s="916"/>
      <c r="AB37" s="916"/>
      <c r="AC37" s="916"/>
      <c r="AD37" s="950"/>
      <c r="AG37" s="98"/>
      <c r="AH37" s="98"/>
      <c r="AI37" s="98"/>
      <c r="AJ37" s="98"/>
      <c r="AK37" s="98"/>
      <c r="AL37" s="98"/>
      <c r="AM37" s="98"/>
      <c r="AN37" s="98"/>
      <c r="AO37" s="98"/>
    </row>
    <row r="38" spans="1:41" ht="112.5" customHeight="1">
      <c r="A38" s="1002" t="s">
        <v>499</v>
      </c>
      <c r="B38" s="1004">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1" ref="P38:P43">SUM(D38:O38)</f>
        <v>0.9999999999999999</v>
      </c>
      <c r="Q38" s="956" t="s">
        <v>883</v>
      </c>
      <c r="R38" s="957"/>
      <c r="S38" s="957"/>
      <c r="T38" s="957"/>
      <c r="U38" s="957"/>
      <c r="V38" s="957"/>
      <c r="W38" s="957"/>
      <c r="X38" s="957"/>
      <c r="Y38" s="957"/>
      <c r="Z38" s="957"/>
      <c r="AA38" s="957"/>
      <c r="AB38" s="957"/>
      <c r="AC38" s="957"/>
      <c r="AD38" s="958"/>
      <c r="AE38" s="287"/>
      <c r="AG38" s="102"/>
      <c r="AH38" s="102"/>
      <c r="AI38" s="102"/>
      <c r="AJ38" s="102"/>
      <c r="AK38" s="102"/>
      <c r="AL38" s="102"/>
      <c r="AM38" s="102"/>
      <c r="AN38" s="102"/>
      <c r="AO38" s="102"/>
    </row>
    <row r="39" spans="1:31" ht="112.5" customHeight="1">
      <c r="A39" s="1003"/>
      <c r="B39" s="1005"/>
      <c r="C39" s="288" t="s">
        <v>10</v>
      </c>
      <c r="D39" s="104">
        <v>0.03</v>
      </c>
      <c r="E39" s="104">
        <v>0.08</v>
      </c>
      <c r="F39" s="104">
        <v>0.1</v>
      </c>
      <c r="G39" s="104">
        <v>0.09</v>
      </c>
      <c r="H39" s="104">
        <v>0.08</v>
      </c>
      <c r="I39" s="104">
        <v>0.08</v>
      </c>
      <c r="J39" s="104">
        <v>0.1</v>
      </c>
      <c r="K39" s="104"/>
      <c r="L39" s="104"/>
      <c r="M39" s="104"/>
      <c r="N39" s="104"/>
      <c r="O39" s="104"/>
      <c r="P39" s="289">
        <f t="shared" si="1"/>
        <v>0.56</v>
      </c>
      <c r="Q39" s="1159"/>
      <c r="R39" s="1160"/>
      <c r="S39" s="1160"/>
      <c r="T39" s="1160"/>
      <c r="U39" s="1160"/>
      <c r="V39" s="1160"/>
      <c r="W39" s="1160"/>
      <c r="X39" s="1160"/>
      <c r="Y39" s="1160"/>
      <c r="Z39" s="1160"/>
      <c r="AA39" s="1160"/>
      <c r="AB39" s="1160"/>
      <c r="AC39" s="1160"/>
      <c r="AD39" s="1161"/>
      <c r="AE39" s="287"/>
    </row>
    <row r="40" spans="1:31" ht="69" customHeight="1">
      <c r="A40" s="1016" t="s">
        <v>629</v>
      </c>
      <c r="B40" s="1017">
        <v>0.03</v>
      </c>
      <c r="C40" s="290" t="s">
        <v>9</v>
      </c>
      <c r="D40" s="332">
        <v>0.04</v>
      </c>
      <c r="E40" s="332">
        <v>0.19</v>
      </c>
      <c r="F40" s="332">
        <v>0.07</v>
      </c>
      <c r="G40" s="332">
        <v>0.04</v>
      </c>
      <c r="H40" s="332">
        <v>0.11</v>
      </c>
      <c r="I40" s="1165">
        <v>0.01</v>
      </c>
      <c r="J40" s="1165">
        <v>0.1</v>
      </c>
      <c r="K40" s="1165">
        <v>0.08</v>
      </c>
      <c r="L40" s="1165">
        <v>0.06</v>
      </c>
      <c r="M40" s="1165">
        <v>0.12</v>
      </c>
      <c r="N40" s="1165">
        <v>0.08</v>
      </c>
      <c r="O40" s="1165">
        <v>0.1</v>
      </c>
      <c r="P40" s="289">
        <f t="shared" si="1"/>
        <v>0.9999999999999999</v>
      </c>
      <c r="Q40" s="1018" t="s">
        <v>878</v>
      </c>
      <c r="R40" s="1019"/>
      <c r="S40" s="1019"/>
      <c r="T40" s="1019"/>
      <c r="U40" s="1019"/>
      <c r="V40" s="1019"/>
      <c r="W40" s="1019"/>
      <c r="X40" s="1019"/>
      <c r="Y40" s="1019"/>
      <c r="Z40" s="1019"/>
      <c r="AA40" s="1019"/>
      <c r="AB40" s="1019"/>
      <c r="AC40" s="1019"/>
      <c r="AD40" s="1020"/>
      <c r="AE40" s="287"/>
    </row>
    <row r="41" spans="1:31" ht="69" customHeight="1">
      <c r="A41" s="1002"/>
      <c r="B41" s="1005"/>
      <c r="C41" s="288" t="s">
        <v>10</v>
      </c>
      <c r="D41" s="104">
        <v>0.07</v>
      </c>
      <c r="E41" s="104">
        <v>0.16</v>
      </c>
      <c r="F41" s="104">
        <v>0.05</v>
      </c>
      <c r="G41" s="104">
        <v>0.04</v>
      </c>
      <c r="H41" s="104">
        <v>0.11</v>
      </c>
      <c r="I41" s="104">
        <v>0.05</v>
      </c>
      <c r="J41" s="104">
        <v>0.07</v>
      </c>
      <c r="K41" s="104"/>
      <c r="L41" s="108"/>
      <c r="M41" s="108"/>
      <c r="N41" s="108"/>
      <c r="O41" s="108"/>
      <c r="P41" s="289">
        <f t="shared" si="1"/>
        <v>0.55</v>
      </c>
      <c r="Q41" s="1021"/>
      <c r="R41" s="1022"/>
      <c r="S41" s="1022"/>
      <c r="T41" s="1022"/>
      <c r="U41" s="1022"/>
      <c r="V41" s="1022"/>
      <c r="W41" s="1022"/>
      <c r="X41" s="1022"/>
      <c r="Y41" s="1022"/>
      <c r="Z41" s="1022"/>
      <c r="AA41" s="1022"/>
      <c r="AB41" s="1022"/>
      <c r="AC41" s="1022"/>
      <c r="AD41" s="1023"/>
      <c r="AE41" s="287"/>
    </row>
    <row r="42" spans="1:31" ht="107.25" customHeight="1" thickBot="1">
      <c r="A42" s="993" t="s">
        <v>630</v>
      </c>
      <c r="B42" s="995">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1"/>
        <v>0.9999999999999998</v>
      </c>
      <c r="Q42" s="996" t="s">
        <v>877</v>
      </c>
      <c r="R42" s="997"/>
      <c r="S42" s="997"/>
      <c r="T42" s="997"/>
      <c r="U42" s="997"/>
      <c r="V42" s="997"/>
      <c r="W42" s="997"/>
      <c r="X42" s="997"/>
      <c r="Y42" s="997"/>
      <c r="Z42" s="997"/>
      <c r="AA42" s="997"/>
      <c r="AB42" s="997"/>
      <c r="AC42" s="997"/>
      <c r="AD42" s="998"/>
      <c r="AE42" s="287"/>
    </row>
    <row r="43" spans="1:31" ht="107.25" customHeight="1" thickBot="1">
      <c r="A43" s="994"/>
      <c r="B43" s="955"/>
      <c r="C43" s="334" t="s">
        <v>10</v>
      </c>
      <c r="D43" s="335">
        <v>0.09</v>
      </c>
      <c r="E43" s="335">
        <v>0.08</v>
      </c>
      <c r="F43" s="335">
        <v>0.08</v>
      </c>
      <c r="G43" s="335">
        <v>0.09</v>
      </c>
      <c r="H43" s="335">
        <v>0.08</v>
      </c>
      <c r="I43" s="335">
        <v>0.08</v>
      </c>
      <c r="J43" s="335">
        <v>0.09</v>
      </c>
      <c r="K43" s="335"/>
      <c r="L43" s="336"/>
      <c r="M43" s="336"/>
      <c r="N43" s="336"/>
      <c r="O43" s="336"/>
      <c r="P43" s="337">
        <f t="shared" si="1"/>
        <v>0.59</v>
      </c>
      <c r="Q43" s="999"/>
      <c r="R43" s="1000"/>
      <c r="S43" s="1000"/>
      <c r="T43" s="1000"/>
      <c r="U43" s="1000"/>
      <c r="V43" s="1000"/>
      <c r="W43" s="1000"/>
      <c r="X43" s="1000"/>
      <c r="Y43" s="1000"/>
      <c r="Z43" s="1000"/>
      <c r="AA43" s="1000"/>
      <c r="AB43" s="1000"/>
      <c r="AC43" s="1000"/>
      <c r="AD43" s="1001"/>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O50"/>
  <sheetViews>
    <sheetView showGridLines="0" zoomScale="85" zoomScaleNormal="85" workbookViewId="0" topLeftCell="J35">
      <selection activeCell="O35" sqref="O35"/>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2" width="31.8515625" style="246" customWidth="1"/>
    <col min="23"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1010"/>
      <c r="B1" s="1013" t="s">
        <v>16</v>
      </c>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5"/>
      <c r="AB1" s="1027" t="s">
        <v>18</v>
      </c>
      <c r="AC1" s="1028"/>
      <c r="AD1" s="1029"/>
    </row>
    <row r="2" spans="1:30" ht="30.75" customHeight="1">
      <c r="A2" s="1011"/>
      <c r="B2" s="1024" t="s">
        <v>17</v>
      </c>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6"/>
      <c r="AB2" s="1030" t="s">
        <v>631</v>
      </c>
      <c r="AC2" s="1031"/>
      <c r="AD2" s="1032"/>
    </row>
    <row r="3" spans="1:30" ht="24" customHeight="1">
      <c r="A3" s="1011"/>
      <c r="B3" s="877" t="s">
        <v>295</v>
      </c>
      <c r="C3" s="878"/>
      <c r="D3" s="878"/>
      <c r="E3" s="878"/>
      <c r="F3" s="878"/>
      <c r="G3" s="878"/>
      <c r="H3" s="878"/>
      <c r="I3" s="878"/>
      <c r="J3" s="878"/>
      <c r="K3" s="878"/>
      <c r="L3" s="878"/>
      <c r="M3" s="878"/>
      <c r="N3" s="878"/>
      <c r="O3" s="878"/>
      <c r="P3" s="878"/>
      <c r="Q3" s="878"/>
      <c r="R3" s="878"/>
      <c r="S3" s="878"/>
      <c r="T3" s="878"/>
      <c r="U3" s="878"/>
      <c r="V3" s="878"/>
      <c r="W3" s="878"/>
      <c r="X3" s="878"/>
      <c r="Y3" s="878"/>
      <c r="Z3" s="878"/>
      <c r="AA3" s="879"/>
      <c r="AB3" s="1030" t="s">
        <v>632</v>
      </c>
      <c r="AC3" s="1031"/>
      <c r="AD3" s="1032"/>
    </row>
    <row r="4" spans="1:30" ht="21.75" customHeight="1" thickBot="1">
      <c r="A4" s="1012"/>
      <c r="B4" s="880"/>
      <c r="C4" s="881"/>
      <c r="D4" s="881"/>
      <c r="E4" s="881"/>
      <c r="F4" s="881"/>
      <c r="G4" s="881"/>
      <c r="H4" s="881"/>
      <c r="I4" s="881"/>
      <c r="J4" s="881"/>
      <c r="K4" s="881"/>
      <c r="L4" s="881"/>
      <c r="M4" s="881"/>
      <c r="N4" s="881"/>
      <c r="O4" s="881"/>
      <c r="P4" s="881"/>
      <c r="Q4" s="881"/>
      <c r="R4" s="881"/>
      <c r="S4" s="881"/>
      <c r="T4" s="881"/>
      <c r="U4" s="881"/>
      <c r="V4" s="881"/>
      <c r="W4" s="881"/>
      <c r="X4" s="881"/>
      <c r="Y4" s="881"/>
      <c r="Z4" s="881"/>
      <c r="AA4" s="882"/>
      <c r="AB4" s="741" t="s">
        <v>779</v>
      </c>
      <c r="AC4" s="742"/>
      <c r="AD4" s="743"/>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30" t="s">
        <v>293</v>
      </c>
      <c r="B7" s="631"/>
      <c r="C7" s="883" t="s">
        <v>45</v>
      </c>
      <c r="D7" s="630" t="s">
        <v>71</v>
      </c>
      <c r="E7" s="636"/>
      <c r="F7" s="636"/>
      <c r="G7" s="636"/>
      <c r="H7" s="631"/>
      <c r="I7" s="838">
        <v>45146</v>
      </c>
      <c r="J7" s="839"/>
      <c r="K7" s="630" t="s">
        <v>67</v>
      </c>
      <c r="L7" s="631"/>
      <c r="M7" s="844" t="s">
        <v>70</v>
      </c>
      <c r="N7" s="845"/>
      <c r="O7" s="864"/>
      <c r="P7" s="865"/>
      <c r="Q7" s="252"/>
      <c r="R7" s="252"/>
      <c r="S7" s="252"/>
      <c r="T7" s="252"/>
      <c r="U7" s="252"/>
      <c r="V7" s="252"/>
      <c r="W7" s="252"/>
      <c r="X7" s="252"/>
      <c r="Y7" s="252"/>
      <c r="Z7" s="253"/>
      <c r="AA7" s="252"/>
      <c r="AB7" s="252"/>
      <c r="AC7" s="258"/>
      <c r="AD7" s="259"/>
    </row>
    <row r="8" spans="1:30" ht="15" customHeight="1">
      <c r="A8" s="632"/>
      <c r="B8" s="633"/>
      <c r="C8" s="884"/>
      <c r="D8" s="632"/>
      <c r="E8" s="886"/>
      <c r="F8" s="886"/>
      <c r="G8" s="886"/>
      <c r="H8" s="633"/>
      <c r="I8" s="840"/>
      <c r="J8" s="841"/>
      <c r="K8" s="632"/>
      <c r="L8" s="633"/>
      <c r="M8" s="866" t="s">
        <v>68</v>
      </c>
      <c r="N8" s="867"/>
      <c r="O8" s="868"/>
      <c r="P8" s="869"/>
      <c r="Q8" s="252"/>
      <c r="R8" s="252"/>
      <c r="S8" s="252"/>
      <c r="T8" s="252"/>
      <c r="U8" s="252"/>
      <c r="V8" s="252"/>
      <c r="W8" s="252"/>
      <c r="X8" s="252"/>
      <c r="Y8" s="252"/>
      <c r="Z8" s="253"/>
      <c r="AA8" s="252"/>
      <c r="AB8" s="252"/>
      <c r="AC8" s="258"/>
      <c r="AD8" s="259"/>
    </row>
    <row r="9" spans="1:30" ht="15.75" customHeight="1" thickBot="1">
      <c r="A9" s="634"/>
      <c r="B9" s="635"/>
      <c r="C9" s="885"/>
      <c r="D9" s="634"/>
      <c r="E9" s="638"/>
      <c r="F9" s="638"/>
      <c r="G9" s="638"/>
      <c r="H9" s="635"/>
      <c r="I9" s="842"/>
      <c r="J9" s="843"/>
      <c r="K9" s="634"/>
      <c r="L9" s="635"/>
      <c r="M9" s="870" t="s">
        <v>69</v>
      </c>
      <c r="N9" s="871"/>
      <c r="O9" s="872" t="s">
        <v>425</v>
      </c>
      <c r="P9" s="873"/>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630" t="s">
        <v>0</v>
      </c>
      <c r="B11" s="631"/>
      <c r="C11" s="874" t="s">
        <v>497</v>
      </c>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6"/>
    </row>
    <row r="12" spans="1:30" ht="15" customHeight="1">
      <c r="A12" s="632"/>
      <c r="B12" s="633"/>
      <c r="C12" s="877"/>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9"/>
    </row>
    <row r="13" spans="1:30" ht="15" customHeight="1" thickBot="1">
      <c r="A13" s="634"/>
      <c r="B13" s="635"/>
      <c r="C13" s="880"/>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2"/>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00" t="s">
        <v>77</v>
      </c>
      <c r="B15" s="601"/>
      <c r="C15" s="887" t="s">
        <v>426</v>
      </c>
      <c r="D15" s="888"/>
      <c r="E15" s="888"/>
      <c r="F15" s="888"/>
      <c r="G15" s="888"/>
      <c r="H15" s="888"/>
      <c r="I15" s="888"/>
      <c r="J15" s="888"/>
      <c r="K15" s="889"/>
      <c r="L15" s="594" t="s">
        <v>73</v>
      </c>
      <c r="M15" s="670"/>
      <c r="N15" s="670"/>
      <c r="O15" s="670"/>
      <c r="P15" s="670"/>
      <c r="Q15" s="595"/>
      <c r="R15" s="887" t="s">
        <v>622</v>
      </c>
      <c r="S15" s="888"/>
      <c r="T15" s="888"/>
      <c r="U15" s="888"/>
      <c r="V15" s="888"/>
      <c r="W15" s="888"/>
      <c r="X15" s="889"/>
      <c r="Y15" s="594" t="s">
        <v>72</v>
      </c>
      <c r="Z15" s="595"/>
      <c r="AA15" s="887" t="s">
        <v>623</v>
      </c>
      <c r="AB15" s="888"/>
      <c r="AC15" s="888"/>
      <c r="AD15" s="889"/>
    </row>
    <row r="16" spans="1:30" ht="9" customHeight="1" thickBot="1">
      <c r="A16" s="257"/>
      <c r="B16" s="252"/>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271"/>
      <c r="AD16" s="272"/>
    </row>
    <row r="17" spans="1:33" s="273" customFormat="1" ht="37.5" customHeight="1" thickBot="1">
      <c r="A17" s="600" t="s">
        <v>79</v>
      </c>
      <c r="B17" s="601"/>
      <c r="C17" s="894" t="s">
        <v>633</v>
      </c>
      <c r="D17" s="895"/>
      <c r="E17" s="895"/>
      <c r="F17" s="895"/>
      <c r="G17" s="895"/>
      <c r="H17" s="895"/>
      <c r="I17" s="895"/>
      <c r="J17" s="895"/>
      <c r="K17" s="895"/>
      <c r="L17" s="895"/>
      <c r="M17" s="895"/>
      <c r="N17" s="895"/>
      <c r="O17" s="895"/>
      <c r="P17" s="895"/>
      <c r="Q17" s="896"/>
      <c r="R17" s="594" t="s">
        <v>374</v>
      </c>
      <c r="S17" s="670"/>
      <c r="T17" s="670"/>
      <c r="U17" s="670"/>
      <c r="V17" s="595"/>
      <c r="W17" s="596">
        <v>0.6</v>
      </c>
      <c r="X17" s="597"/>
      <c r="Y17" s="670" t="s">
        <v>15</v>
      </c>
      <c r="Z17" s="670"/>
      <c r="AA17" s="670"/>
      <c r="AB17" s="595"/>
      <c r="AC17" s="897">
        <f>+VIGENCIA!D9</f>
        <v>0.08090862027924733</v>
      </c>
      <c r="AD17" s="898"/>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4" t="s">
        <v>1</v>
      </c>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595"/>
      <c r="AE19" s="275"/>
      <c r="AF19" s="341"/>
    </row>
    <row r="20" spans="1:32" ht="31.5" customHeight="1" thickBot="1">
      <c r="A20" s="276"/>
      <c r="B20" s="258"/>
      <c r="C20" s="698" t="s">
        <v>376</v>
      </c>
      <c r="D20" s="746"/>
      <c r="E20" s="746"/>
      <c r="F20" s="746"/>
      <c r="G20" s="746"/>
      <c r="H20" s="746"/>
      <c r="I20" s="746"/>
      <c r="J20" s="746"/>
      <c r="K20" s="746"/>
      <c r="L20" s="746"/>
      <c r="M20" s="746"/>
      <c r="N20" s="746"/>
      <c r="O20" s="746"/>
      <c r="P20" s="699"/>
      <c r="Q20" s="696" t="s">
        <v>377</v>
      </c>
      <c r="R20" s="899"/>
      <c r="S20" s="899"/>
      <c r="T20" s="899"/>
      <c r="U20" s="899"/>
      <c r="V20" s="899"/>
      <c r="W20" s="899"/>
      <c r="X20" s="899"/>
      <c r="Y20" s="899"/>
      <c r="Z20" s="899"/>
      <c r="AA20" s="899"/>
      <c r="AB20" s="899"/>
      <c r="AC20" s="899"/>
      <c r="AD20" s="697"/>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900" t="s">
        <v>378</v>
      </c>
      <c r="B22" s="901"/>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902" t="s">
        <v>379</v>
      </c>
      <c r="B23" s="903"/>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f>+VIGENCIA!L18</f>
        <v>-15686667</v>
      </c>
      <c r="V23" s="344">
        <f>+VIGENCIA!N18</f>
        <v>73360000</v>
      </c>
      <c r="W23" s="191">
        <f>+VIGENCIA!P18</f>
        <v>0</v>
      </c>
      <c r="X23" s="191"/>
      <c r="Y23" s="191"/>
      <c r="Z23" s="191"/>
      <c r="AA23" s="191"/>
      <c r="AB23" s="344"/>
      <c r="AC23" s="195">
        <f>SUM(Q23:AB23)</f>
        <v>769387116</v>
      </c>
      <c r="AD23" s="200">
        <f>+AC23/AC22</f>
        <v>0.8204309967450438</v>
      </c>
      <c r="AE23" s="4"/>
      <c r="AF23" s="341"/>
    </row>
    <row r="24" spans="1:32" ht="31.5" customHeight="1">
      <c r="A24" s="902" t="s">
        <v>380</v>
      </c>
      <c r="B24" s="903"/>
      <c r="C24" s="192">
        <v>10423312</v>
      </c>
      <c r="D24" s="191">
        <f>8615673-22323</f>
        <v>8593350</v>
      </c>
      <c r="E24" s="191">
        <v>1744323</v>
      </c>
      <c r="F24" s="191">
        <v>0</v>
      </c>
      <c r="G24" s="191"/>
      <c r="H24" s="191">
        <f>-RESERVA!N16</f>
        <v>-1722000</v>
      </c>
      <c r="I24" s="191">
        <f>+RESERVA!P16</f>
        <v>0</v>
      </c>
      <c r="J24" s="191"/>
      <c r="K24" s="191"/>
      <c r="L24" s="191"/>
      <c r="M24" s="191"/>
      <c r="N24" s="191"/>
      <c r="O24" s="191">
        <f>SUM(C24:N24)</f>
        <v>19038985</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904" t="s">
        <v>381</v>
      </c>
      <c r="B25" s="905"/>
      <c r="C25" s="193">
        <f>+RESERVA!E16</f>
        <v>10423312</v>
      </c>
      <c r="D25" s="194">
        <f>+RESERVA!G16</f>
        <v>0</v>
      </c>
      <c r="E25" s="194">
        <f>+RESERVA!I16</f>
        <v>0</v>
      </c>
      <c r="F25" s="194">
        <v>0</v>
      </c>
      <c r="G25" s="194">
        <f>+RESERVA!M16</f>
        <v>6489000</v>
      </c>
      <c r="H25" s="194">
        <f>+RESERVA!O16</f>
        <v>0</v>
      </c>
      <c r="I25" s="194">
        <f>+RESERVA!Q16</f>
        <v>0</v>
      </c>
      <c r="J25" s="194"/>
      <c r="K25" s="194"/>
      <c r="L25" s="194"/>
      <c r="M25" s="194"/>
      <c r="N25" s="194"/>
      <c r="O25" s="194">
        <f>SUM(C25:N25)</f>
        <v>16912312</v>
      </c>
      <c r="P25" s="455">
        <f>+O25/O24</f>
        <v>0.888299034848759</v>
      </c>
      <c r="Q25" s="193">
        <f>+VIGENCIA!E18</f>
        <v>0</v>
      </c>
      <c r="R25" s="345">
        <f>+VIGENCIA!G18</f>
        <v>24978180</v>
      </c>
      <c r="S25" s="345">
        <f>+VIGENCIA!I18</f>
        <v>60172312</v>
      </c>
      <c r="T25" s="194">
        <f>+VIGENCIA!K18</f>
        <v>65752312</v>
      </c>
      <c r="U25" s="194">
        <f>+VIGENCIA!M18</f>
        <v>70632312</v>
      </c>
      <c r="V25" s="345">
        <f>+VIGENCIA!O18</f>
        <v>67789000</v>
      </c>
      <c r="W25" s="194">
        <f>+VIGENCIA!Q18</f>
        <v>67789000</v>
      </c>
      <c r="X25" s="194"/>
      <c r="Y25" s="194"/>
      <c r="Z25" s="194"/>
      <c r="AA25" s="194"/>
      <c r="AB25" s="345"/>
      <c r="AC25" s="194">
        <f>SUM(Q25:AB25)</f>
        <v>357113116</v>
      </c>
      <c r="AD25" s="201">
        <f>+AC25/AC24</f>
        <v>0.3808052716476844</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6" t="s">
        <v>76</v>
      </c>
      <c r="B27" s="907"/>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9"/>
    </row>
    <row r="28" spans="1:30" ht="15" customHeight="1">
      <c r="A28" s="910" t="s">
        <v>189</v>
      </c>
      <c r="B28" s="912" t="s">
        <v>6</v>
      </c>
      <c r="C28" s="913"/>
      <c r="D28" s="903" t="s">
        <v>398</v>
      </c>
      <c r="E28" s="916"/>
      <c r="F28" s="916"/>
      <c r="G28" s="916"/>
      <c r="H28" s="916"/>
      <c r="I28" s="916"/>
      <c r="J28" s="916"/>
      <c r="K28" s="916"/>
      <c r="L28" s="916"/>
      <c r="M28" s="916"/>
      <c r="N28" s="916"/>
      <c r="O28" s="917"/>
      <c r="P28" s="918" t="s">
        <v>8</v>
      </c>
      <c r="Q28" s="918" t="s">
        <v>84</v>
      </c>
      <c r="R28" s="918"/>
      <c r="S28" s="918"/>
      <c r="T28" s="918"/>
      <c r="U28" s="918"/>
      <c r="V28" s="918"/>
      <c r="W28" s="918"/>
      <c r="X28" s="918"/>
      <c r="Y28" s="918"/>
      <c r="Z28" s="918"/>
      <c r="AA28" s="918"/>
      <c r="AB28" s="918"/>
      <c r="AC28" s="918"/>
      <c r="AD28" s="919"/>
    </row>
    <row r="29" spans="1:30" ht="27" customHeight="1">
      <c r="A29" s="911"/>
      <c r="B29" s="914"/>
      <c r="C29" s="915"/>
      <c r="D29" s="281" t="s">
        <v>39</v>
      </c>
      <c r="E29" s="281" t="s">
        <v>40</v>
      </c>
      <c r="F29" s="281" t="s">
        <v>41</v>
      </c>
      <c r="G29" s="281" t="s">
        <v>42</v>
      </c>
      <c r="H29" s="281" t="s">
        <v>43</v>
      </c>
      <c r="I29" s="281" t="s">
        <v>44</v>
      </c>
      <c r="J29" s="281" t="s">
        <v>45</v>
      </c>
      <c r="K29" s="281" t="s">
        <v>46</v>
      </c>
      <c r="L29" s="281" t="s">
        <v>47</v>
      </c>
      <c r="M29" s="281" t="s">
        <v>48</v>
      </c>
      <c r="N29" s="281" t="s">
        <v>49</v>
      </c>
      <c r="O29" s="281" t="s">
        <v>50</v>
      </c>
      <c r="P29" s="917"/>
      <c r="Q29" s="918"/>
      <c r="R29" s="918"/>
      <c r="S29" s="918"/>
      <c r="T29" s="918"/>
      <c r="U29" s="918"/>
      <c r="V29" s="918"/>
      <c r="W29" s="918"/>
      <c r="X29" s="918"/>
      <c r="Y29" s="918"/>
      <c r="Z29" s="918"/>
      <c r="AA29" s="918"/>
      <c r="AB29" s="918"/>
      <c r="AC29" s="918"/>
      <c r="AD29" s="919"/>
    </row>
    <row r="30" spans="1:30" ht="61.5" customHeight="1" thickBot="1">
      <c r="A30" s="330" t="str">
        <f>C17</f>
        <v>Ejecutar al 90% la implementación de la Política de Gestión Documental institucional</v>
      </c>
      <c r="B30" s="920" t="s">
        <v>450</v>
      </c>
      <c r="C30" s="921"/>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22"/>
      <c r="R30" s="922"/>
      <c r="S30" s="922"/>
      <c r="T30" s="922"/>
      <c r="U30" s="922"/>
      <c r="V30" s="922"/>
      <c r="W30" s="922"/>
      <c r="X30" s="922"/>
      <c r="Y30" s="922"/>
      <c r="Z30" s="922"/>
      <c r="AA30" s="922"/>
      <c r="AB30" s="922"/>
      <c r="AC30" s="922"/>
      <c r="AD30" s="923"/>
    </row>
    <row r="31" spans="1:30" ht="45" customHeight="1">
      <c r="A31" s="858" t="s">
        <v>292</v>
      </c>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60"/>
    </row>
    <row r="32" spans="1:41" ht="22.5" customHeight="1">
      <c r="A32" s="902" t="s">
        <v>190</v>
      </c>
      <c r="B32" s="918" t="s">
        <v>62</v>
      </c>
      <c r="C32" s="918" t="s">
        <v>6</v>
      </c>
      <c r="D32" s="918" t="s">
        <v>60</v>
      </c>
      <c r="E32" s="918"/>
      <c r="F32" s="918"/>
      <c r="G32" s="918"/>
      <c r="H32" s="918"/>
      <c r="I32" s="918"/>
      <c r="J32" s="918"/>
      <c r="K32" s="918"/>
      <c r="L32" s="918"/>
      <c r="M32" s="918"/>
      <c r="N32" s="918"/>
      <c r="O32" s="918"/>
      <c r="P32" s="918"/>
      <c r="Q32" s="918" t="s">
        <v>85</v>
      </c>
      <c r="R32" s="918"/>
      <c r="S32" s="918"/>
      <c r="T32" s="918"/>
      <c r="U32" s="918"/>
      <c r="V32" s="918"/>
      <c r="W32" s="918"/>
      <c r="X32" s="918"/>
      <c r="Y32" s="918"/>
      <c r="Z32" s="918"/>
      <c r="AA32" s="918"/>
      <c r="AB32" s="918"/>
      <c r="AC32" s="918"/>
      <c r="AD32" s="919"/>
      <c r="AH32" s="90"/>
      <c r="AI32" s="90"/>
      <c r="AJ32" s="90"/>
      <c r="AK32" s="90"/>
      <c r="AL32" s="90"/>
      <c r="AM32" s="90"/>
      <c r="AN32" s="90"/>
      <c r="AO32" s="90"/>
    </row>
    <row r="33" spans="1:41" ht="35.25" customHeight="1">
      <c r="A33" s="902"/>
      <c r="B33" s="918"/>
      <c r="C33" s="924"/>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03" t="s">
        <v>80</v>
      </c>
      <c r="R33" s="916"/>
      <c r="S33" s="917"/>
      <c r="T33" s="918" t="s">
        <v>406</v>
      </c>
      <c r="U33" s="918"/>
      <c r="V33" s="918"/>
      <c r="W33" s="914" t="s">
        <v>81</v>
      </c>
      <c r="X33" s="925"/>
      <c r="Y33" s="925"/>
      <c r="Z33" s="915"/>
      <c r="AA33" s="914" t="s">
        <v>82</v>
      </c>
      <c r="AB33" s="925"/>
      <c r="AC33" s="925"/>
      <c r="AD33" s="926"/>
      <c r="AH33" s="90"/>
      <c r="AI33" s="90"/>
      <c r="AJ33" s="90"/>
      <c r="AK33" s="90"/>
      <c r="AL33" s="90"/>
      <c r="AM33" s="90"/>
      <c r="AN33" s="90"/>
      <c r="AO33" s="90"/>
    </row>
    <row r="34" spans="1:41" ht="271.5" customHeight="1">
      <c r="A34" s="927" t="str">
        <f>A30</f>
        <v>Ejecutar al 90% la implementación de la Política de Gestión Documental institucional</v>
      </c>
      <c r="B34" s="982">
        <f>+AC17</f>
        <v>0.08090862027924733</v>
      </c>
      <c r="C34" s="284" t="s">
        <v>9</v>
      </c>
      <c r="D34" s="177">
        <v>0.6</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(((L38*($B$38/$B$34))+(L40*($B$40/$B$34))+(L42*($B$42/$B$34))+(L44*($B$44/$B$34))+(L46*($B$46/$B$34))))*($P$34-$D$34)</f>
        <v>0.0275</v>
      </c>
      <c r="M34" s="177">
        <f t="shared" si="0"/>
        <v>0.025</v>
      </c>
      <c r="N34" s="177">
        <f t="shared" si="0"/>
        <v>0.022500000000000003</v>
      </c>
      <c r="O34" s="177">
        <f t="shared" si="0"/>
        <v>0.0125</v>
      </c>
      <c r="P34" s="177">
        <v>0.85</v>
      </c>
      <c r="Q34" s="1045" t="s">
        <v>873</v>
      </c>
      <c r="R34" s="1040"/>
      <c r="S34" s="1046"/>
      <c r="T34" s="1049" t="s">
        <v>874</v>
      </c>
      <c r="U34" s="1050"/>
      <c r="V34" s="1051"/>
      <c r="W34" s="1033" t="s">
        <v>875</v>
      </c>
      <c r="X34" s="1034"/>
      <c r="Y34" s="1034"/>
      <c r="Z34" s="1035"/>
      <c r="AA34" s="1039" t="s">
        <v>876</v>
      </c>
      <c r="AB34" s="1040"/>
      <c r="AC34" s="1040"/>
      <c r="AD34" s="1041"/>
      <c r="AE34" s="346"/>
      <c r="AH34" s="90"/>
      <c r="AI34" s="90"/>
      <c r="AJ34" s="90"/>
      <c r="AK34" s="90"/>
      <c r="AL34" s="90"/>
      <c r="AM34" s="90"/>
      <c r="AN34" s="90"/>
      <c r="AO34" s="90"/>
    </row>
    <row r="35" spans="1:41" ht="271.5" customHeight="1" thickBot="1">
      <c r="A35" s="928"/>
      <c r="B35" s="983"/>
      <c r="C35" s="285" t="s">
        <v>10</v>
      </c>
      <c r="D35" s="347">
        <v>0.6</v>
      </c>
      <c r="E35" s="347">
        <f>(((E39*($B$38/$B$34))+(E41*($B$40/$B$34))+(E43*($B$42/$B$34))+(E45*($B$44/$B$34))+(E47*($B$46/$B$34))))*($P$34-$D$35)</f>
        <v>0.0125</v>
      </c>
      <c r="F35" s="347">
        <f>(((F39*($B$38/$B$34))+(F41*($B$40/$B$34))+(F43*($B$42/$B$34))+(F45*($B$44/$B$34))+(F47*($B$46/$B$34))))*($P$34-$D$35)</f>
        <v>0.0205</v>
      </c>
      <c r="G35" s="347">
        <f>(((G39*($B$38/$B$34))+(G41*($B$40/$B$34))+(G43*($B$42/$B$34))+(G45*($B$44/$B$34))+(G47*($B$46/$B$34))))*($P$34-$D$35)</f>
        <v>0.025</v>
      </c>
      <c r="H35" s="347">
        <f>(((H39*($B$38/$B$34))+(H41*($B$40/$B$34))+(H43*($B$42/$B$34))+(H45*($B$44/$B$34))+(H47*($B$46/$B$34))))*($P$34-$D$35)</f>
        <v>0.029500000000000002</v>
      </c>
      <c r="I35" s="347">
        <f>(((I39*($B$38/$B$34))+(I41*($B$40/$B$34))+(I43*($B$42/$B$34))+(I45*($B$44/$B$34))+(I47*($B$46/$B$34))))*($P$34-$D$35)</f>
        <v>0.025</v>
      </c>
      <c r="J35" s="347">
        <f>(((J39*($B$38/$B$34))+(J41*($B$40/$B$34))+(J43*($B$42/$B$34))+(J45*($B$44/$B$34))+(J47*($B$46/$B$34))))*($P$34-$D$35)</f>
        <v>0.025</v>
      </c>
      <c r="K35" s="347"/>
      <c r="L35" s="347"/>
      <c r="M35" s="347"/>
      <c r="N35" s="347"/>
      <c r="O35" s="347"/>
      <c r="P35" s="178">
        <f>SUM(D35:O35)</f>
        <v>0.7374999999999999</v>
      </c>
      <c r="Q35" s="1047"/>
      <c r="R35" s="1043"/>
      <c r="S35" s="1048"/>
      <c r="T35" s="1052"/>
      <c r="U35" s="1053"/>
      <c r="V35" s="1054"/>
      <c r="W35" s="1036"/>
      <c r="X35" s="1037"/>
      <c r="Y35" s="1037"/>
      <c r="Z35" s="1038"/>
      <c r="AA35" s="1042"/>
      <c r="AB35" s="1043"/>
      <c r="AC35" s="1043"/>
      <c r="AD35" s="1044"/>
      <c r="AE35" s="348"/>
      <c r="AF35" s="343"/>
      <c r="AH35" s="90"/>
      <c r="AI35" s="90"/>
      <c r="AJ35" s="90"/>
      <c r="AK35" s="90"/>
      <c r="AL35" s="90"/>
      <c r="AM35" s="90"/>
      <c r="AN35" s="90"/>
      <c r="AO35" s="90"/>
    </row>
    <row r="36" spans="1:41" ht="25.5" customHeight="1">
      <c r="A36" s="900" t="s">
        <v>191</v>
      </c>
      <c r="B36" s="945" t="s">
        <v>61</v>
      </c>
      <c r="C36" s="947" t="s">
        <v>11</v>
      </c>
      <c r="D36" s="947"/>
      <c r="E36" s="947"/>
      <c r="F36" s="947"/>
      <c r="G36" s="947"/>
      <c r="H36" s="947"/>
      <c r="I36" s="947"/>
      <c r="J36" s="947"/>
      <c r="K36" s="947"/>
      <c r="L36" s="947"/>
      <c r="M36" s="947"/>
      <c r="N36" s="947"/>
      <c r="O36" s="947"/>
      <c r="P36" s="947"/>
      <c r="Q36" s="901" t="s">
        <v>78</v>
      </c>
      <c r="R36" s="948"/>
      <c r="S36" s="948"/>
      <c r="T36" s="948"/>
      <c r="U36" s="948"/>
      <c r="V36" s="948"/>
      <c r="W36" s="948"/>
      <c r="X36" s="948"/>
      <c r="Y36" s="948"/>
      <c r="Z36" s="948"/>
      <c r="AA36" s="948"/>
      <c r="AB36" s="948"/>
      <c r="AC36" s="948"/>
      <c r="AD36" s="949"/>
      <c r="AH36" s="90"/>
      <c r="AI36" s="90"/>
      <c r="AJ36" s="90"/>
      <c r="AK36" s="90"/>
      <c r="AL36" s="90"/>
      <c r="AM36" s="90"/>
      <c r="AN36" s="90"/>
      <c r="AO36" s="90"/>
    </row>
    <row r="37" spans="1:41" ht="25.5" customHeight="1">
      <c r="A37" s="902"/>
      <c r="B37" s="946"/>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03" t="s">
        <v>83</v>
      </c>
      <c r="R37" s="916"/>
      <c r="S37" s="916"/>
      <c r="T37" s="916"/>
      <c r="U37" s="916"/>
      <c r="V37" s="916"/>
      <c r="W37" s="916"/>
      <c r="X37" s="916"/>
      <c r="Y37" s="916"/>
      <c r="Z37" s="916"/>
      <c r="AA37" s="916"/>
      <c r="AB37" s="916"/>
      <c r="AC37" s="916"/>
      <c r="AD37" s="950"/>
      <c r="AG37" s="349"/>
      <c r="AH37" s="98"/>
      <c r="AI37" s="98"/>
      <c r="AJ37" s="98"/>
      <c r="AK37" s="98"/>
      <c r="AL37" s="98"/>
      <c r="AM37" s="98"/>
      <c r="AN37" s="98"/>
      <c r="AO37" s="98"/>
    </row>
    <row r="38" spans="1:41" ht="48" customHeight="1">
      <c r="A38" s="1002" t="s">
        <v>646</v>
      </c>
      <c r="B38" s="1055">
        <f>+$B$34/5</f>
        <v>0.016181724055849465</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1" ref="P38:P47">SUM(D38:O38)</f>
        <v>0.9999999999999999</v>
      </c>
      <c r="Q38" s="1057" t="s">
        <v>868</v>
      </c>
      <c r="R38" s="1058"/>
      <c r="S38" s="1058"/>
      <c r="T38" s="1058"/>
      <c r="U38" s="1058"/>
      <c r="V38" s="1058"/>
      <c r="W38" s="1058"/>
      <c r="X38" s="1058"/>
      <c r="Y38" s="1058"/>
      <c r="Z38" s="1058"/>
      <c r="AA38" s="1058"/>
      <c r="AB38" s="1058"/>
      <c r="AC38" s="1058"/>
      <c r="AD38" s="1059"/>
      <c r="AE38" s="287"/>
      <c r="AG38" s="349"/>
      <c r="AH38" s="102"/>
      <c r="AI38" s="102"/>
      <c r="AJ38" s="102"/>
      <c r="AK38" s="102"/>
      <c r="AL38" s="102"/>
      <c r="AM38" s="102"/>
      <c r="AN38" s="102"/>
      <c r="AO38" s="102"/>
    </row>
    <row r="39" spans="1:31" ht="48" customHeight="1">
      <c r="A39" s="1003"/>
      <c r="B39" s="1056"/>
      <c r="C39" s="288" t="s">
        <v>10</v>
      </c>
      <c r="D39" s="104">
        <v>0</v>
      </c>
      <c r="E39" s="104">
        <v>0.05</v>
      </c>
      <c r="F39" s="104">
        <v>0.01</v>
      </c>
      <c r="G39" s="104">
        <v>0.1</v>
      </c>
      <c r="H39" s="104">
        <v>0.19</v>
      </c>
      <c r="I39" s="104">
        <v>0.1</v>
      </c>
      <c r="J39" s="104">
        <v>0.1</v>
      </c>
      <c r="K39" s="104"/>
      <c r="L39" s="104"/>
      <c r="M39" s="104"/>
      <c r="N39" s="104"/>
      <c r="O39" s="104"/>
      <c r="P39" s="289">
        <f t="shared" si="1"/>
        <v>0.5499999999999999</v>
      </c>
      <c r="Q39" s="1060"/>
      <c r="R39" s="1061"/>
      <c r="S39" s="1061"/>
      <c r="T39" s="1061"/>
      <c r="U39" s="1061"/>
      <c r="V39" s="1061"/>
      <c r="W39" s="1061"/>
      <c r="X39" s="1061"/>
      <c r="Y39" s="1061"/>
      <c r="Z39" s="1061"/>
      <c r="AA39" s="1061"/>
      <c r="AB39" s="1061"/>
      <c r="AC39" s="1061"/>
      <c r="AD39" s="1062"/>
      <c r="AE39" s="287"/>
    </row>
    <row r="40" spans="1:31" ht="48" customHeight="1">
      <c r="A40" s="1003" t="s">
        <v>634</v>
      </c>
      <c r="B40" s="1055">
        <f>+$B$34/5</f>
        <v>0.016181724055849465</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1"/>
        <v>1</v>
      </c>
      <c r="Q40" s="1057" t="s">
        <v>869</v>
      </c>
      <c r="R40" s="1058"/>
      <c r="S40" s="1058"/>
      <c r="T40" s="1058"/>
      <c r="U40" s="1058"/>
      <c r="V40" s="1058"/>
      <c r="W40" s="1058"/>
      <c r="X40" s="1058"/>
      <c r="Y40" s="1058"/>
      <c r="Z40" s="1058"/>
      <c r="AA40" s="1058"/>
      <c r="AB40" s="1058"/>
      <c r="AC40" s="1058"/>
      <c r="AD40" s="1059"/>
      <c r="AE40" s="287"/>
    </row>
    <row r="41" spans="1:31" ht="48" customHeight="1">
      <c r="A41" s="1003"/>
      <c r="B41" s="1056"/>
      <c r="C41" s="288" t="s">
        <v>10</v>
      </c>
      <c r="D41" s="104">
        <v>0</v>
      </c>
      <c r="E41" s="104">
        <v>0.05</v>
      </c>
      <c r="F41" s="104">
        <v>0.1</v>
      </c>
      <c r="G41" s="104">
        <v>0.1</v>
      </c>
      <c r="H41" s="104">
        <v>0.1</v>
      </c>
      <c r="I41" s="104">
        <v>0.1</v>
      </c>
      <c r="J41" s="104">
        <v>0.1</v>
      </c>
      <c r="K41" s="104"/>
      <c r="L41" s="104"/>
      <c r="M41" s="108"/>
      <c r="N41" s="108"/>
      <c r="O41" s="108"/>
      <c r="P41" s="289">
        <f t="shared" si="1"/>
        <v>0.5499999999999999</v>
      </c>
      <c r="Q41" s="1060"/>
      <c r="R41" s="1061"/>
      <c r="S41" s="1061"/>
      <c r="T41" s="1061"/>
      <c r="U41" s="1061"/>
      <c r="V41" s="1061"/>
      <c r="W41" s="1061"/>
      <c r="X41" s="1061"/>
      <c r="Y41" s="1061"/>
      <c r="Z41" s="1061"/>
      <c r="AA41" s="1061"/>
      <c r="AB41" s="1061"/>
      <c r="AC41" s="1061"/>
      <c r="AD41" s="1062"/>
      <c r="AE41" s="287"/>
    </row>
    <row r="42" spans="1:31" ht="48" customHeight="1">
      <c r="A42" s="1016" t="s">
        <v>635</v>
      </c>
      <c r="B42" s="1055">
        <f>+$B$34/5</f>
        <v>0.016181724055849465</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057" t="s">
        <v>870</v>
      </c>
      <c r="R42" s="1058"/>
      <c r="S42" s="1058"/>
      <c r="T42" s="1058"/>
      <c r="U42" s="1058"/>
      <c r="V42" s="1058"/>
      <c r="W42" s="1058"/>
      <c r="X42" s="1058"/>
      <c r="Y42" s="1058"/>
      <c r="Z42" s="1058"/>
      <c r="AA42" s="1058"/>
      <c r="AB42" s="1058"/>
      <c r="AC42" s="1058"/>
      <c r="AD42" s="1059"/>
      <c r="AE42" s="287"/>
    </row>
    <row r="43" spans="1:31" ht="48" customHeight="1">
      <c r="A43" s="1002"/>
      <c r="B43" s="1056"/>
      <c r="C43" s="288" t="s">
        <v>10</v>
      </c>
      <c r="D43" s="104">
        <v>0</v>
      </c>
      <c r="E43" s="104">
        <v>0.05</v>
      </c>
      <c r="F43" s="104">
        <v>0.1</v>
      </c>
      <c r="G43" s="104">
        <v>0.1</v>
      </c>
      <c r="H43" s="104">
        <v>0.1</v>
      </c>
      <c r="I43" s="104">
        <v>0.1</v>
      </c>
      <c r="J43" s="104">
        <v>0.1</v>
      </c>
      <c r="K43" s="104"/>
      <c r="L43" s="104"/>
      <c r="M43" s="108"/>
      <c r="N43" s="108"/>
      <c r="O43" s="108"/>
      <c r="P43" s="289">
        <f>SUM(D43:O43)</f>
        <v>0.5499999999999999</v>
      </c>
      <c r="Q43" s="1060"/>
      <c r="R43" s="1061"/>
      <c r="S43" s="1061"/>
      <c r="T43" s="1061"/>
      <c r="U43" s="1061"/>
      <c r="V43" s="1061"/>
      <c r="W43" s="1061"/>
      <c r="X43" s="1061"/>
      <c r="Y43" s="1061"/>
      <c r="Z43" s="1061"/>
      <c r="AA43" s="1061"/>
      <c r="AB43" s="1061"/>
      <c r="AC43" s="1061"/>
      <c r="AD43" s="1062"/>
      <c r="AE43" s="287"/>
    </row>
    <row r="44" spans="1:31" ht="48" customHeight="1">
      <c r="A44" s="1016" t="s">
        <v>636</v>
      </c>
      <c r="B44" s="1055">
        <f>+$B$34/5</f>
        <v>0.016181724055849465</v>
      </c>
      <c r="C44" s="290" t="s">
        <v>9</v>
      </c>
      <c r="D44" s="357">
        <v>0</v>
      </c>
      <c r="E44" s="357">
        <v>0.05</v>
      </c>
      <c r="F44" s="357">
        <v>0.1</v>
      </c>
      <c r="G44" s="357">
        <v>0.1</v>
      </c>
      <c r="H44" s="357">
        <v>0.1</v>
      </c>
      <c r="I44" s="357">
        <v>0.1</v>
      </c>
      <c r="J44" s="357">
        <v>0.1</v>
      </c>
      <c r="K44" s="357">
        <v>0.1</v>
      </c>
      <c r="L44" s="357">
        <v>0.1</v>
      </c>
      <c r="M44" s="357">
        <v>0.1</v>
      </c>
      <c r="N44" s="357">
        <v>0.1</v>
      </c>
      <c r="O44" s="357">
        <v>0.05</v>
      </c>
      <c r="P44" s="289">
        <f t="shared" si="1"/>
        <v>0.9999999999999999</v>
      </c>
      <c r="Q44" s="1057" t="s">
        <v>871</v>
      </c>
      <c r="R44" s="1058"/>
      <c r="S44" s="1058"/>
      <c r="T44" s="1058"/>
      <c r="U44" s="1058"/>
      <c r="V44" s="1058"/>
      <c r="W44" s="1058"/>
      <c r="X44" s="1058"/>
      <c r="Y44" s="1058"/>
      <c r="Z44" s="1058"/>
      <c r="AA44" s="1058"/>
      <c r="AB44" s="1058"/>
      <c r="AC44" s="1058"/>
      <c r="AD44" s="1059"/>
      <c r="AE44" s="287"/>
    </row>
    <row r="45" spans="1:31" ht="48" customHeight="1">
      <c r="A45" s="1063"/>
      <c r="B45" s="1056"/>
      <c r="C45" s="288" t="s">
        <v>10</v>
      </c>
      <c r="D45" s="104">
        <v>0</v>
      </c>
      <c r="E45" s="104">
        <v>0.05</v>
      </c>
      <c r="F45" s="104">
        <v>0.1</v>
      </c>
      <c r="G45" s="104">
        <v>0.1</v>
      </c>
      <c r="H45" s="104">
        <v>0.1</v>
      </c>
      <c r="I45" s="104">
        <v>0.1</v>
      </c>
      <c r="J45" s="104">
        <v>0.1</v>
      </c>
      <c r="K45" s="104"/>
      <c r="L45" s="104"/>
      <c r="M45" s="108"/>
      <c r="N45" s="108"/>
      <c r="O45" s="104"/>
      <c r="P45" s="289">
        <f t="shared" si="1"/>
        <v>0.5499999999999999</v>
      </c>
      <c r="Q45" s="1162"/>
      <c r="R45" s="1163"/>
      <c r="S45" s="1163"/>
      <c r="T45" s="1163"/>
      <c r="U45" s="1163"/>
      <c r="V45" s="1163"/>
      <c r="W45" s="1163"/>
      <c r="X45" s="1163"/>
      <c r="Y45" s="1163"/>
      <c r="Z45" s="1163"/>
      <c r="AA45" s="1163"/>
      <c r="AB45" s="1163"/>
      <c r="AC45" s="1163"/>
      <c r="AD45" s="1164"/>
      <c r="AE45" s="287"/>
    </row>
    <row r="46" spans="1:31" ht="48" customHeight="1">
      <c r="A46" s="1064" t="s">
        <v>637</v>
      </c>
      <c r="B46" s="1066">
        <f>+$B$34/5</f>
        <v>0.016181724055849465</v>
      </c>
      <c r="C46" s="290" t="s">
        <v>9</v>
      </c>
      <c r="D46" s="357">
        <v>0</v>
      </c>
      <c r="E46" s="357">
        <v>0.05</v>
      </c>
      <c r="F46" s="357">
        <v>0.1</v>
      </c>
      <c r="G46" s="357">
        <v>0.1</v>
      </c>
      <c r="H46" s="357">
        <v>0.1</v>
      </c>
      <c r="I46" s="357">
        <v>0.1</v>
      </c>
      <c r="J46" s="357">
        <v>0.1</v>
      </c>
      <c r="K46" s="357">
        <v>0.1</v>
      </c>
      <c r="L46" s="357">
        <v>0.1</v>
      </c>
      <c r="M46" s="357">
        <v>0.1</v>
      </c>
      <c r="N46" s="357">
        <v>0.1</v>
      </c>
      <c r="O46" s="357">
        <v>0.05</v>
      </c>
      <c r="P46" s="289">
        <f t="shared" si="1"/>
        <v>0.9999999999999999</v>
      </c>
      <c r="Q46" s="1057" t="s">
        <v>872</v>
      </c>
      <c r="R46" s="1058"/>
      <c r="S46" s="1058"/>
      <c r="T46" s="1058"/>
      <c r="U46" s="1058"/>
      <c r="V46" s="1058"/>
      <c r="W46" s="1058"/>
      <c r="X46" s="1058"/>
      <c r="Y46" s="1058"/>
      <c r="Z46" s="1058"/>
      <c r="AA46" s="1058"/>
      <c r="AB46" s="1058"/>
      <c r="AC46" s="1058"/>
      <c r="AD46" s="1059"/>
      <c r="AE46" s="287"/>
    </row>
    <row r="47" spans="1:31" ht="48" customHeight="1" thickBot="1">
      <c r="A47" s="1065"/>
      <c r="B47" s="1067"/>
      <c r="C47" s="285" t="s">
        <v>10</v>
      </c>
      <c r="D47" s="110">
        <v>0</v>
      </c>
      <c r="E47" s="110">
        <v>0.05</v>
      </c>
      <c r="F47" s="110">
        <v>0.1</v>
      </c>
      <c r="G47" s="110">
        <v>0.1</v>
      </c>
      <c r="H47" s="110">
        <v>0.1</v>
      </c>
      <c r="I47" s="110">
        <v>0.1</v>
      </c>
      <c r="J47" s="110">
        <v>0.1</v>
      </c>
      <c r="K47" s="110"/>
      <c r="L47" s="110"/>
      <c r="M47" s="111"/>
      <c r="N47" s="111"/>
      <c r="O47" s="111"/>
      <c r="P47" s="291">
        <f t="shared" si="1"/>
        <v>0.5499999999999999</v>
      </c>
      <c r="Q47" s="1068"/>
      <c r="R47" s="1069"/>
      <c r="S47" s="1069"/>
      <c r="T47" s="1069"/>
      <c r="U47" s="1069"/>
      <c r="V47" s="1069"/>
      <c r="W47" s="1069"/>
      <c r="X47" s="1069"/>
      <c r="Y47" s="1069"/>
      <c r="Z47" s="1069"/>
      <c r="AA47" s="1069"/>
      <c r="AB47" s="1069"/>
      <c r="AC47" s="1069"/>
      <c r="AD47" s="1070"/>
      <c r="AE47" s="287"/>
    </row>
    <row r="48" spans="1:33" s="355" customFormat="1" ht="45.75" customHeight="1">
      <c r="A48" s="874" t="s">
        <v>64</v>
      </c>
      <c r="B48" s="875"/>
      <c r="C48" s="350" t="s">
        <v>638</v>
      </c>
      <c r="D48" s="351"/>
      <c r="E48" s="351"/>
      <c r="F48" s="351"/>
      <c r="G48" s="351"/>
      <c r="H48" s="352"/>
      <c r="I48" s="353"/>
      <c r="J48" s="1071" t="s">
        <v>639</v>
      </c>
      <c r="K48" s="1072"/>
      <c r="L48" s="1073"/>
      <c r="M48" s="350" t="s">
        <v>640</v>
      </c>
      <c r="N48" s="351"/>
      <c r="O48" s="351"/>
      <c r="P48" s="351"/>
      <c r="Q48" s="351"/>
      <c r="R48" s="352"/>
      <c r="S48" s="353"/>
      <c r="T48" s="1080" t="s">
        <v>641</v>
      </c>
      <c r="U48" s="1080"/>
      <c r="V48" s="1080"/>
      <c r="W48" s="1080"/>
      <c r="X48" s="350" t="s">
        <v>642</v>
      </c>
      <c r="Y48" s="351"/>
      <c r="Z48" s="351"/>
      <c r="AA48" s="351"/>
      <c r="AB48" s="351"/>
      <c r="AC48" s="352"/>
      <c r="AD48" s="354"/>
      <c r="AF48" s="356"/>
      <c r="AG48" s="356"/>
    </row>
    <row r="49" spans="1:33" s="355" customFormat="1" ht="22.5" customHeight="1">
      <c r="A49" s="877"/>
      <c r="B49" s="878"/>
      <c r="C49" s="1083" t="s">
        <v>643</v>
      </c>
      <c r="D49" s="1084"/>
      <c r="E49" s="1084"/>
      <c r="F49" s="1084"/>
      <c r="G49" s="1084"/>
      <c r="H49" s="1084"/>
      <c r="I49" s="1085"/>
      <c r="J49" s="1074"/>
      <c r="K49" s="1075"/>
      <c r="L49" s="1076"/>
      <c r="M49" s="1083" t="s">
        <v>771</v>
      </c>
      <c r="N49" s="1084"/>
      <c r="O49" s="1084"/>
      <c r="P49" s="1084"/>
      <c r="Q49" s="1084"/>
      <c r="R49" s="1084"/>
      <c r="S49" s="1085"/>
      <c r="T49" s="1081"/>
      <c r="U49" s="1081"/>
      <c r="V49" s="1081"/>
      <c r="W49" s="1081"/>
      <c r="X49" s="1083" t="s">
        <v>771</v>
      </c>
      <c r="Y49" s="1084"/>
      <c r="Z49" s="1084"/>
      <c r="AA49" s="1084"/>
      <c r="AB49" s="1084"/>
      <c r="AC49" s="1084"/>
      <c r="AD49" s="1086"/>
      <c r="AF49" s="356"/>
      <c r="AG49" s="356"/>
    </row>
    <row r="50" spans="1:33" s="355" customFormat="1" ht="22.5" customHeight="1" thickBot="1">
      <c r="A50" s="880"/>
      <c r="B50" s="881"/>
      <c r="C50" s="1087" t="s">
        <v>644</v>
      </c>
      <c r="D50" s="1088"/>
      <c r="E50" s="1088"/>
      <c r="F50" s="1088"/>
      <c r="G50" s="1088"/>
      <c r="H50" s="1088"/>
      <c r="I50" s="1089"/>
      <c r="J50" s="1077"/>
      <c r="K50" s="1078"/>
      <c r="L50" s="1079"/>
      <c r="M50" s="1087" t="s">
        <v>645</v>
      </c>
      <c r="N50" s="1088"/>
      <c r="O50" s="1088"/>
      <c r="P50" s="1088"/>
      <c r="Q50" s="1088"/>
      <c r="R50" s="1088"/>
      <c r="S50" s="1089"/>
      <c r="T50" s="1082"/>
      <c r="U50" s="1082"/>
      <c r="V50" s="1082"/>
      <c r="W50" s="1082"/>
      <c r="X50" s="1087" t="s">
        <v>75</v>
      </c>
      <c r="Y50" s="1088"/>
      <c r="Z50" s="1088"/>
      <c r="AA50" s="1088"/>
      <c r="AB50" s="1088"/>
      <c r="AC50" s="1088"/>
      <c r="AD50" s="1090"/>
      <c r="AF50" s="356"/>
      <c r="AG50" s="356"/>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P13">
      <selection activeCell="AN14" sqref="AN1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38.140625" style="113" customWidth="1"/>
    <col min="49" max="49" width="59.00390625" style="113" customWidth="1"/>
    <col min="50" max="51" width="38.14062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709" t="s">
        <v>423</v>
      </c>
      <c r="AY1" s="710"/>
    </row>
    <row r="2" spans="1:51" ht="15.75" customHeight="1">
      <c r="A2" s="769" t="s">
        <v>17</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1"/>
      <c r="AX2" s="757" t="s">
        <v>418</v>
      </c>
      <c r="AY2" s="758"/>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757" t="s">
        <v>424</v>
      </c>
      <c r="AY3" s="758"/>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780</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787" t="s">
        <v>70</v>
      </c>
      <c r="I6" s="787"/>
      <c r="J6" s="128"/>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792"/>
      <c r="AJ6" s="792"/>
      <c r="AK6" s="792"/>
      <c r="AL6" s="792"/>
      <c r="AM6" s="792"/>
      <c r="AN6" s="792"/>
      <c r="AO6" s="792"/>
      <c r="AP6" s="792"/>
      <c r="AQ6" s="792"/>
      <c r="AR6" s="792"/>
      <c r="AS6" s="792"/>
      <c r="AT6" s="792"/>
      <c r="AU6" s="793"/>
      <c r="AV6" s="786"/>
      <c r="AW6" s="786"/>
      <c r="AX6" s="786"/>
      <c r="AY6" s="786"/>
    </row>
    <row r="7" spans="1:51" ht="15" customHeight="1">
      <c r="A7" s="797"/>
      <c r="B7" s="797"/>
      <c r="C7" s="797"/>
      <c r="D7" s="798"/>
      <c r="E7" s="798"/>
      <c r="F7" s="791"/>
      <c r="G7" s="793"/>
      <c r="H7" s="787" t="s">
        <v>68</v>
      </c>
      <c r="I7" s="787"/>
      <c r="J7" s="128"/>
      <c r="K7" s="791"/>
      <c r="L7" s="792"/>
      <c r="M7" s="792"/>
      <c r="N7" s="792"/>
      <c r="O7" s="792"/>
      <c r="P7" s="792"/>
      <c r="Q7" s="792"/>
      <c r="R7" s="792"/>
      <c r="S7" s="792"/>
      <c r="T7" s="792"/>
      <c r="U7" s="792"/>
      <c r="V7" s="116"/>
      <c r="W7" s="116"/>
      <c r="X7" s="116"/>
      <c r="Y7" s="116"/>
      <c r="Z7" s="116"/>
      <c r="AA7" s="116"/>
      <c r="AB7" s="116"/>
      <c r="AC7" s="116"/>
      <c r="AD7" s="116"/>
      <c r="AE7" s="116"/>
      <c r="AF7" s="116"/>
      <c r="AG7" s="117"/>
      <c r="AH7" s="791"/>
      <c r="AI7" s="792"/>
      <c r="AJ7" s="792"/>
      <c r="AK7" s="792"/>
      <c r="AL7" s="792"/>
      <c r="AM7" s="792"/>
      <c r="AN7" s="792"/>
      <c r="AO7" s="792"/>
      <c r="AP7" s="792"/>
      <c r="AQ7" s="792"/>
      <c r="AR7" s="792"/>
      <c r="AS7" s="792"/>
      <c r="AT7" s="792"/>
      <c r="AU7" s="793"/>
      <c r="AV7" s="786"/>
      <c r="AW7" s="786"/>
      <c r="AX7" s="786"/>
      <c r="AY7" s="786"/>
    </row>
    <row r="8" spans="1:51" ht="15" customHeight="1">
      <c r="A8" s="797"/>
      <c r="B8" s="797"/>
      <c r="C8" s="797"/>
      <c r="D8" s="798"/>
      <c r="E8" s="798"/>
      <c r="F8" s="794"/>
      <c r="G8" s="796"/>
      <c r="H8" s="787" t="s">
        <v>69</v>
      </c>
      <c r="I8" s="787"/>
      <c r="J8" s="128"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792"/>
      <c r="AJ8" s="792"/>
      <c r="AK8" s="792"/>
      <c r="AL8" s="792"/>
      <c r="AM8" s="792"/>
      <c r="AN8" s="792"/>
      <c r="AO8" s="792"/>
      <c r="AP8" s="792"/>
      <c r="AQ8" s="792"/>
      <c r="AR8" s="792"/>
      <c r="AS8" s="792"/>
      <c r="AT8" s="79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792"/>
      <c r="AJ9" s="792"/>
      <c r="AK9" s="792"/>
      <c r="AL9" s="792"/>
      <c r="AM9" s="792"/>
      <c r="AN9" s="792"/>
      <c r="AO9" s="792"/>
      <c r="AP9" s="792"/>
      <c r="AQ9" s="792"/>
      <c r="AR9" s="792"/>
      <c r="AS9" s="792"/>
      <c r="AT9" s="79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292" t="s">
        <v>169</v>
      </c>
      <c r="B12" s="292" t="s">
        <v>170</v>
      </c>
      <c r="C12" s="292" t="s">
        <v>171</v>
      </c>
      <c r="D12" s="292" t="s">
        <v>178</v>
      </c>
      <c r="E12" s="292" t="s">
        <v>185</v>
      </c>
      <c r="F12" s="292" t="s">
        <v>186</v>
      </c>
      <c r="G12" s="292" t="s">
        <v>277</v>
      </c>
      <c r="H12" s="292" t="s">
        <v>184</v>
      </c>
      <c r="I12" s="779"/>
      <c r="J12" s="779"/>
      <c r="K12" s="779"/>
      <c r="L12" s="779"/>
      <c r="M12" s="779"/>
      <c r="N12" s="779"/>
      <c r="O12" s="292">
        <v>2020</v>
      </c>
      <c r="P12" s="292">
        <v>2021</v>
      </c>
      <c r="Q12" s="292">
        <v>2022</v>
      </c>
      <c r="R12" s="292">
        <v>2023</v>
      </c>
      <c r="S12" s="292">
        <v>2024</v>
      </c>
      <c r="T12" s="779"/>
      <c r="U12" s="779"/>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9"/>
      <c r="AW12" s="779"/>
      <c r="AX12" s="779"/>
      <c r="AY12" s="779"/>
    </row>
    <row r="13" spans="1:51" ht="392.25" customHeight="1">
      <c r="A13" s="121">
        <v>518</v>
      </c>
      <c r="B13" s="121"/>
      <c r="C13" s="121"/>
      <c r="D13" s="121"/>
      <c r="E13" s="121"/>
      <c r="F13" s="121"/>
      <c r="G13" s="122"/>
      <c r="H13" s="121"/>
      <c r="I13" s="152" t="s">
        <v>647</v>
      </c>
      <c r="J13" s="152" t="s">
        <v>648</v>
      </c>
      <c r="K13" s="396" t="s">
        <v>430</v>
      </c>
      <c r="L13" s="121">
        <v>3</v>
      </c>
      <c r="M13" s="122" t="s">
        <v>649</v>
      </c>
      <c r="N13" s="122" t="s">
        <v>650</v>
      </c>
      <c r="O13" s="238"/>
      <c r="P13" s="238"/>
      <c r="Q13" s="238"/>
      <c r="R13" s="238">
        <v>3</v>
      </c>
      <c r="S13" s="238"/>
      <c r="T13" s="235" t="s">
        <v>433</v>
      </c>
      <c r="U13" s="235" t="s">
        <v>651</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358"/>
      <c r="AC13" s="358"/>
      <c r="AD13" s="359">
        <f>(('[1]Meta 1'!J34+'[1]Meta 1'!K34+'[1]Meta 1'!L34)/'[1]Meta 1'!P34)+(('[1]Meta 2'!J34+'[1]Meta 2'!K34+'[1]Meta 2'!L34)/'[1]Meta 2'!P34)+(('[1]Meta 3'!J34+'[1]Meta 3'!K34+'[1]Meta 3'!L34)/'[1]Meta 3'!P34)</f>
        <v>0.7475</v>
      </c>
      <c r="AE13" s="358"/>
      <c r="AF13" s="358"/>
      <c r="AG13" s="359">
        <f>(('[1]Meta 1'!M34+'[1]Meta 1'!N34+'[1]Meta 1'!O34)/'[1]Meta 1'!P34)+(('[1]Meta 2'!M34+'[1]Meta 2'!N34+'[1]Meta 2'!O34)/'[1]Meta 2'!P34)+(('[1]Meta 3'!M34+'[1]Meta 3'!N34+'[1]Meta 3'!O34)/'[1]Meta 3'!P34)</f>
        <v>0.7316666666666667</v>
      </c>
      <c r="AH13" s="447"/>
      <c r="AI13" s="447"/>
      <c r="AJ13" s="124">
        <v>0.78</v>
      </c>
      <c r="AK13" s="447"/>
      <c r="AL13" s="447"/>
      <c r="AM13" s="124">
        <v>0.74</v>
      </c>
      <c r="AN13" s="124">
        <f>+AD13/3</f>
        <v>0.24916666666666668</v>
      </c>
      <c r="AO13" s="124"/>
      <c r="AP13" s="124"/>
      <c r="AQ13" s="124"/>
      <c r="AR13" s="124"/>
      <c r="AS13" s="124"/>
      <c r="AT13" s="447">
        <f>SUM(AH13:AS13)</f>
        <v>1.7691666666666668</v>
      </c>
      <c r="AU13" s="127">
        <f>+AT13/R13</f>
        <v>0.5897222222222223</v>
      </c>
      <c r="AV13" s="520"/>
      <c r="AW13" s="520"/>
      <c r="AX13" s="421"/>
      <c r="AY13" s="521"/>
    </row>
    <row r="14" spans="1:51" ht="237.75" customHeight="1">
      <c r="A14" s="121"/>
      <c r="B14" s="121"/>
      <c r="C14" s="121"/>
      <c r="D14" s="121"/>
      <c r="E14" s="121" t="s">
        <v>425</v>
      </c>
      <c r="F14" s="121"/>
      <c r="G14" s="122" t="s">
        <v>652</v>
      </c>
      <c r="H14" s="121"/>
      <c r="I14" s="152" t="s">
        <v>653</v>
      </c>
      <c r="J14" s="152" t="s">
        <v>654</v>
      </c>
      <c r="K14" s="122" t="s">
        <v>430</v>
      </c>
      <c r="L14" s="121"/>
      <c r="M14" s="122" t="s">
        <v>437</v>
      </c>
      <c r="N14" s="122" t="s">
        <v>655</v>
      </c>
      <c r="O14" s="238"/>
      <c r="P14" s="238"/>
      <c r="Q14" s="238"/>
      <c r="R14" s="238">
        <v>11</v>
      </c>
      <c r="S14" s="238"/>
      <c r="T14" s="235" t="s">
        <v>439</v>
      </c>
      <c r="U14" s="235" t="s">
        <v>656</v>
      </c>
      <c r="V14" s="358"/>
      <c r="W14" s="358"/>
      <c r="X14" s="361">
        <v>11</v>
      </c>
      <c r="Y14" s="358"/>
      <c r="Z14" s="360"/>
      <c r="AA14" s="359"/>
      <c r="AB14" s="358"/>
      <c r="AC14" s="358"/>
      <c r="AD14" s="359"/>
      <c r="AE14" s="358"/>
      <c r="AF14" s="358"/>
      <c r="AG14" s="359"/>
      <c r="AH14" s="124"/>
      <c r="AI14" s="124"/>
      <c r="AJ14" s="124"/>
      <c r="AK14" s="124"/>
      <c r="AL14" s="124"/>
      <c r="AM14" s="124"/>
      <c r="AN14" s="124"/>
      <c r="AO14" s="124"/>
      <c r="AP14" s="124"/>
      <c r="AQ14" s="124"/>
      <c r="AR14" s="124"/>
      <c r="AS14" s="124"/>
      <c r="AT14" s="124">
        <f>SUM(AH14:AS14)</f>
        <v>0</v>
      </c>
      <c r="AU14" s="127">
        <f>+AT14/R14</f>
        <v>0</v>
      </c>
      <c r="AV14" s="522"/>
      <c r="AW14" s="522"/>
      <c r="AX14" s="453"/>
      <c r="AY14" s="453"/>
    </row>
    <row r="15" spans="1:51" ht="242.25" customHeight="1">
      <c r="A15" s="121"/>
      <c r="B15" s="121"/>
      <c r="C15" s="121"/>
      <c r="D15" s="121"/>
      <c r="E15" s="121" t="s">
        <v>425</v>
      </c>
      <c r="F15" s="121"/>
      <c r="G15" s="122" t="s">
        <v>652</v>
      </c>
      <c r="H15" s="121"/>
      <c r="I15" s="362" t="s">
        <v>657</v>
      </c>
      <c r="J15" s="362" t="s">
        <v>658</v>
      </c>
      <c r="K15" s="363" t="s">
        <v>430</v>
      </c>
      <c r="L15" s="121"/>
      <c r="M15" s="363" t="s">
        <v>437</v>
      </c>
      <c r="N15" s="122" t="s">
        <v>659</v>
      </c>
      <c r="O15" s="238"/>
      <c r="P15" s="238"/>
      <c r="Q15" s="238"/>
      <c r="R15" s="238">
        <v>132</v>
      </c>
      <c r="S15" s="238"/>
      <c r="T15" s="235" t="s">
        <v>460</v>
      </c>
      <c r="U15" s="235" t="s">
        <v>660</v>
      </c>
      <c r="V15" s="424">
        <v>11</v>
      </c>
      <c r="W15" s="424">
        <v>11</v>
      </c>
      <c r="X15" s="424">
        <v>11</v>
      </c>
      <c r="Y15" s="424">
        <v>11</v>
      </c>
      <c r="Z15" s="424">
        <v>11</v>
      </c>
      <c r="AA15" s="424">
        <v>11</v>
      </c>
      <c r="AB15" s="424">
        <v>11</v>
      </c>
      <c r="AC15" s="424">
        <v>11</v>
      </c>
      <c r="AD15" s="424">
        <v>11</v>
      </c>
      <c r="AE15" s="424">
        <v>11</v>
      </c>
      <c r="AF15" s="424">
        <v>11</v>
      </c>
      <c r="AG15" s="424">
        <v>11</v>
      </c>
      <c r="AH15" s="121">
        <v>11</v>
      </c>
      <c r="AI15" s="124">
        <v>11</v>
      </c>
      <c r="AJ15" s="124">
        <v>11</v>
      </c>
      <c r="AK15" s="124">
        <v>11</v>
      </c>
      <c r="AL15" s="124">
        <v>11</v>
      </c>
      <c r="AM15" s="124"/>
      <c r="AN15" s="124"/>
      <c r="AO15" s="124"/>
      <c r="AP15" s="124"/>
      <c r="AQ15" s="124"/>
      <c r="AR15" s="124"/>
      <c r="AS15" s="124"/>
      <c r="AT15" s="124">
        <f>SUM(AH15:AS15)</f>
        <v>55</v>
      </c>
      <c r="AU15" s="127">
        <f>+AT15/R15</f>
        <v>0.4166666666666667</v>
      </c>
      <c r="AV15" s="522"/>
      <c r="AW15" s="522"/>
      <c r="AX15" s="453"/>
      <c r="AY15" s="453"/>
    </row>
    <row r="16" spans="1:51" ht="184.5" customHeight="1">
      <c r="A16" s="121"/>
      <c r="B16" s="121"/>
      <c r="C16" s="121"/>
      <c r="D16" s="121"/>
      <c r="E16" s="121" t="s">
        <v>425</v>
      </c>
      <c r="F16" s="121"/>
      <c r="G16" s="122" t="s">
        <v>652</v>
      </c>
      <c r="H16" s="121"/>
      <c r="I16" s="152" t="s">
        <v>661</v>
      </c>
      <c r="J16" s="152" t="s">
        <v>662</v>
      </c>
      <c r="K16" s="122" t="s">
        <v>430</v>
      </c>
      <c r="L16" s="121"/>
      <c r="M16" s="122" t="s">
        <v>437</v>
      </c>
      <c r="N16" s="122" t="s">
        <v>818</v>
      </c>
      <c r="O16" s="238"/>
      <c r="P16" s="238"/>
      <c r="Q16" s="238"/>
      <c r="R16" s="238">
        <v>2</v>
      </c>
      <c r="S16" s="238"/>
      <c r="T16" s="235" t="s">
        <v>455</v>
      </c>
      <c r="U16" s="235" t="s">
        <v>663</v>
      </c>
      <c r="V16" s="424">
        <v>1</v>
      </c>
      <c r="W16" s="424"/>
      <c r="X16" s="424"/>
      <c r="Y16" s="424"/>
      <c r="Z16" s="424"/>
      <c r="AA16" s="424"/>
      <c r="AB16" s="424">
        <v>1</v>
      </c>
      <c r="AC16" s="425"/>
      <c r="AD16" s="426"/>
      <c r="AE16" s="425"/>
      <c r="AF16" s="425"/>
      <c r="AG16" s="426"/>
      <c r="AH16" s="121">
        <v>1</v>
      </c>
      <c r="AI16" s="124"/>
      <c r="AJ16" s="124"/>
      <c r="AK16" s="124"/>
      <c r="AL16" s="124"/>
      <c r="AM16" s="124"/>
      <c r="AN16" s="124"/>
      <c r="AO16" s="124"/>
      <c r="AP16" s="124"/>
      <c r="AQ16" s="124"/>
      <c r="AR16" s="124"/>
      <c r="AS16" s="124"/>
      <c r="AT16" s="124">
        <f>SUM(AH16:AS16)</f>
        <v>1</v>
      </c>
      <c r="AU16" s="127">
        <f>+AT16/R16</f>
        <v>0.5</v>
      </c>
      <c r="AV16" s="412"/>
      <c r="AW16" s="413"/>
      <c r="AX16" s="417"/>
      <c r="AY16" s="417"/>
    </row>
    <row r="17" spans="1:51" ht="128.25" customHeight="1">
      <c r="A17" s="121"/>
      <c r="B17" s="121"/>
      <c r="C17" s="121"/>
      <c r="D17" s="121"/>
      <c r="E17" s="121" t="s">
        <v>425</v>
      </c>
      <c r="F17" s="121"/>
      <c r="G17" s="122" t="s">
        <v>652</v>
      </c>
      <c r="H17" s="121"/>
      <c r="I17" s="152" t="s">
        <v>664</v>
      </c>
      <c r="J17" s="152" t="s">
        <v>665</v>
      </c>
      <c r="K17" s="122" t="s">
        <v>430</v>
      </c>
      <c r="L17" s="121"/>
      <c r="M17" s="122" t="s">
        <v>437</v>
      </c>
      <c r="N17" s="122" t="s">
        <v>666</v>
      </c>
      <c r="O17" s="238"/>
      <c r="P17" s="238"/>
      <c r="Q17" s="238"/>
      <c r="R17" s="238">
        <v>1</v>
      </c>
      <c r="S17" s="238"/>
      <c r="T17" s="235" t="s">
        <v>439</v>
      </c>
      <c r="U17" s="235" t="s">
        <v>667</v>
      </c>
      <c r="V17" s="358"/>
      <c r="W17" s="358"/>
      <c r="X17" s="359"/>
      <c r="Y17" s="358"/>
      <c r="Z17" s="360"/>
      <c r="AA17" s="359"/>
      <c r="AB17" s="358"/>
      <c r="AC17" s="358"/>
      <c r="AD17" s="361">
        <v>1</v>
      </c>
      <c r="AE17" s="358"/>
      <c r="AF17" s="358"/>
      <c r="AG17" s="359"/>
      <c r="AH17" s="124"/>
      <c r="AI17" s="124"/>
      <c r="AJ17" s="124"/>
      <c r="AK17" s="124"/>
      <c r="AL17" s="124"/>
      <c r="AM17" s="124"/>
      <c r="AN17" s="124"/>
      <c r="AO17" s="124"/>
      <c r="AP17" s="124"/>
      <c r="AQ17" s="124"/>
      <c r="AR17" s="124"/>
      <c r="AS17" s="124"/>
      <c r="AT17" s="124">
        <f>SUM(AH17:AS17)</f>
        <v>0</v>
      </c>
      <c r="AU17" s="127">
        <f>+AT17/R17</f>
        <v>0</v>
      </c>
      <c r="AV17" s="412"/>
      <c r="AW17" s="412"/>
      <c r="AX17" s="417"/>
      <c r="AY17" s="417"/>
    </row>
    <row r="18" spans="1:51" ht="54" customHeight="1">
      <c r="A18" s="781" t="s">
        <v>64</v>
      </c>
      <c r="B18" s="781"/>
      <c r="C18" s="781"/>
      <c r="D18" s="777" t="s">
        <v>640</v>
      </c>
      <c r="E18" s="777"/>
      <c r="F18" s="777"/>
      <c r="G18" s="777"/>
      <c r="H18" s="777"/>
      <c r="I18" s="777"/>
      <c r="J18" s="782" t="s">
        <v>300</v>
      </c>
      <c r="K18" s="782"/>
      <c r="L18" s="782"/>
      <c r="M18" s="782"/>
      <c r="N18" s="782"/>
      <c r="O18" s="782"/>
      <c r="P18" s="777" t="s">
        <v>66</v>
      </c>
      <c r="Q18" s="777"/>
      <c r="R18" s="777"/>
      <c r="S18" s="777"/>
      <c r="T18" s="777"/>
      <c r="U18" s="777"/>
      <c r="V18" s="777" t="s">
        <v>66</v>
      </c>
      <c r="W18" s="777"/>
      <c r="X18" s="777"/>
      <c r="Y18" s="777"/>
      <c r="Z18" s="777"/>
      <c r="AA18" s="777"/>
      <c r="AB18" s="777"/>
      <c r="AC18" s="777"/>
      <c r="AD18" s="777" t="s">
        <v>66</v>
      </c>
      <c r="AE18" s="777"/>
      <c r="AF18" s="777"/>
      <c r="AG18" s="777"/>
      <c r="AH18" s="777"/>
      <c r="AI18" s="777"/>
      <c r="AJ18" s="777"/>
      <c r="AK18" s="777"/>
      <c r="AL18" s="777"/>
      <c r="AM18" s="777"/>
      <c r="AN18" s="777"/>
      <c r="AO18" s="777"/>
      <c r="AP18" s="782" t="s">
        <v>318</v>
      </c>
      <c r="AQ18" s="782"/>
      <c r="AR18" s="782"/>
      <c r="AS18" s="782"/>
      <c r="AT18" s="777" t="s">
        <v>13</v>
      </c>
      <c r="AU18" s="777"/>
      <c r="AV18" s="777"/>
      <c r="AW18" s="777"/>
      <c r="AX18" s="777"/>
      <c r="AY18" s="777"/>
    </row>
    <row r="19" spans="1:51" ht="30" customHeight="1">
      <c r="A19" s="781"/>
      <c r="B19" s="781"/>
      <c r="C19" s="781"/>
      <c r="D19" s="777" t="s">
        <v>849</v>
      </c>
      <c r="E19" s="777"/>
      <c r="F19" s="777"/>
      <c r="G19" s="777"/>
      <c r="H19" s="777"/>
      <c r="I19" s="777"/>
      <c r="J19" s="782"/>
      <c r="K19" s="782"/>
      <c r="L19" s="782"/>
      <c r="M19" s="782"/>
      <c r="N19" s="782"/>
      <c r="O19" s="782"/>
      <c r="P19" s="777" t="s">
        <v>643</v>
      </c>
      <c r="Q19" s="777"/>
      <c r="R19" s="777"/>
      <c r="S19" s="777"/>
      <c r="T19" s="777"/>
      <c r="U19" s="777"/>
      <c r="V19" s="777" t="s">
        <v>771</v>
      </c>
      <c r="W19" s="777"/>
      <c r="X19" s="777"/>
      <c r="Y19" s="777"/>
      <c r="Z19" s="777"/>
      <c r="AA19" s="777"/>
      <c r="AB19" s="777"/>
      <c r="AC19" s="777"/>
      <c r="AD19" s="777" t="s">
        <v>65</v>
      </c>
      <c r="AE19" s="777"/>
      <c r="AF19" s="777"/>
      <c r="AG19" s="777"/>
      <c r="AH19" s="777"/>
      <c r="AI19" s="777"/>
      <c r="AJ19" s="777"/>
      <c r="AK19" s="777"/>
      <c r="AL19" s="777"/>
      <c r="AM19" s="777"/>
      <c r="AN19" s="777"/>
      <c r="AO19" s="777"/>
      <c r="AP19" s="782"/>
      <c r="AQ19" s="782"/>
      <c r="AR19" s="782"/>
      <c r="AS19" s="782"/>
      <c r="AT19" s="777" t="s">
        <v>771</v>
      </c>
      <c r="AU19" s="777"/>
      <c r="AV19" s="777"/>
      <c r="AW19" s="777"/>
      <c r="AX19" s="777"/>
      <c r="AY19" s="777"/>
    </row>
    <row r="20" spans="1:51" ht="30" customHeight="1">
      <c r="A20" s="781"/>
      <c r="B20" s="781"/>
      <c r="C20" s="781"/>
      <c r="D20" s="777" t="s">
        <v>850</v>
      </c>
      <c r="E20" s="777"/>
      <c r="F20" s="777"/>
      <c r="G20" s="777"/>
      <c r="H20" s="777"/>
      <c r="I20" s="777"/>
      <c r="J20" s="782"/>
      <c r="K20" s="782"/>
      <c r="L20" s="782"/>
      <c r="M20" s="782"/>
      <c r="N20" s="782"/>
      <c r="O20" s="782"/>
      <c r="P20" s="777" t="s">
        <v>774</v>
      </c>
      <c r="Q20" s="777"/>
      <c r="R20" s="777"/>
      <c r="S20" s="777"/>
      <c r="T20" s="777"/>
      <c r="U20" s="777"/>
      <c r="V20" s="777" t="s">
        <v>645</v>
      </c>
      <c r="W20" s="777"/>
      <c r="X20" s="777"/>
      <c r="Y20" s="777"/>
      <c r="Z20" s="777"/>
      <c r="AA20" s="777"/>
      <c r="AB20" s="777"/>
      <c r="AC20" s="777"/>
      <c r="AD20" s="777" t="s">
        <v>297</v>
      </c>
      <c r="AE20" s="777"/>
      <c r="AF20" s="777"/>
      <c r="AG20" s="777"/>
      <c r="AH20" s="777"/>
      <c r="AI20" s="777"/>
      <c r="AJ20" s="777"/>
      <c r="AK20" s="777"/>
      <c r="AL20" s="777"/>
      <c r="AM20" s="777"/>
      <c r="AN20" s="777"/>
      <c r="AO20" s="777"/>
      <c r="AP20" s="782"/>
      <c r="AQ20" s="782"/>
      <c r="AR20" s="782"/>
      <c r="AS20" s="782"/>
      <c r="AT20" s="777" t="s">
        <v>75</v>
      </c>
      <c r="AU20" s="777"/>
      <c r="AV20" s="777"/>
      <c r="AW20" s="777"/>
      <c r="AX20" s="777"/>
      <c r="AY20" s="777"/>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Y23"/>
  <sheetViews>
    <sheetView zoomScale="61" zoomScaleNormal="61" zoomScalePageLayoutView="0" workbookViewId="0" topLeftCell="AO9">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63.57421875" style="113" customWidth="1"/>
    <col min="49" max="49" width="73.00390625" style="113" customWidth="1"/>
    <col min="50" max="51" width="42.5742187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114" t="s">
        <v>418</v>
      </c>
      <c r="AY2" s="1030"/>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114" t="s">
        <v>424</v>
      </c>
      <c r="AY3" s="1030"/>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1112" t="s">
        <v>781</v>
      </c>
      <c r="AY4" s="1113"/>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88" t="s">
        <v>71</v>
      </c>
      <c r="B6" s="789"/>
      <c r="C6" s="790"/>
      <c r="D6" s="1091">
        <v>45146</v>
      </c>
      <c r="E6" s="798"/>
      <c r="F6" s="788" t="s">
        <v>67</v>
      </c>
      <c r="G6" s="790"/>
      <c r="H6" s="1092" t="s">
        <v>70</v>
      </c>
      <c r="I6" s="109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792"/>
      <c r="AJ6" s="792"/>
      <c r="AK6" s="792"/>
      <c r="AL6" s="792"/>
      <c r="AM6" s="792"/>
      <c r="AN6" s="792"/>
      <c r="AO6" s="792"/>
      <c r="AP6" s="792"/>
      <c r="AQ6" s="792"/>
      <c r="AR6" s="792"/>
      <c r="AS6" s="792"/>
      <c r="AT6" s="792"/>
      <c r="AU6" s="793"/>
      <c r="AV6" s="786"/>
      <c r="AW6" s="786"/>
      <c r="AX6" s="786"/>
      <c r="AY6" s="786"/>
    </row>
    <row r="7" spans="1:51" ht="15" customHeight="1">
      <c r="A7" s="791"/>
      <c r="B7" s="792"/>
      <c r="C7" s="793"/>
      <c r="D7" s="798"/>
      <c r="E7" s="798"/>
      <c r="F7" s="791"/>
      <c r="G7" s="793"/>
      <c r="H7" s="1092" t="s">
        <v>68</v>
      </c>
      <c r="I7" s="1093"/>
      <c r="J7" s="121"/>
      <c r="K7" s="791"/>
      <c r="L7" s="792"/>
      <c r="M7" s="792"/>
      <c r="N7" s="792"/>
      <c r="O7" s="792"/>
      <c r="P7" s="792"/>
      <c r="Q7" s="792"/>
      <c r="R7" s="792"/>
      <c r="S7" s="792"/>
      <c r="T7" s="792"/>
      <c r="U7" s="792"/>
      <c r="V7" s="231"/>
      <c r="W7" s="231"/>
      <c r="X7" s="231"/>
      <c r="Y7" s="231"/>
      <c r="Z7" s="231"/>
      <c r="AA7" s="231"/>
      <c r="AB7" s="231"/>
      <c r="AC7" s="231"/>
      <c r="AD7" s="231"/>
      <c r="AE7" s="231"/>
      <c r="AF7" s="231"/>
      <c r="AG7" s="117"/>
      <c r="AH7" s="791"/>
      <c r="AI7" s="792"/>
      <c r="AJ7" s="792"/>
      <c r="AK7" s="792"/>
      <c r="AL7" s="792"/>
      <c r="AM7" s="792"/>
      <c r="AN7" s="792"/>
      <c r="AO7" s="792"/>
      <c r="AP7" s="792"/>
      <c r="AQ7" s="792"/>
      <c r="AR7" s="792"/>
      <c r="AS7" s="792"/>
      <c r="AT7" s="792"/>
      <c r="AU7" s="793"/>
      <c r="AV7" s="786"/>
      <c r="AW7" s="786"/>
      <c r="AX7" s="786"/>
      <c r="AY7" s="786"/>
    </row>
    <row r="8" spans="1:51" ht="15" customHeight="1">
      <c r="A8" s="794"/>
      <c r="B8" s="795"/>
      <c r="C8" s="796"/>
      <c r="D8" s="798"/>
      <c r="E8" s="798"/>
      <c r="F8" s="794"/>
      <c r="G8" s="796"/>
      <c r="H8" s="1092" t="s">
        <v>69</v>
      </c>
      <c r="I8" s="109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792"/>
      <c r="AJ8" s="792"/>
      <c r="AK8" s="792"/>
      <c r="AL8" s="792"/>
      <c r="AM8" s="792"/>
      <c r="AN8" s="792"/>
      <c r="AO8" s="792"/>
      <c r="AP8" s="792"/>
      <c r="AQ8" s="792"/>
      <c r="AR8" s="792"/>
      <c r="AS8" s="792"/>
      <c r="AT8" s="792"/>
      <c r="AU8" s="793"/>
      <c r="AV8" s="786"/>
      <c r="AW8" s="786"/>
      <c r="AX8" s="786"/>
      <c r="AY8" s="786"/>
    </row>
    <row r="9" spans="1:51" ht="15" customHeight="1">
      <c r="A9" s="799" t="s">
        <v>399</v>
      </c>
      <c r="B9" s="800"/>
      <c r="C9" s="801"/>
      <c r="D9" s="806"/>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792"/>
      <c r="AJ9" s="792"/>
      <c r="AK9" s="792"/>
      <c r="AL9" s="792"/>
      <c r="AM9" s="792"/>
      <c r="AN9" s="792"/>
      <c r="AO9" s="792"/>
      <c r="AP9" s="792"/>
      <c r="AQ9" s="792"/>
      <c r="AR9" s="792"/>
      <c r="AS9" s="792"/>
      <c r="AT9" s="79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70.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409" t="s">
        <v>169</v>
      </c>
      <c r="B12" s="409" t="s">
        <v>170</v>
      </c>
      <c r="C12" s="409" t="s">
        <v>171</v>
      </c>
      <c r="D12" s="409" t="s">
        <v>178</v>
      </c>
      <c r="E12" s="409" t="s">
        <v>185</v>
      </c>
      <c r="F12" s="409" t="s">
        <v>186</v>
      </c>
      <c r="G12" s="409" t="s">
        <v>277</v>
      </c>
      <c r="H12" s="409" t="s">
        <v>184</v>
      </c>
      <c r="I12" s="779"/>
      <c r="J12" s="779"/>
      <c r="K12" s="779"/>
      <c r="L12" s="779"/>
      <c r="M12" s="779"/>
      <c r="N12" s="779"/>
      <c r="O12" s="409">
        <v>2020</v>
      </c>
      <c r="P12" s="409">
        <v>2021</v>
      </c>
      <c r="Q12" s="409">
        <v>2022</v>
      </c>
      <c r="R12" s="409">
        <v>2023</v>
      </c>
      <c r="S12" s="409">
        <v>2024</v>
      </c>
      <c r="T12" s="779"/>
      <c r="U12" s="779"/>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79"/>
      <c r="AW12" s="779"/>
      <c r="AX12" s="779"/>
      <c r="AY12" s="779"/>
    </row>
    <row r="13" spans="1:51" ht="168.75" customHeight="1">
      <c r="A13" s="121"/>
      <c r="B13" s="121"/>
      <c r="C13" s="121"/>
      <c r="D13" s="121"/>
      <c r="E13" s="121" t="s">
        <v>425</v>
      </c>
      <c r="F13" s="121"/>
      <c r="G13" s="122" t="s">
        <v>668</v>
      </c>
      <c r="H13" s="122" t="s">
        <v>840</v>
      </c>
      <c r="I13" s="364" t="s">
        <v>669</v>
      </c>
      <c r="J13" s="152" t="s">
        <v>670</v>
      </c>
      <c r="K13" s="122" t="s">
        <v>430</v>
      </c>
      <c r="L13" s="122"/>
      <c r="M13" s="122" t="s">
        <v>431</v>
      </c>
      <c r="N13" s="122" t="s">
        <v>671</v>
      </c>
      <c r="O13" s="123"/>
      <c r="P13" s="123"/>
      <c r="Q13" s="123"/>
      <c r="R13" s="293">
        <v>0.85</v>
      </c>
      <c r="S13" s="123"/>
      <c r="T13" s="235" t="s">
        <v>433</v>
      </c>
      <c r="U13" s="235" t="s">
        <v>672</v>
      </c>
      <c r="V13" s="124"/>
      <c r="W13" s="124"/>
      <c r="X13" s="358">
        <v>0.2</v>
      </c>
      <c r="Y13" s="358"/>
      <c r="Z13" s="358"/>
      <c r="AA13" s="358">
        <v>0.2</v>
      </c>
      <c r="AB13" s="358"/>
      <c r="AC13" s="358"/>
      <c r="AD13" s="358">
        <v>0.2</v>
      </c>
      <c r="AE13" s="358"/>
      <c r="AF13" s="358"/>
      <c r="AG13" s="358">
        <v>0.25</v>
      </c>
      <c r="AH13" s="124"/>
      <c r="AI13" s="124"/>
      <c r="AJ13" s="127">
        <v>0</v>
      </c>
      <c r="AK13" s="124"/>
      <c r="AL13" s="124"/>
      <c r="AM13" s="124"/>
      <c r="AN13" s="124"/>
      <c r="AO13" s="124"/>
      <c r="AP13" s="124"/>
      <c r="AQ13" s="124"/>
      <c r="AR13" s="124"/>
      <c r="AS13" s="124"/>
      <c r="AT13" s="124">
        <f>SUM(AH13:AS13)</f>
        <v>0</v>
      </c>
      <c r="AU13" s="127">
        <f>+AT13/R13</f>
        <v>0</v>
      </c>
      <c r="AV13" s="412"/>
      <c r="AW13" s="412"/>
      <c r="AX13" s="417"/>
      <c r="AY13" s="417"/>
    </row>
    <row r="14" spans="1:51" ht="168.75" customHeight="1">
      <c r="A14" s="121"/>
      <c r="B14" s="121"/>
      <c r="C14" s="121"/>
      <c r="D14" s="121"/>
      <c r="E14" s="459" t="s">
        <v>425</v>
      </c>
      <c r="F14" s="121"/>
      <c r="G14" s="122" t="s">
        <v>668</v>
      </c>
      <c r="H14" s="122" t="s">
        <v>841</v>
      </c>
      <c r="I14" s="364" t="s">
        <v>669</v>
      </c>
      <c r="J14" s="152" t="s">
        <v>673</v>
      </c>
      <c r="K14" s="122" t="s">
        <v>430</v>
      </c>
      <c r="L14" s="124"/>
      <c r="M14" s="122" t="s">
        <v>431</v>
      </c>
      <c r="N14" s="122" t="s">
        <v>674</v>
      </c>
      <c r="O14" s="124"/>
      <c r="P14" s="124"/>
      <c r="Q14" s="124"/>
      <c r="R14" s="293">
        <v>0.85</v>
      </c>
      <c r="S14" s="124"/>
      <c r="T14" s="235" t="s">
        <v>455</v>
      </c>
      <c r="U14" s="235" t="s">
        <v>675</v>
      </c>
      <c r="V14" s="124"/>
      <c r="W14" s="124"/>
      <c r="X14" s="124"/>
      <c r="Y14" s="124"/>
      <c r="Z14" s="124"/>
      <c r="AA14" s="358">
        <v>0.4</v>
      </c>
      <c r="AB14" s="358"/>
      <c r="AC14" s="358"/>
      <c r="AD14" s="358"/>
      <c r="AE14" s="358"/>
      <c r="AF14" s="358"/>
      <c r="AG14" s="358">
        <v>0.45</v>
      </c>
      <c r="AH14" s="124"/>
      <c r="AI14" s="124"/>
      <c r="AJ14" s="124"/>
      <c r="AK14" s="124"/>
      <c r="AL14" s="124"/>
      <c r="AM14" s="124"/>
      <c r="AN14" s="124"/>
      <c r="AO14" s="124"/>
      <c r="AP14" s="124"/>
      <c r="AQ14" s="124"/>
      <c r="AR14" s="124"/>
      <c r="AS14" s="124"/>
      <c r="AT14" s="124">
        <f aca="true" t="shared" si="0" ref="AT14:AT20">SUM(AH14:AS14)</f>
        <v>0</v>
      </c>
      <c r="AU14" s="127">
        <f aca="true" t="shared" si="1" ref="AU14:AU20">+AT14/R14</f>
        <v>0</v>
      </c>
      <c r="AV14" s="412"/>
      <c r="AW14" s="412"/>
      <c r="AX14" s="417"/>
      <c r="AY14" s="417"/>
    </row>
    <row r="15" spans="1:51" ht="168.75" customHeight="1">
      <c r="A15" s="121"/>
      <c r="B15" s="121"/>
      <c r="C15" s="121"/>
      <c r="D15" s="121"/>
      <c r="E15" s="459" t="s">
        <v>425</v>
      </c>
      <c r="F15" s="121"/>
      <c r="G15" s="122" t="s">
        <v>668</v>
      </c>
      <c r="H15" s="122" t="s">
        <v>840</v>
      </c>
      <c r="I15" s="308" t="s">
        <v>676</v>
      </c>
      <c r="J15" s="308" t="s">
        <v>677</v>
      </c>
      <c r="K15" s="122" t="s">
        <v>453</v>
      </c>
      <c r="L15" s="124"/>
      <c r="M15" s="122" t="s">
        <v>431</v>
      </c>
      <c r="N15" s="122" t="s">
        <v>678</v>
      </c>
      <c r="O15" s="124"/>
      <c r="P15" s="124"/>
      <c r="Q15" s="124"/>
      <c r="R15" s="244">
        <v>1</v>
      </c>
      <c r="S15" s="124"/>
      <c r="T15" s="235" t="s">
        <v>433</v>
      </c>
      <c r="U15" s="122" t="s">
        <v>679</v>
      </c>
      <c r="V15" s="358"/>
      <c r="W15" s="358"/>
      <c r="X15" s="358">
        <v>1</v>
      </c>
      <c r="Y15" s="358"/>
      <c r="Z15" s="358"/>
      <c r="AA15" s="358">
        <v>1</v>
      </c>
      <c r="AB15" s="358"/>
      <c r="AC15" s="358"/>
      <c r="AD15" s="358">
        <v>1</v>
      </c>
      <c r="AE15" s="358"/>
      <c r="AF15" s="358"/>
      <c r="AG15" s="358">
        <v>1</v>
      </c>
      <c r="AH15" s="124"/>
      <c r="AI15" s="124"/>
      <c r="AJ15" s="127">
        <v>1</v>
      </c>
      <c r="AK15" s="124"/>
      <c r="AL15" s="124"/>
      <c r="AM15" s="124"/>
      <c r="AN15" s="124"/>
      <c r="AO15" s="124"/>
      <c r="AP15" s="124"/>
      <c r="AQ15" s="124"/>
      <c r="AR15" s="124"/>
      <c r="AS15" s="124"/>
      <c r="AT15" s="127">
        <f>SUM(AH15:AS15)</f>
        <v>1</v>
      </c>
      <c r="AU15" s="127">
        <f>+(SUM(AH15:AS15)/+SUM(V15:AG15))</f>
        <v>0.25</v>
      </c>
      <c r="AV15" s="412"/>
      <c r="AW15" s="414"/>
      <c r="AX15" s="417"/>
      <c r="AY15" s="417"/>
    </row>
    <row r="16" spans="1:51" ht="105">
      <c r="A16" s="121"/>
      <c r="B16" s="121"/>
      <c r="C16" s="121"/>
      <c r="D16" s="121"/>
      <c r="E16" s="459" t="s">
        <v>425</v>
      </c>
      <c r="F16" s="121"/>
      <c r="G16" s="122" t="s">
        <v>668</v>
      </c>
      <c r="H16" s="122" t="s">
        <v>840</v>
      </c>
      <c r="I16" s="308" t="s">
        <v>680</v>
      </c>
      <c r="J16" s="308" t="s">
        <v>681</v>
      </c>
      <c r="K16" s="121" t="s">
        <v>430</v>
      </c>
      <c r="L16" s="124"/>
      <c r="M16" s="122" t="s">
        <v>431</v>
      </c>
      <c r="N16" s="122" t="s">
        <v>682</v>
      </c>
      <c r="O16" s="124"/>
      <c r="P16" s="124"/>
      <c r="Q16" s="124"/>
      <c r="R16" s="244">
        <v>1</v>
      </c>
      <c r="S16" s="124"/>
      <c r="T16" s="235" t="s">
        <v>433</v>
      </c>
      <c r="U16" s="122" t="s">
        <v>683</v>
      </c>
      <c r="V16" s="358"/>
      <c r="W16" s="358"/>
      <c r="X16" s="358">
        <v>0.25</v>
      </c>
      <c r="Y16" s="358"/>
      <c r="Z16" s="358"/>
      <c r="AA16" s="358">
        <v>0.25</v>
      </c>
      <c r="AB16" s="358"/>
      <c r="AC16" s="358"/>
      <c r="AD16" s="358">
        <v>0.25</v>
      </c>
      <c r="AE16" s="358"/>
      <c r="AF16" s="358"/>
      <c r="AG16" s="358">
        <v>0.25</v>
      </c>
      <c r="AH16" s="124"/>
      <c r="AI16" s="124"/>
      <c r="AJ16" s="127">
        <v>0.25</v>
      </c>
      <c r="AK16" s="124"/>
      <c r="AL16" s="124"/>
      <c r="AM16" s="124"/>
      <c r="AN16" s="124"/>
      <c r="AO16" s="124"/>
      <c r="AP16" s="124"/>
      <c r="AQ16" s="124"/>
      <c r="AR16" s="124"/>
      <c r="AS16" s="124"/>
      <c r="AT16" s="127">
        <f t="shared" si="0"/>
        <v>0.25</v>
      </c>
      <c r="AU16" s="127">
        <f>+AT16/R16</f>
        <v>0.25</v>
      </c>
      <c r="AV16" s="412"/>
      <c r="AW16" s="472"/>
      <c r="AX16" s="417"/>
      <c r="AY16" s="417"/>
    </row>
    <row r="17" spans="1:51" ht="168.75" customHeight="1">
      <c r="A17" s="121"/>
      <c r="B17" s="121"/>
      <c r="C17" s="121"/>
      <c r="D17" s="121"/>
      <c r="E17" s="459" t="s">
        <v>425</v>
      </c>
      <c r="F17" s="121"/>
      <c r="G17" s="122" t="s">
        <v>668</v>
      </c>
      <c r="H17" s="122" t="s">
        <v>840</v>
      </c>
      <c r="I17" s="308" t="s">
        <v>684</v>
      </c>
      <c r="J17" s="308" t="s">
        <v>685</v>
      </c>
      <c r="K17" s="121" t="s">
        <v>453</v>
      </c>
      <c r="L17" s="124"/>
      <c r="M17" s="122" t="s">
        <v>431</v>
      </c>
      <c r="N17" s="308" t="s">
        <v>686</v>
      </c>
      <c r="O17" s="124"/>
      <c r="P17" s="124"/>
      <c r="Q17" s="124"/>
      <c r="R17" s="244">
        <v>1</v>
      </c>
      <c r="S17" s="124"/>
      <c r="T17" s="235" t="s">
        <v>460</v>
      </c>
      <c r="U17" s="122" t="s">
        <v>687</v>
      </c>
      <c r="V17" s="358">
        <f>(100/100)*100%</f>
        <v>1</v>
      </c>
      <c r="W17" s="358">
        <f aca="true" t="shared" si="2" ref="W17:AG17">(100/100)*100%</f>
        <v>1</v>
      </c>
      <c r="X17" s="358">
        <f t="shared" si="2"/>
        <v>1</v>
      </c>
      <c r="Y17" s="358">
        <f t="shared" si="2"/>
        <v>1</v>
      </c>
      <c r="Z17" s="358">
        <f t="shared" si="2"/>
        <v>1</v>
      </c>
      <c r="AA17" s="358">
        <f t="shared" si="2"/>
        <v>1</v>
      </c>
      <c r="AB17" s="358">
        <f t="shared" si="2"/>
        <v>1</v>
      </c>
      <c r="AC17" s="358">
        <f t="shared" si="2"/>
        <v>1</v>
      </c>
      <c r="AD17" s="358">
        <f t="shared" si="2"/>
        <v>1</v>
      </c>
      <c r="AE17" s="358">
        <f t="shared" si="2"/>
        <v>1</v>
      </c>
      <c r="AF17" s="358">
        <f t="shared" si="2"/>
        <v>1</v>
      </c>
      <c r="AG17" s="358">
        <f t="shared" si="2"/>
        <v>1</v>
      </c>
      <c r="AH17" s="127">
        <v>0.71</v>
      </c>
      <c r="AI17" s="127">
        <f>533/649</f>
        <v>0.8212634822804314</v>
      </c>
      <c r="AJ17" s="127">
        <f>718/872</f>
        <v>0.823394495412844</v>
      </c>
      <c r="AK17" s="127">
        <v>0.84</v>
      </c>
      <c r="AL17" s="127">
        <f>536/696</f>
        <v>0.7701149425287356</v>
      </c>
      <c r="AM17" s="124"/>
      <c r="AN17" s="124"/>
      <c r="AO17" s="124"/>
      <c r="AP17" s="124"/>
      <c r="AQ17" s="124"/>
      <c r="AR17" s="124"/>
      <c r="AS17" s="124"/>
      <c r="AT17" s="127">
        <f>AVERAGE(AH17:AS17)</f>
        <v>0.7929545840444021</v>
      </c>
      <c r="AU17" s="127">
        <f>+(SUM(AH17:AS17)/+SUM(V17:AG17))</f>
        <v>0.3303977433518342</v>
      </c>
      <c r="AV17" s="413"/>
      <c r="AW17" s="414"/>
      <c r="AX17" s="415"/>
      <c r="AY17" s="416"/>
    </row>
    <row r="18" spans="1:51" ht="168.75" customHeight="1">
      <c r="A18" s="121"/>
      <c r="B18" s="121"/>
      <c r="C18" s="121"/>
      <c r="D18" s="121"/>
      <c r="E18" s="459" t="s">
        <v>425</v>
      </c>
      <c r="F18" s="121"/>
      <c r="G18" s="122" t="s">
        <v>668</v>
      </c>
      <c r="H18" s="122" t="s">
        <v>840</v>
      </c>
      <c r="I18" s="308" t="s">
        <v>688</v>
      </c>
      <c r="J18" s="308" t="s">
        <v>689</v>
      </c>
      <c r="K18" s="121" t="s">
        <v>430</v>
      </c>
      <c r="L18" s="124"/>
      <c r="M18" s="122" t="s">
        <v>431</v>
      </c>
      <c r="N18" s="308" t="s">
        <v>690</v>
      </c>
      <c r="O18" s="124"/>
      <c r="P18" s="124"/>
      <c r="Q18" s="124"/>
      <c r="R18" s="244">
        <v>1</v>
      </c>
      <c r="S18" s="124"/>
      <c r="T18" s="235" t="s">
        <v>455</v>
      </c>
      <c r="U18" s="122" t="s">
        <v>691</v>
      </c>
      <c r="V18" s="358"/>
      <c r="W18" s="358"/>
      <c r="X18" s="358"/>
      <c r="Y18" s="358"/>
      <c r="Z18" s="358"/>
      <c r="AA18" s="358">
        <v>0.5</v>
      </c>
      <c r="AB18" s="358"/>
      <c r="AC18" s="358"/>
      <c r="AD18" s="358"/>
      <c r="AE18" s="358"/>
      <c r="AF18" s="358"/>
      <c r="AG18" s="358">
        <v>0.5</v>
      </c>
      <c r="AH18" s="124"/>
      <c r="AI18" s="124"/>
      <c r="AJ18" s="124"/>
      <c r="AK18" s="124"/>
      <c r="AL18" s="124"/>
      <c r="AM18" s="124"/>
      <c r="AN18" s="124"/>
      <c r="AO18" s="124"/>
      <c r="AP18" s="124"/>
      <c r="AQ18" s="124"/>
      <c r="AR18" s="124"/>
      <c r="AS18" s="124"/>
      <c r="AT18" s="124">
        <f t="shared" si="0"/>
        <v>0</v>
      </c>
      <c r="AU18" s="127">
        <f t="shared" si="1"/>
        <v>0</v>
      </c>
      <c r="AV18" s="412"/>
      <c r="AW18" s="412"/>
      <c r="AX18" s="417"/>
      <c r="AY18" s="417"/>
    </row>
    <row r="19" spans="1:51" ht="168.75" customHeight="1">
      <c r="A19" s="121"/>
      <c r="B19" s="121"/>
      <c r="C19" s="121"/>
      <c r="D19" s="121"/>
      <c r="E19" s="459" t="s">
        <v>425</v>
      </c>
      <c r="F19" s="121"/>
      <c r="G19" s="122" t="s">
        <v>668</v>
      </c>
      <c r="H19" s="122" t="s">
        <v>840</v>
      </c>
      <c r="I19" s="308" t="s">
        <v>692</v>
      </c>
      <c r="J19" s="308" t="s">
        <v>693</v>
      </c>
      <c r="K19" s="121" t="s">
        <v>430</v>
      </c>
      <c r="L19" s="124"/>
      <c r="M19" s="122" t="s">
        <v>431</v>
      </c>
      <c r="N19" s="308" t="s">
        <v>690</v>
      </c>
      <c r="O19" s="124"/>
      <c r="P19" s="124"/>
      <c r="Q19" s="124"/>
      <c r="R19" s="244">
        <v>1</v>
      </c>
      <c r="S19" s="124"/>
      <c r="T19" s="235" t="s">
        <v>455</v>
      </c>
      <c r="U19" s="122" t="s">
        <v>694</v>
      </c>
      <c r="V19" s="358"/>
      <c r="W19" s="358"/>
      <c r="X19" s="358"/>
      <c r="Y19" s="358"/>
      <c r="Z19" s="358"/>
      <c r="AA19" s="358">
        <v>0.5</v>
      </c>
      <c r="AB19" s="358"/>
      <c r="AC19" s="358"/>
      <c r="AD19" s="358"/>
      <c r="AE19" s="358"/>
      <c r="AF19" s="358"/>
      <c r="AG19" s="358">
        <v>0.5</v>
      </c>
      <c r="AH19" s="124"/>
      <c r="AI19" s="124"/>
      <c r="AJ19" s="124"/>
      <c r="AK19" s="124"/>
      <c r="AL19" s="124"/>
      <c r="AM19" s="124"/>
      <c r="AN19" s="124"/>
      <c r="AO19" s="124"/>
      <c r="AP19" s="124"/>
      <c r="AQ19" s="124"/>
      <c r="AR19" s="124"/>
      <c r="AS19" s="124"/>
      <c r="AT19" s="124">
        <f t="shared" si="0"/>
        <v>0</v>
      </c>
      <c r="AU19" s="127">
        <f t="shared" si="1"/>
        <v>0</v>
      </c>
      <c r="AV19" s="412"/>
      <c r="AW19" s="412"/>
      <c r="AX19" s="417"/>
      <c r="AY19" s="417"/>
    </row>
    <row r="20" spans="1:51" ht="168.75" customHeight="1">
      <c r="A20" s="121"/>
      <c r="B20" s="121"/>
      <c r="C20" s="121"/>
      <c r="D20" s="121"/>
      <c r="E20" s="459" t="s">
        <v>425</v>
      </c>
      <c r="F20" s="121"/>
      <c r="G20" s="122" t="s">
        <v>668</v>
      </c>
      <c r="H20" s="122" t="s">
        <v>840</v>
      </c>
      <c r="I20" s="308" t="s">
        <v>695</v>
      </c>
      <c r="J20" s="308" t="s">
        <v>696</v>
      </c>
      <c r="K20" s="121" t="s">
        <v>453</v>
      </c>
      <c r="L20" s="124"/>
      <c r="M20" s="122" t="s">
        <v>431</v>
      </c>
      <c r="N20" s="365" t="s">
        <v>697</v>
      </c>
      <c r="O20" s="124"/>
      <c r="P20" s="124"/>
      <c r="Q20" s="124"/>
      <c r="R20" s="244">
        <v>1</v>
      </c>
      <c r="S20" s="124"/>
      <c r="T20" s="235" t="s">
        <v>455</v>
      </c>
      <c r="U20" s="122" t="s">
        <v>698</v>
      </c>
      <c r="V20" s="358"/>
      <c r="W20" s="358"/>
      <c r="X20" s="358"/>
      <c r="Y20" s="358"/>
      <c r="Z20" s="358"/>
      <c r="AA20" s="358">
        <v>1</v>
      </c>
      <c r="AB20" s="358"/>
      <c r="AC20" s="358"/>
      <c r="AD20" s="358"/>
      <c r="AE20" s="358"/>
      <c r="AF20" s="358"/>
      <c r="AG20" s="358">
        <v>1</v>
      </c>
      <c r="AH20" s="124"/>
      <c r="AI20" s="124"/>
      <c r="AJ20" s="124"/>
      <c r="AK20" s="124"/>
      <c r="AL20" s="124"/>
      <c r="AM20" s="124"/>
      <c r="AN20" s="124"/>
      <c r="AO20" s="124"/>
      <c r="AP20" s="124"/>
      <c r="AQ20" s="124"/>
      <c r="AR20" s="124"/>
      <c r="AS20" s="124"/>
      <c r="AT20" s="124">
        <f t="shared" si="0"/>
        <v>0</v>
      </c>
      <c r="AU20" s="127">
        <f t="shared" si="1"/>
        <v>0</v>
      </c>
      <c r="AV20" s="412"/>
      <c r="AW20" s="412"/>
      <c r="AX20" s="417"/>
      <c r="AY20" s="417"/>
    </row>
    <row r="21" spans="1:51" ht="54" customHeight="1">
      <c r="A21" s="1094" t="s">
        <v>64</v>
      </c>
      <c r="B21" s="1095"/>
      <c r="C21" s="1096"/>
      <c r="D21" s="1083" t="s">
        <v>66</v>
      </c>
      <c r="E21" s="1084"/>
      <c r="F21" s="1084"/>
      <c r="G21" s="1084"/>
      <c r="H21" s="1084"/>
      <c r="I21" s="1085"/>
      <c r="J21" s="1103" t="s">
        <v>300</v>
      </c>
      <c r="K21" s="1104"/>
      <c r="L21" s="1104"/>
      <c r="M21" s="1104"/>
      <c r="N21" s="1104"/>
      <c r="O21" s="1105"/>
      <c r="P21" s="1083" t="s">
        <v>66</v>
      </c>
      <c r="Q21" s="1084"/>
      <c r="R21" s="1084"/>
      <c r="S21" s="1084"/>
      <c r="T21" s="1084"/>
      <c r="U21" s="1085"/>
      <c r="V21" s="1083" t="s">
        <v>66</v>
      </c>
      <c r="W21" s="1084"/>
      <c r="X21" s="1084"/>
      <c r="Y21" s="1084"/>
      <c r="Z21" s="1084"/>
      <c r="AA21" s="1084"/>
      <c r="AB21" s="1084"/>
      <c r="AC21" s="1085"/>
      <c r="AD21" s="1083" t="s">
        <v>66</v>
      </c>
      <c r="AE21" s="1084"/>
      <c r="AF21" s="1084"/>
      <c r="AG21" s="1084"/>
      <c r="AH21" s="1084"/>
      <c r="AI21" s="1084"/>
      <c r="AJ21" s="1084"/>
      <c r="AK21" s="1084"/>
      <c r="AL21" s="1084"/>
      <c r="AM21" s="1084"/>
      <c r="AN21" s="1084"/>
      <c r="AO21" s="1085"/>
      <c r="AP21" s="1103" t="s">
        <v>318</v>
      </c>
      <c r="AQ21" s="1104"/>
      <c r="AR21" s="1104"/>
      <c r="AS21" s="1105"/>
      <c r="AT21" s="1083" t="s">
        <v>13</v>
      </c>
      <c r="AU21" s="1084"/>
      <c r="AV21" s="1084"/>
      <c r="AW21" s="1084"/>
      <c r="AX21" s="1084"/>
      <c r="AY21" s="1085"/>
    </row>
    <row r="22" spans="1:51" ht="30" customHeight="1">
      <c r="A22" s="1097"/>
      <c r="B22" s="1098"/>
      <c r="C22" s="1099"/>
      <c r="D22" s="1083" t="s">
        <v>772</v>
      </c>
      <c r="E22" s="1084"/>
      <c r="F22" s="1084"/>
      <c r="G22" s="1084"/>
      <c r="H22" s="1084"/>
      <c r="I22" s="1085"/>
      <c r="J22" s="1106"/>
      <c r="K22" s="1107"/>
      <c r="L22" s="1107"/>
      <c r="M22" s="1107"/>
      <c r="N22" s="1107"/>
      <c r="O22" s="1108"/>
      <c r="P22" s="1083" t="s">
        <v>771</v>
      </c>
      <c r="Q22" s="1084"/>
      <c r="R22" s="1084"/>
      <c r="S22" s="1084"/>
      <c r="T22" s="1084"/>
      <c r="U22" s="1085"/>
      <c r="V22" s="1083" t="s">
        <v>65</v>
      </c>
      <c r="W22" s="1084"/>
      <c r="X22" s="1084"/>
      <c r="Y22" s="1084"/>
      <c r="Z22" s="1084"/>
      <c r="AA22" s="1084"/>
      <c r="AB22" s="1084"/>
      <c r="AC22" s="1085"/>
      <c r="AD22" s="1083" t="s">
        <v>65</v>
      </c>
      <c r="AE22" s="1084"/>
      <c r="AF22" s="1084"/>
      <c r="AG22" s="1084"/>
      <c r="AH22" s="1084"/>
      <c r="AI22" s="1084"/>
      <c r="AJ22" s="1084"/>
      <c r="AK22" s="1084"/>
      <c r="AL22" s="1084"/>
      <c r="AM22" s="1084"/>
      <c r="AN22" s="1084"/>
      <c r="AO22" s="1085"/>
      <c r="AP22" s="1106"/>
      <c r="AQ22" s="1107"/>
      <c r="AR22" s="1107"/>
      <c r="AS22" s="1108"/>
      <c r="AT22" s="1083" t="s">
        <v>771</v>
      </c>
      <c r="AU22" s="1084"/>
      <c r="AV22" s="1084"/>
      <c r="AW22" s="1084"/>
      <c r="AX22" s="1084"/>
      <c r="AY22" s="1085"/>
    </row>
    <row r="23" spans="1:51" ht="30" customHeight="1">
      <c r="A23" s="1100"/>
      <c r="B23" s="1101"/>
      <c r="C23" s="1102"/>
      <c r="D23" s="1083" t="s">
        <v>773</v>
      </c>
      <c r="E23" s="1084"/>
      <c r="F23" s="1084"/>
      <c r="G23" s="1084"/>
      <c r="H23" s="1084"/>
      <c r="I23" s="1085"/>
      <c r="J23" s="1109"/>
      <c r="K23" s="1110"/>
      <c r="L23" s="1110"/>
      <c r="M23" s="1110"/>
      <c r="N23" s="1110"/>
      <c r="O23" s="1111"/>
      <c r="P23" s="1083" t="s">
        <v>775</v>
      </c>
      <c r="Q23" s="1084"/>
      <c r="R23" s="1084"/>
      <c r="S23" s="1084"/>
      <c r="T23" s="1084"/>
      <c r="U23" s="1085"/>
      <c r="V23" s="1083" t="s">
        <v>297</v>
      </c>
      <c r="W23" s="1084"/>
      <c r="X23" s="1084"/>
      <c r="Y23" s="1084"/>
      <c r="Z23" s="1084"/>
      <c r="AA23" s="1084"/>
      <c r="AB23" s="1084"/>
      <c r="AC23" s="1085"/>
      <c r="AD23" s="1083" t="s">
        <v>297</v>
      </c>
      <c r="AE23" s="1084"/>
      <c r="AF23" s="1084"/>
      <c r="AG23" s="1084"/>
      <c r="AH23" s="1084"/>
      <c r="AI23" s="1084"/>
      <c r="AJ23" s="1084"/>
      <c r="AK23" s="1084"/>
      <c r="AL23" s="1084"/>
      <c r="AM23" s="1084"/>
      <c r="AN23" s="1084"/>
      <c r="AO23" s="1085"/>
      <c r="AP23" s="1109"/>
      <c r="AQ23" s="1110"/>
      <c r="AR23" s="1110"/>
      <c r="AS23" s="1111"/>
      <c r="AT23" s="1083" t="s">
        <v>75</v>
      </c>
      <c r="AU23" s="1084"/>
      <c r="AV23" s="1084"/>
      <c r="AW23" s="1084"/>
      <c r="AX23" s="1084"/>
      <c r="AY23" s="1085"/>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6" r:id="rId4"/>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Y21"/>
  <sheetViews>
    <sheetView zoomScale="55" zoomScaleNormal="55" zoomScalePageLayoutView="0" workbookViewId="0" topLeftCell="AP15">
      <selection activeCell="AX16" sqref="AX16:AY17"/>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57421875" style="113" customWidth="1"/>
    <col min="24" max="24" width="7.57421875" style="305" customWidth="1"/>
    <col min="25" max="26" width="7.57421875" style="131" customWidth="1"/>
    <col min="27" max="27" width="7.57421875" style="305" customWidth="1"/>
    <col min="28" max="29" width="7.57421875" style="131" customWidth="1"/>
    <col min="30" max="30" width="7.57421875" style="305" customWidth="1"/>
    <col min="31" max="32" width="7.57421875" style="131" customWidth="1"/>
    <col min="33" max="33" width="7.57421875" style="305" customWidth="1"/>
    <col min="34" max="38" width="7.57421875" style="113" customWidth="1"/>
    <col min="39" max="39" width="7.57421875" style="131" customWidth="1"/>
    <col min="40" max="45" width="7.57421875" style="113" customWidth="1"/>
    <col min="46" max="46" width="16.00390625" style="113" bestFit="1" customWidth="1"/>
    <col min="47" max="47" width="14.140625" style="217" bestFit="1" customWidth="1"/>
    <col min="48" max="49" width="93.8515625" style="113" customWidth="1"/>
    <col min="50" max="51" width="36.14062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782</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295"/>
      <c r="Y6" s="226"/>
      <c r="Z6" s="226"/>
      <c r="AA6" s="295"/>
      <c r="AB6" s="226"/>
      <c r="AC6" s="226"/>
      <c r="AD6" s="295"/>
      <c r="AE6" s="226"/>
      <c r="AF6" s="226"/>
      <c r="AG6" s="296"/>
      <c r="AH6" s="791"/>
      <c r="AI6" s="1132"/>
      <c r="AJ6" s="1132"/>
      <c r="AK6" s="1132"/>
      <c r="AL6" s="1132"/>
      <c r="AM6" s="1132"/>
      <c r="AN6" s="1132"/>
      <c r="AO6" s="1132"/>
      <c r="AP6" s="1132"/>
      <c r="AQ6" s="1132"/>
      <c r="AR6" s="1132"/>
      <c r="AS6" s="1132"/>
      <c r="AT6" s="1132"/>
      <c r="AU6" s="793"/>
      <c r="AV6" s="786"/>
      <c r="AW6" s="786"/>
      <c r="AX6" s="786"/>
      <c r="AY6" s="786"/>
    </row>
    <row r="7" spans="1:51" ht="15" customHeight="1">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97"/>
      <c r="Y7" s="298"/>
      <c r="Z7" s="298"/>
      <c r="AA7" s="297"/>
      <c r="AB7" s="298"/>
      <c r="AC7" s="298"/>
      <c r="AD7" s="297"/>
      <c r="AE7" s="298"/>
      <c r="AF7" s="298"/>
      <c r="AG7" s="299"/>
      <c r="AH7" s="791"/>
      <c r="AI7" s="1132"/>
      <c r="AJ7" s="1132"/>
      <c r="AK7" s="1132"/>
      <c r="AL7" s="1132"/>
      <c r="AM7" s="1132"/>
      <c r="AN7" s="1132"/>
      <c r="AO7" s="1132"/>
      <c r="AP7" s="1132"/>
      <c r="AQ7" s="1132"/>
      <c r="AR7" s="1132"/>
      <c r="AS7" s="1132"/>
      <c r="AT7" s="113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300"/>
      <c r="Y8" s="227"/>
      <c r="Z8" s="227"/>
      <c r="AA8" s="300"/>
      <c r="AB8" s="227"/>
      <c r="AC8" s="227"/>
      <c r="AD8" s="300"/>
      <c r="AE8" s="227"/>
      <c r="AF8" s="227"/>
      <c r="AG8" s="301"/>
      <c r="AH8" s="791"/>
      <c r="AI8" s="1132"/>
      <c r="AJ8" s="1132"/>
      <c r="AK8" s="1132"/>
      <c r="AL8" s="1132"/>
      <c r="AM8" s="1132"/>
      <c r="AN8" s="1132"/>
      <c r="AO8" s="1132"/>
      <c r="AP8" s="1132"/>
      <c r="AQ8" s="1132"/>
      <c r="AR8" s="1132"/>
      <c r="AS8" s="1132"/>
      <c r="AT8" s="1132"/>
      <c r="AU8" s="793"/>
      <c r="AV8" s="786"/>
      <c r="AW8" s="786"/>
      <c r="AX8" s="786"/>
      <c r="AY8" s="786"/>
    </row>
    <row r="9" spans="1:51" ht="15" customHeight="1">
      <c r="A9" s="799" t="s">
        <v>399</v>
      </c>
      <c r="B9" s="800"/>
      <c r="C9" s="801"/>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1132"/>
      <c r="AJ9" s="1132"/>
      <c r="AK9" s="1132"/>
      <c r="AL9" s="1132"/>
      <c r="AM9" s="1132"/>
      <c r="AN9" s="1132"/>
      <c r="AO9" s="1132"/>
      <c r="AP9" s="1132"/>
      <c r="AQ9" s="1132"/>
      <c r="AR9" s="1132"/>
      <c r="AS9" s="1132"/>
      <c r="AT9" s="113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120">
        <v>2023</v>
      </c>
      <c r="S12" s="120">
        <v>2024</v>
      </c>
      <c r="T12" s="779"/>
      <c r="U12" s="779"/>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475" t="s">
        <v>44</v>
      </c>
      <c r="AN12" s="229" t="s">
        <v>45</v>
      </c>
      <c r="AO12" s="229" t="s">
        <v>46</v>
      </c>
      <c r="AP12" s="229" t="s">
        <v>47</v>
      </c>
      <c r="AQ12" s="229" t="s">
        <v>48</v>
      </c>
      <c r="AR12" s="229" t="s">
        <v>49</v>
      </c>
      <c r="AS12" s="229" t="s">
        <v>50</v>
      </c>
      <c r="AT12" s="120" t="s">
        <v>413</v>
      </c>
      <c r="AU12" s="216" t="s">
        <v>88</v>
      </c>
      <c r="AV12" s="779"/>
      <c r="AW12" s="779"/>
      <c r="AX12" s="779"/>
      <c r="AY12" s="779"/>
    </row>
    <row r="13" spans="1:51" ht="389.25" customHeight="1">
      <c r="A13" s="121"/>
      <c r="B13" s="121"/>
      <c r="C13" s="121"/>
      <c r="D13" s="121"/>
      <c r="E13" s="121" t="s">
        <v>425</v>
      </c>
      <c r="F13" s="121"/>
      <c r="G13" s="122" t="s">
        <v>534</v>
      </c>
      <c r="H13" s="122" t="s">
        <v>842</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121"/>
      <c r="AD13" s="304">
        <v>0.3</v>
      </c>
      <c r="AE13" s="121"/>
      <c r="AF13" s="121"/>
      <c r="AG13" s="304">
        <v>0.27</v>
      </c>
      <c r="AH13" s="124"/>
      <c r="AI13" s="124"/>
      <c r="AJ13" s="304">
        <v>0.07</v>
      </c>
      <c r="AK13" s="124"/>
      <c r="AL13" s="124"/>
      <c r="AM13" s="483">
        <v>0.26</v>
      </c>
      <c r="AN13" s="124"/>
      <c r="AO13" s="124"/>
      <c r="AP13" s="124"/>
      <c r="AQ13" s="124"/>
      <c r="AR13" s="124"/>
      <c r="AS13" s="124"/>
      <c r="AT13" s="460">
        <f>SUM(AH13:AS13)</f>
        <v>0.33</v>
      </c>
      <c r="AU13" s="304">
        <f>+AT13/R13</f>
        <v>0.3666666666666667</v>
      </c>
      <c r="AV13" s="494"/>
      <c r="AW13" s="494"/>
      <c r="AX13" s="417"/>
      <c r="AY13" s="417"/>
    </row>
    <row r="14" spans="1:51" ht="277.5" customHeight="1">
      <c r="A14" s="1118"/>
      <c r="B14" s="1118"/>
      <c r="C14" s="1118"/>
      <c r="D14" s="1118"/>
      <c r="E14" s="1118" t="s">
        <v>425</v>
      </c>
      <c r="F14" s="1118"/>
      <c r="G14" s="1118" t="s">
        <v>534</v>
      </c>
      <c r="H14" s="1118" t="s">
        <v>540</v>
      </c>
      <c r="I14" s="1118" t="s">
        <v>541</v>
      </c>
      <c r="J14" s="1118" t="s">
        <v>542</v>
      </c>
      <c r="K14" s="1118" t="s">
        <v>522</v>
      </c>
      <c r="L14" s="1118" t="s">
        <v>480</v>
      </c>
      <c r="M14" s="1118" t="s">
        <v>431</v>
      </c>
      <c r="N14" s="1118" t="s">
        <v>543</v>
      </c>
      <c r="O14" s="1118"/>
      <c r="P14" s="1118"/>
      <c r="Q14" s="1118"/>
      <c r="R14" s="1122">
        <v>0.9</v>
      </c>
      <c r="S14" s="1118"/>
      <c r="T14" s="1118" t="s">
        <v>538</v>
      </c>
      <c r="U14" s="1118" t="s">
        <v>539</v>
      </c>
      <c r="V14" s="1124"/>
      <c r="W14" s="1124"/>
      <c r="X14" s="1124">
        <v>0.2</v>
      </c>
      <c r="Y14" s="1124"/>
      <c r="Z14" s="1124"/>
      <c r="AA14" s="1124">
        <v>0.35</v>
      </c>
      <c r="AB14" s="1124"/>
      <c r="AC14" s="1124"/>
      <c r="AD14" s="1124">
        <v>0.25</v>
      </c>
      <c r="AE14" s="1124"/>
      <c r="AF14" s="1124"/>
      <c r="AG14" s="1124">
        <v>0.1</v>
      </c>
      <c r="AH14" s="1124"/>
      <c r="AI14" s="1124"/>
      <c r="AJ14" s="1124">
        <v>0.2</v>
      </c>
      <c r="AK14" s="1124"/>
      <c r="AL14" s="1124"/>
      <c r="AM14" s="1124">
        <v>0.34</v>
      </c>
      <c r="AN14" s="1124"/>
      <c r="AO14" s="1124"/>
      <c r="AP14" s="1124"/>
      <c r="AQ14" s="1124"/>
      <c r="AR14" s="1124"/>
      <c r="AS14" s="1124"/>
      <c r="AT14" s="1124">
        <f>SUM(AH14:AS14)</f>
        <v>0.54</v>
      </c>
      <c r="AU14" s="1124">
        <f>+AT14/R14</f>
        <v>0.6</v>
      </c>
      <c r="AV14" s="1126"/>
      <c r="AW14" s="1126"/>
      <c r="AX14" s="1130"/>
      <c r="AY14" s="1130"/>
    </row>
    <row r="15" spans="1:51" ht="277.5" customHeight="1">
      <c r="A15" s="1119"/>
      <c r="B15" s="1119"/>
      <c r="C15" s="1119"/>
      <c r="D15" s="1119"/>
      <c r="E15" s="1119"/>
      <c r="F15" s="1119"/>
      <c r="G15" s="1119"/>
      <c r="H15" s="1119"/>
      <c r="I15" s="1119"/>
      <c r="J15" s="1119"/>
      <c r="K15" s="1119"/>
      <c r="L15" s="1119"/>
      <c r="M15" s="1119"/>
      <c r="N15" s="1119"/>
      <c r="O15" s="1119"/>
      <c r="P15" s="1119"/>
      <c r="Q15" s="1119"/>
      <c r="R15" s="1123"/>
      <c r="S15" s="1119"/>
      <c r="T15" s="1119"/>
      <c r="U15" s="1119"/>
      <c r="V15" s="1125"/>
      <c r="W15" s="1125"/>
      <c r="X15" s="1125"/>
      <c r="Y15" s="1125"/>
      <c r="Z15" s="1125"/>
      <c r="AA15" s="1125"/>
      <c r="AB15" s="1125"/>
      <c r="AC15" s="1125"/>
      <c r="AD15" s="1125"/>
      <c r="AE15" s="1125"/>
      <c r="AF15" s="1125"/>
      <c r="AG15" s="1125"/>
      <c r="AH15" s="1125"/>
      <c r="AI15" s="1125"/>
      <c r="AJ15" s="1125"/>
      <c r="AK15" s="1125"/>
      <c r="AL15" s="1125"/>
      <c r="AM15" s="1125"/>
      <c r="AN15" s="1125"/>
      <c r="AO15" s="1125"/>
      <c r="AP15" s="1125"/>
      <c r="AQ15" s="1125"/>
      <c r="AR15" s="1125"/>
      <c r="AS15" s="1125"/>
      <c r="AT15" s="1125"/>
      <c r="AU15" s="1125"/>
      <c r="AV15" s="1127"/>
      <c r="AW15" s="1127"/>
      <c r="AX15" s="1131"/>
      <c r="AY15" s="1131"/>
    </row>
    <row r="16" spans="1:51" ht="264.75" customHeight="1">
      <c r="A16" s="1118"/>
      <c r="B16" s="1118"/>
      <c r="C16" s="1118"/>
      <c r="D16" s="1118"/>
      <c r="E16" s="1118" t="s">
        <v>425</v>
      </c>
      <c r="F16" s="1118"/>
      <c r="G16" s="1118" t="s">
        <v>534</v>
      </c>
      <c r="H16" s="1118" t="s">
        <v>544</v>
      </c>
      <c r="I16" s="1118" t="s">
        <v>545</v>
      </c>
      <c r="J16" s="1118" t="s">
        <v>546</v>
      </c>
      <c r="K16" s="1118" t="s">
        <v>522</v>
      </c>
      <c r="L16" s="1118" t="s">
        <v>480</v>
      </c>
      <c r="M16" s="1118" t="s">
        <v>431</v>
      </c>
      <c r="N16" s="1118" t="s">
        <v>547</v>
      </c>
      <c r="O16" s="1118"/>
      <c r="P16" s="1118"/>
      <c r="Q16" s="1118"/>
      <c r="R16" s="1122">
        <v>0.9</v>
      </c>
      <c r="S16" s="1118"/>
      <c r="T16" s="1120" t="s">
        <v>538</v>
      </c>
      <c r="U16" s="1118" t="s">
        <v>539</v>
      </c>
      <c r="V16" s="1124"/>
      <c r="W16" s="1124"/>
      <c r="X16" s="1124">
        <v>0.17</v>
      </c>
      <c r="Y16" s="1124"/>
      <c r="Z16" s="1124"/>
      <c r="AA16" s="1124">
        <v>0.25</v>
      </c>
      <c r="AB16" s="1124"/>
      <c r="AC16" s="1124"/>
      <c r="AD16" s="1124">
        <v>0.28</v>
      </c>
      <c r="AE16" s="1124"/>
      <c r="AF16" s="1124"/>
      <c r="AG16" s="1124">
        <v>0.2</v>
      </c>
      <c r="AH16" s="1124"/>
      <c r="AI16" s="1124"/>
      <c r="AJ16" s="1124">
        <v>0.16</v>
      </c>
      <c r="AK16" s="1124"/>
      <c r="AL16" s="1124"/>
      <c r="AM16" s="1124">
        <v>0.24</v>
      </c>
      <c r="AN16" s="1124"/>
      <c r="AO16" s="1124"/>
      <c r="AP16" s="1124"/>
      <c r="AQ16" s="1124"/>
      <c r="AR16" s="1124"/>
      <c r="AS16" s="1124"/>
      <c r="AT16" s="1124">
        <f>SUM(AH16:AS16)</f>
        <v>0.4</v>
      </c>
      <c r="AU16" s="1124">
        <f>+AT16/R16</f>
        <v>0.4444444444444445</v>
      </c>
      <c r="AV16" s="1126"/>
      <c r="AW16" s="1126"/>
      <c r="AX16" s="1128"/>
      <c r="AY16" s="1128"/>
    </row>
    <row r="17" spans="1:51" ht="264.75" customHeight="1">
      <c r="A17" s="1119"/>
      <c r="B17" s="1119"/>
      <c r="C17" s="1119"/>
      <c r="D17" s="1119"/>
      <c r="E17" s="1119"/>
      <c r="F17" s="1119"/>
      <c r="G17" s="1119"/>
      <c r="H17" s="1119"/>
      <c r="I17" s="1119"/>
      <c r="J17" s="1119"/>
      <c r="K17" s="1119"/>
      <c r="L17" s="1119"/>
      <c r="M17" s="1119"/>
      <c r="N17" s="1119"/>
      <c r="O17" s="1119"/>
      <c r="P17" s="1119"/>
      <c r="Q17" s="1119"/>
      <c r="R17" s="1123"/>
      <c r="S17" s="1119"/>
      <c r="T17" s="1121"/>
      <c r="U17" s="1119"/>
      <c r="V17" s="1125"/>
      <c r="W17" s="1125"/>
      <c r="X17" s="1125"/>
      <c r="Y17" s="1125"/>
      <c r="Z17" s="1125"/>
      <c r="AA17" s="1125"/>
      <c r="AB17" s="1125"/>
      <c r="AC17" s="1125"/>
      <c r="AD17" s="1125"/>
      <c r="AE17" s="1125"/>
      <c r="AF17" s="1125"/>
      <c r="AG17" s="1125"/>
      <c r="AH17" s="1125"/>
      <c r="AI17" s="1125"/>
      <c r="AJ17" s="1125"/>
      <c r="AK17" s="1125"/>
      <c r="AL17" s="1125"/>
      <c r="AM17" s="1125"/>
      <c r="AN17" s="1125"/>
      <c r="AO17" s="1125"/>
      <c r="AP17" s="1125"/>
      <c r="AQ17" s="1125"/>
      <c r="AR17" s="1125"/>
      <c r="AS17" s="1125"/>
      <c r="AT17" s="1125"/>
      <c r="AU17" s="1125"/>
      <c r="AV17" s="1127"/>
      <c r="AW17" s="1127"/>
      <c r="AX17" s="1129"/>
      <c r="AY17" s="1129"/>
    </row>
    <row r="18" spans="1:51" ht="401.25" customHeight="1">
      <c r="A18" s="121"/>
      <c r="B18" s="121"/>
      <c r="C18" s="121"/>
      <c r="D18" s="121"/>
      <c r="E18" s="459" t="s">
        <v>425</v>
      </c>
      <c r="F18" s="121"/>
      <c r="G18" s="122" t="s">
        <v>534</v>
      </c>
      <c r="H18" s="122" t="s">
        <v>843</v>
      </c>
      <c r="I18" s="122" t="s">
        <v>548</v>
      </c>
      <c r="J18" s="122" t="s">
        <v>549</v>
      </c>
      <c r="K18" s="121" t="s">
        <v>522</v>
      </c>
      <c r="L18" s="121" t="s">
        <v>480</v>
      </c>
      <c r="M18" s="121" t="s">
        <v>431</v>
      </c>
      <c r="N18" s="122" t="s">
        <v>550</v>
      </c>
      <c r="O18" s="124"/>
      <c r="P18" s="124"/>
      <c r="Q18" s="124"/>
      <c r="R18" s="293">
        <v>1</v>
      </c>
      <c r="S18" s="124"/>
      <c r="T18" s="121" t="s">
        <v>551</v>
      </c>
      <c r="U18" s="303" t="s">
        <v>552</v>
      </c>
      <c r="V18" s="304"/>
      <c r="W18" s="304"/>
      <c r="X18" s="304"/>
      <c r="Y18" s="304">
        <v>0.3</v>
      </c>
      <c r="Z18" s="304"/>
      <c r="AA18" s="304"/>
      <c r="AB18" s="304"/>
      <c r="AC18" s="304">
        <v>0.2</v>
      </c>
      <c r="AD18" s="304"/>
      <c r="AE18" s="304"/>
      <c r="AF18" s="304"/>
      <c r="AG18" s="304">
        <v>0.5</v>
      </c>
      <c r="AH18" s="304"/>
      <c r="AI18" s="304"/>
      <c r="AJ18" s="304"/>
      <c r="AK18" s="304">
        <v>0.3</v>
      </c>
      <c r="AL18" s="304"/>
      <c r="AM18" s="483"/>
      <c r="AN18" s="304"/>
      <c r="AO18" s="304"/>
      <c r="AP18" s="304"/>
      <c r="AQ18" s="304"/>
      <c r="AR18" s="304"/>
      <c r="AS18" s="124"/>
      <c r="AT18" s="460">
        <f>SUM(AH18:AS18)</f>
        <v>0.3</v>
      </c>
      <c r="AU18" s="304">
        <f>+AT18/R18</f>
        <v>0.3</v>
      </c>
      <c r="AV18" s="494"/>
      <c r="AW18" s="494"/>
      <c r="AX18" s="417"/>
      <c r="AY18" s="417"/>
    </row>
    <row r="19" spans="1:51" ht="54" customHeight="1">
      <c r="A19" s="781" t="s">
        <v>64</v>
      </c>
      <c r="B19" s="781"/>
      <c r="C19" s="781"/>
      <c r="D19" s="777" t="s">
        <v>66</v>
      </c>
      <c r="E19" s="777"/>
      <c r="F19" s="777"/>
      <c r="G19" s="777"/>
      <c r="H19" s="777"/>
      <c r="I19" s="777"/>
      <c r="J19" s="782" t="s">
        <v>300</v>
      </c>
      <c r="K19" s="782"/>
      <c r="L19" s="782"/>
      <c r="M19" s="782"/>
      <c r="N19" s="782"/>
      <c r="O19" s="782"/>
      <c r="P19" s="777" t="s">
        <v>66</v>
      </c>
      <c r="Q19" s="777"/>
      <c r="R19" s="777"/>
      <c r="S19" s="777"/>
      <c r="T19" s="777"/>
      <c r="U19" s="777"/>
      <c r="V19" s="777" t="s">
        <v>66</v>
      </c>
      <c r="W19" s="777"/>
      <c r="X19" s="777"/>
      <c r="Y19" s="777"/>
      <c r="Z19" s="777"/>
      <c r="AA19" s="777"/>
      <c r="AB19" s="777"/>
      <c r="AC19" s="777"/>
      <c r="AD19" s="777" t="s">
        <v>66</v>
      </c>
      <c r="AE19" s="777"/>
      <c r="AF19" s="777"/>
      <c r="AG19" s="777"/>
      <c r="AH19" s="777"/>
      <c r="AI19" s="777"/>
      <c r="AJ19" s="777"/>
      <c r="AK19" s="777"/>
      <c r="AL19" s="777"/>
      <c r="AM19" s="777"/>
      <c r="AN19" s="777"/>
      <c r="AO19" s="777"/>
      <c r="AP19" s="782" t="s">
        <v>318</v>
      </c>
      <c r="AQ19" s="782"/>
      <c r="AR19" s="782"/>
      <c r="AS19" s="782"/>
      <c r="AT19" s="777" t="s">
        <v>13</v>
      </c>
      <c r="AU19" s="777"/>
      <c r="AV19" s="777"/>
      <c r="AW19" s="777"/>
      <c r="AX19" s="777"/>
      <c r="AY19" s="777"/>
    </row>
    <row r="20" spans="1:51" ht="30" customHeight="1">
      <c r="A20" s="781"/>
      <c r="B20" s="781"/>
      <c r="C20" s="781"/>
      <c r="D20" s="777" t="s">
        <v>846</v>
      </c>
      <c r="E20" s="777"/>
      <c r="F20" s="777"/>
      <c r="G20" s="777"/>
      <c r="H20" s="777"/>
      <c r="I20" s="777"/>
      <c r="J20" s="782"/>
      <c r="K20" s="782"/>
      <c r="L20" s="782"/>
      <c r="M20" s="782"/>
      <c r="N20" s="782"/>
      <c r="O20" s="782"/>
      <c r="P20" s="777" t="s">
        <v>813</v>
      </c>
      <c r="Q20" s="777"/>
      <c r="R20" s="777"/>
      <c r="S20" s="777"/>
      <c r="T20" s="777"/>
      <c r="U20" s="777"/>
      <c r="V20" s="777" t="s">
        <v>65</v>
      </c>
      <c r="W20" s="777"/>
      <c r="X20" s="777"/>
      <c r="Y20" s="777"/>
      <c r="Z20" s="777"/>
      <c r="AA20" s="777"/>
      <c r="AB20" s="777"/>
      <c r="AC20" s="777"/>
      <c r="AD20" s="777" t="s">
        <v>65</v>
      </c>
      <c r="AE20" s="777"/>
      <c r="AF20" s="777"/>
      <c r="AG20" s="777"/>
      <c r="AH20" s="777"/>
      <c r="AI20" s="777"/>
      <c r="AJ20" s="777"/>
      <c r="AK20" s="777"/>
      <c r="AL20" s="777"/>
      <c r="AM20" s="777"/>
      <c r="AN20" s="777"/>
      <c r="AO20" s="777"/>
      <c r="AP20" s="782"/>
      <c r="AQ20" s="782"/>
      <c r="AR20" s="782"/>
      <c r="AS20" s="782"/>
      <c r="AT20" s="777" t="s">
        <v>771</v>
      </c>
      <c r="AU20" s="777"/>
      <c r="AV20" s="777"/>
      <c r="AW20" s="777"/>
      <c r="AX20" s="777"/>
      <c r="AY20" s="777"/>
    </row>
    <row r="21" spans="1:51" ht="30" customHeight="1">
      <c r="A21" s="781"/>
      <c r="B21" s="781"/>
      <c r="C21" s="781"/>
      <c r="D21" s="777" t="s">
        <v>847</v>
      </c>
      <c r="E21" s="777"/>
      <c r="F21" s="777"/>
      <c r="G21" s="777"/>
      <c r="H21" s="777"/>
      <c r="I21" s="777"/>
      <c r="J21" s="782"/>
      <c r="K21" s="782"/>
      <c r="L21" s="782"/>
      <c r="M21" s="782"/>
      <c r="N21" s="782"/>
      <c r="O21" s="782"/>
      <c r="P21" s="777" t="s">
        <v>814</v>
      </c>
      <c r="Q21" s="777"/>
      <c r="R21" s="777"/>
      <c r="S21" s="777"/>
      <c r="T21" s="777"/>
      <c r="U21" s="777"/>
      <c r="V21" s="777" t="s">
        <v>297</v>
      </c>
      <c r="W21" s="777"/>
      <c r="X21" s="777"/>
      <c r="Y21" s="777"/>
      <c r="Z21" s="777"/>
      <c r="AA21" s="777"/>
      <c r="AB21" s="777"/>
      <c r="AC21" s="777"/>
      <c r="AD21" s="777" t="s">
        <v>297</v>
      </c>
      <c r="AE21" s="777"/>
      <c r="AF21" s="777"/>
      <c r="AG21" s="777"/>
      <c r="AH21" s="777"/>
      <c r="AI21" s="777"/>
      <c r="AJ21" s="777"/>
      <c r="AK21" s="777"/>
      <c r="AL21" s="777"/>
      <c r="AM21" s="777"/>
      <c r="AN21" s="777"/>
      <c r="AO21" s="777"/>
      <c r="AP21" s="782"/>
      <c r="AQ21" s="782"/>
      <c r="AR21" s="782"/>
      <c r="AS21" s="782"/>
      <c r="AT21" s="777" t="s">
        <v>75</v>
      </c>
      <c r="AU21" s="777"/>
      <c r="AV21" s="777"/>
      <c r="AW21" s="777"/>
      <c r="AX21" s="777"/>
      <c r="AY21" s="777"/>
    </row>
  </sheetData>
  <sheetProtection/>
  <mergeCells count="158">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20:AY20"/>
    <mergeCell ref="AH11:AS11"/>
    <mergeCell ref="AT11:AU11"/>
    <mergeCell ref="A19:C21"/>
    <mergeCell ref="D19:I19"/>
    <mergeCell ref="J19:O21"/>
    <mergeCell ref="P19:U19"/>
    <mergeCell ref="V19:AC19"/>
    <mergeCell ref="AD19:AO19"/>
    <mergeCell ref="AP19:AS21"/>
    <mergeCell ref="D21:I21"/>
    <mergeCell ref="P21:U21"/>
    <mergeCell ref="V21:AC21"/>
    <mergeCell ref="AD21:AO21"/>
    <mergeCell ref="AT21:AY21"/>
    <mergeCell ref="AT19:AY19"/>
    <mergeCell ref="D20:I20"/>
    <mergeCell ref="P20:U20"/>
    <mergeCell ref="V20:AC20"/>
    <mergeCell ref="AD20:AO20"/>
    <mergeCell ref="AW14:AW15"/>
    <mergeCell ref="AV14:AV15"/>
    <mergeCell ref="AX14:AX15"/>
    <mergeCell ref="AY14:AY15"/>
    <mergeCell ref="AU14:A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U14:U1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W16:AW17"/>
    <mergeCell ref="AV16:AV17"/>
    <mergeCell ref="AX16:AX17"/>
    <mergeCell ref="AY16:AY17"/>
    <mergeCell ref="AU16:A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U16:U17"/>
    <mergeCell ref="A16:A17"/>
    <mergeCell ref="B16:B17"/>
    <mergeCell ref="C16:C17"/>
    <mergeCell ref="D16:D17"/>
    <mergeCell ref="E16:E17"/>
    <mergeCell ref="F16:F17"/>
    <mergeCell ref="G16:G17"/>
    <mergeCell ref="H16:H17"/>
    <mergeCell ref="I16:I17"/>
    <mergeCell ref="J16:J17"/>
    <mergeCell ref="K16:K17"/>
    <mergeCell ref="L16:L17"/>
    <mergeCell ref="S16:S17"/>
    <mergeCell ref="T16:T17"/>
    <mergeCell ref="M16:M17"/>
    <mergeCell ref="N16:N17"/>
    <mergeCell ref="O16:O17"/>
    <mergeCell ref="P16:P17"/>
    <mergeCell ref="Q16:Q17"/>
    <mergeCell ref="R16:R17"/>
  </mergeCells>
  <printOptions/>
  <pageMargins left="0.7" right="0.7" top="0.75" bottom="0.75" header="0.3" footer="0.3"/>
  <pageSetup fitToHeight="0" fitToWidth="1" horizontalDpi="600" verticalDpi="600" orientation="landscape" scale="16"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22"/>
  <sheetViews>
    <sheetView zoomScale="48" zoomScaleNormal="48" zoomScalePageLayoutView="0" workbookViewId="0" topLeftCell="A1">
      <selection activeCell="AV13" sqref="AV13:AY19"/>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421875" style="113" customWidth="1"/>
    <col min="46" max="46" width="17.140625" style="113" customWidth="1"/>
    <col min="47" max="47" width="15.8515625" style="217" customWidth="1"/>
    <col min="48" max="49" width="93.57421875" style="113" customWidth="1"/>
    <col min="50" max="51" width="33.5742187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18</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478</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783</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228"/>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1132"/>
      <c r="AJ6" s="1132"/>
      <c r="AK6" s="1132"/>
      <c r="AL6" s="1132"/>
      <c r="AM6" s="1132"/>
      <c r="AN6" s="1132"/>
      <c r="AO6" s="1132"/>
      <c r="AP6" s="1132"/>
      <c r="AQ6" s="1132"/>
      <c r="AR6" s="1132"/>
      <c r="AS6" s="1132"/>
      <c r="AT6" s="1132"/>
      <c r="AU6" s="793"/>
      <c r="AV6" s="786"/>
      <c r="AW6" s="786"/>
      <c r="AX6" s="786"/>
      <c r="AY6" s="786"/>
    </row>
    <row r="7" spans="1:51" ht="15" customHeight="1">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31"/>
      <c r="Y7" s="231"/>
      <c r="Z7" s="231"/>
      <c r="AA7" s="231"/>
      <c r="AB7" s="231"/>
      <c r="AC7" s="231"/>
      <c r="AD7" s="231"/>
      <c r="AE7" s="231"/>
      <c r="AF7" s="231"/>
      <c r="AG7" s="117"/>
      <c r="AH7" s="791"/>
      <c r="AI7" s="1132"/>
      <c r="AJ7" s="1132"/>
      <c r="AK7" s="1132"/>
      <c r="AL7" s="1132"/>
      <c r="AM7" s="1132"/>
      <c r="AN7" s="1132"/>
      <c r="AO7" s="1132"/>
      <c r="AP7" s="1132"/>
      <c r="AQ7" s="1132"/>
      <c r="AR7" s="1132"/>
      <c r="AS7" s="1132"/>
      <c r="AT7" s="113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1132"/>
      <c r="AJ8" s="1132"/>
      <c r="AK8" s="1132"/>
      <c r="AL8" s="1132"/>
      <c r="AM8" s="1132"/>
      <c r="AN8" s="1132"/>
      <c r="AO8" s="1132"/>
      <c r="AP8" s="1132"/>
      <c r="AQ8" s="1132"/>
      <c r="AR8" s="1132"/>
      <c r="AS8" s="1132"/>
      <c r="AT8" s="1132"/>
      <c r="AU8" s="793"/>
      <c r="AV8" s="786"/>
      <c r="AW8" s="786"/>
      <c r="AX8" s="786"/>
      <c r="AY8" s="786"/>
    </row>
    <row r="9" spans="1:51" ht="15" customHeight="1">
      <c r="A9" s="766" t="s">
        <v>399</v>
      </c>
      <c r="B9" s="767"/>
      <c r="C9" s="768"/>
      <c r="D9" s="760"/>
      <c r="E9" s="761"/>
      <c r="F9" s="761"/>
      <c r="G9" s="761"/>
      <c r="H9" s="761"/>
      <c r="I9" s="761"/>
      <c r="J9" s="761"/>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7"/>
      <c r="AH9" s="791"/>
      <c r="AI9" s="1132"/>
      <c r="AJ9" s="1132"/>
      <c r="AK9" s="1132"/>
      <c r="AL9" s="1132"/>
      <c r="AM9" s="1132"/>
      <c r="AN9" s="1132"/>
      <c r="AO9" s="1132"/>
      <c r="AP9" s="1132"/>
      <c r="AQ9" s="1132"/>
      <c r="AR9" s="1132"/>
      <c r="AS9" s="1132"/>
      <c r="AT9" s="1132"/>
      <c r="AU9" s="793"/>
      <c r="AV9" s="786"/>
      <c r="AW9" s="786"/>
      <c r="AX9" s="786"/>
      <c r="AY9" s="786"/>
    </row>
    <row r="10" spans="1:51" ht="15" customHeight="1">
      <c r="A10" s="799" t="s">
        <v>287</v>
      </c>
      <c r="B10" s="800"/>
      <c r="C10" s="801"/>
      <c r="D10" s="1115" t="s">
        <v>500</v>
      </c>
      <c r="E10" s="1116"/>
      <c r="F10" s="1116"/>
      <c r="G10" s="1116"/>
      <c r="H10" s="1116"/>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116"/>
      <c r="AF10" s="1116"/>
      <c r="AG10" s="1117"/>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120">
        <v>2023</v>
      </c>
      <c r="S12" s="120">
        <v>2024</v>
      </c>
      <c r="T12" s="779"/>
      <c r="U12" s="779"/>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9"/>
      <c r="AW12" s="779"/>
      <c r="AX12" s="779"/>
      <c r="AY12" s="779"/>
    </row>
    <row r="13" spans="1:51" ht="136.5" customHeight="1">
      <c r="A13" s="128"/>
      <c r="B13" s="121"/>
      <c r="C13" s="121"/>
      <c r="D13" s="121"/>
      <c r="E13" s="121" t="s">
        <v>425</v>
      </c>
      <c r="F13" s="121"/>
      <c r="G13" s="242" t="s">
        <v>479</v>
      </c>
      <c r="H13" s="121" t="s">
        <v>480</v>
      </c>
      <c r="I13" s="122" t="s">
        <v>481</v>
      </c>
      <c r="J13" s="122" t="s">
        <v>760</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366"/>
      <c r="AC13" s="366"/>
      <c r="AD13" s="366">
        <v>0.28</v>
      </c>
      <c r="AE13" s="366"/>
      <c r="AF13" s="366"/>
      <c r="AG13" s="366">
        <v>0.25</v>
      </c>
      <c r="AH13" s="124"/>
      <c r="AI13" s="124"/>
      <c r="AJ13" s="307">
        <v>0.21</v>
      </c>
      <c r="AK13" s="124"/>
      <c r="AL13" s="124"/>
      <c r="AM13" s="489">
        <v>0.24</v>
      </c>
      <c r="AN13" s="124"/>
      <c r="AO13" s="124"/>
      <c r="AP13" s="124"/>
      <c r="AQ13" s="124"/>
      <c r="AR13" s="124"/>
      <c r="AS13" s="124"/>
      <c r="AT13" s="127">
        <f>SUM(AH13:AS13)</f>
        <v>0.44999999999999996</v>
      </c>
      <c r="AU13" s="127">
        <f aca="true" t="shared" si="0" ref="AU13:AU18">+AT13/R13</f>
        <v>0.44999999999999996</v>
      </c>
      <c r="AV13" s="520"/>
      <c r="AW13" s="520"/>
      <c r="AX13" s="421"/>
      <c r="AY13" s="521"/>
    </row>
    <row r="14" spans="1:51" ht="76.5" customHeight="1">
      <c r="A14" s="128"/>
      <c r="B14" s="121"/>
      <c r="C14" s="121"/>
      <c r="D14" s="121"/>
      <c r="E14" s="458" t="s">
        <v>425</v>
      </c>
      <c r="F14" s="121"/>
      <c r="G14" s="242" t="s">
        <v>479</v>
      </c>
      <c r="H14" s="121" t="s">
        <v>480</v>
      </c>
      <c r="I14" s="122" t="s">
        <v>484</v>
      </c>
      <c r="J14" s="122" t="s">
        <v>761</v>
      </c>
      <c r="K14" s="121" t="s">
        <v>453</v>
      </c>
      <c r="L14" s="121"/>
      <c r="M14" s="243" t="s">
        <v>431</v>
      </c>
      <c r="N14" s="122" t="s">
        <v>485</v>
      </c>
      <c r="O14" s="124"/>
      <c r="P14" s="124"/>
      <c r="Q14" s="124"/>
      <c r="R14" s="244">
        <v>1</v>
      </c>
      <c r="S14" s="244"/>
      <c r="T14" s="121" t="s">
        <v>460</v>
      </c>
      <c r="U14" s="122" t="s">
        <v>699</v>
      </c>
      <c r="V14" s="366">
        <v>1</v>
      </c>
      <c r="W14" s="366">
        <v>1</v>
      </c>
      <c r="X14" s="366">
        <v>1</v>
      </c>
      <c r="Y14" s="366">
        <v>1</v>
      </c>
      <c r="Z14" s="366">
        <v>1</v>
      </c>
      <c r="AA14" s="366">
        <v>1</v>
      </c>
      <c r="AB14" s="366">
        <v>1</v>
      </c>
      <c r="AC14" s="366">
        <v>1</v>
      </c>
      <c r="AD14" s="366">
        <v>1</v>
      </c>
      <c r="AE14" s="366">
        <v>1</v>
      </c>
      <c r="AF14" s="366">
        <v>1</v>
      </c>
      <c r="AG14" s="366">
        <v>1</v>
      </c>
      <c r="AH14" s="307">
        <v>1</v>
      </c>
      <c r="AI14" s="307">
        <v>1</v>
      </c>
      <c r="AJ14" s="307">
        <v>1</v>
      </c>
      <c r="AK14" s="307">
        <v>1</v>
      </c>
      <c r="AL14" s="307">
        <v>1</v>
      </c>
      <c r="AM14" s="489">
        <v>1</v>
      </c>
      <c r="AN14" s="124"/>
      <c r="AO14" s="124"/>
      <c r="AP14" s="124"/>
      <c r="AQ14" s="124"/>
      <c r="AR14" s="124"/>
      <c r="AS14" s="124"/>
      <c r="AT14" s="307">
        <f>AVERAGE(AH14:AS14)</f>
        <v>1</v>
      </c>
      <c r="AU14" s="127">
        <f t="shared" si="0"/>
        <v>1</v>
      </c>
      <c r="AV14" s="522"/>
      <c r="AW14" s="522"/>
      <c r="AX14" s="453"/>
      <c r="AY14" s="453"/>
    </row>
    <row r="15" spans="1:51" ht="117" customHeight="1">
      <c r="A15" s="121"/>
      <c r="B15" s="121"/>
      <c r="C15" s="121"/>
      <c r="D15" s="121"/>
      <c r="E15" s="458" t="s">
        <v>425</v>
      </c>
      <c r="F15" s="121"/>
      <c r="G15" s="242" t="s">
        <v>479</v>
      </c>
      <c r="H15" s="121" t="s">
        <v>480</v>
      </c>
      <c r="I15" s="122" t="s">
        <v>486</v>
      </c>
      <c r="J15" s="122" t="s">
        <v>762</v>
      </c>
      <c r="K15" s="121" t="s">
        <v>453</v>
      </c>
      <c r="L15" s="121"/>
      <c r="M15" s="243" t="s">
        <v>431</v>
      </c>
      <c r="N15" s="122" t="s">
        <v>487</v>
      </c>
      <c r="O15" s="124"/>
      <c r="P15" s="124"/>
      <c r="Q15" s="124"/>
      <c r="R15" s="244">
        <v>1</v>
      </c>
      <c r="S15" s="244"/>
      <c r="T15" s="121" t="s">
        <v>460</v>
      </c>
      <c r="U15" s="122" t="s">
        <v>699</v>
      </c>
      <c r="V15" s="366">
        <v>1</v>
      </c>
      <c r="W15" s="366">
        <v>1</v>
      </c>
      <c r="X15" s="366">
        <v>1</v>
      </c>
      <c r="Y15" s="366">
        <v>1</v>
      </c>
      <c r="Z15" s="366">
        <v>1</v>
      </c>
      <c r="AA15" s="366">
        <v>1</v>
      </c>
      <c r="AB15" s="366">
        <v>1</v>
      </c>
      <c r="AC15" s="366">
        <v>1</v>
      </c>
      <c r="AD15" s="366">
        <v>1</v>
      </c>
      <c r="AE15" s="366">
        <v>1</v>
      </c>
      <c r="AF15" s="366">
        <v>1</v>
      </c>
      <c r="AG15" s="366">
        <v>1</v>
      </c>
      <c r="AH15" s="307">
        <v>1</v>
      </c>
      <c r="AI15" s="307">
        <v>1</v>
      </c>
      <c r="AJ15" s="307">
        <v>1</v>
      </c>
      <c r="AK15" s="307">
        <v>1</v>
      </c>
      <c r="AL15" s="307">
        <v>1</v>
      </c>
      <c r="AM15" s="489">
        <v>1</v>
      </c>
      <c r="AN15" s="124"/>
      <c r="AO15" s="124"/>
      <c r="AP15" s="124"/>
      <c r="AQ15" s="124"/>
      <c r="AR15" s="124"/>
      <c r="AS15" s="124"/>
      <c r="AT15" s="307">
        <f>AVERAGE(AH15:AS15)</f>
        <v>1</v>
      </c>
      <c r="AU15" s="127">
        <f t="shared" si="0"/>
        <v>1</v>
      </c>
      <c r="AV15" s="522"/>
      <c r="AW15" s="522"/>
      <c r="AX15" s="453"/>
      <c r="AY15" s="453"/>
    </row>
    <row r="16" spans="1:51" ht="273.75" customHeight="1">
      <c r="A16" s="121"/>
      <c r="B16" s="121"/>
      <c r="C16" s="121"/>
      <c r="D16" s="121"/>
      <c r="E16" s="458" t="s">
        <v>425</v>
      </c>
      <c r="F16" s="121"/>
      <c r="G16" s="242" t="s">
        <v>479</v>
      </c>
      <c r="H16" s="121" t="s">
        <v>480</v>
      </c>
      <c r="I16" s="122" t="s">
        <v>488</v>
      </c>
      <c r="J16" s="122" t="s">
        <v>763</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366">
        <v>1</v>
      </c>
      <c r="AC16" s="366">
        <v>1</v>
      </c>
      <c r="AD16" s="366">
        <v>1</v>
      </c>
      <c r="AE16" s="366">
        <v>1</v>
      </c>
      <c r="AF16" s="366">
        <v>1</v>
      </c>
      <c r="AG16" s="366">
        <v>1</v>
      </c>
      <c r="AH16" s="307">
        <v>1</v>
      </c>
      <c r="AI16" s="307">
        <v>1</v>
      </c>
      <c r="AJ16" s="307">
        <v>1</v>
      </c>
      <c r="AK16" s="307">
        <v>1</v>
      </c>
      <c r="AL16" s="307">
        <v>1</v>
      </c>
      <c r="AM16" s="489">
        <v>1</v>
      </c>
      <c r="AN16" s="124"/>
      <c r="AO16" s="124"/>
      <c r="AP16" s="124"/>
      <c r="AQ16" s="124"/>
      <c r="AR16" s="124"/>
      <c r="AS16" s="124"/>
      <c r="AT16" s="307">
        <f>AVERAGE(AH16:AS16)</f>
        <v>1</v>
      </c>
      <c r="AU16" s="127">
        <f t="shared" si="0"/>
        <v>1</v>
      </c>
      <c r="AV16" s="421"/>
      <c r="AW16" s="473"/>
      <c r="AX16" s="453"/>
      <c r="AY16" s="453"/>
    </row>
    <row r="17" spans="1:51" ht="93" customHeight="1">
      <c r="A17" s="121"/>
      <c r="B17" s="121"/>
      <c r="C17" s="121"/>
      <c r="D17" s="121"/>
      <c r="E17" s="458" t="s">
        <v>425</v>
      </c>
      <c r="F17" s="121"/>
      <c r="G17" s="242" t="s">
        <v>479</v>
      </c>
      <c r="H17" s="122" t="s">
        <v>844</v>
      </c>
      <c r="I17" s="122" t="s">
        <v>491</v>
      </c>
      <c r="J17" s="122" t="s">
        <v>764</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366"/>
      <c r="AC17" s="366">
        <v>1</v>
      </c>
      <c r="AD17" s="366"/>
      <c r="AE17" s="366"/>
      <c r="AF17" s="366"/>
      <c r="AG17" s="366">
        <v>1</v>
      </c>
      <c r="AH17" s="366"/>
      <c r="AI17" s="124"/>
      <c r="AJ17" s="124"/>
      <c r="AK17" s="307">
        <v>1</v>
      </c>
      <c r="AL17" s="124"/>
      <c r="AM17" s="124"/>
      <c r="AN17" s="124"/>
      <c r="AO17" s="124"/>
      <c r="AP17" s="124"/>
      <c r="AQ17" s="124"/>
      <c r="AR17" s="124"/>
      <c r="AS17" s="124"/>
      <c r="AT17" s="307">
        <f>AVERAGE(AH17:AS17)</f>
        <v>1</v>
      </c>
      <c r="AU17" s="127">
        <f t="shared" si="0"/>
        <v>1</v>
      </c>
      <c r="AV17" s="520"/>
      <c r="AW17" s="520"/>
      <c r="AX17" s="417"/>
      <c r="AY17" s="417"/>
    </row>
    <row r="18" spans="1:51" ht="309" customHeight="1">
      <c r="A18" s="1120"/>
      <c r="B18" s="1120"/>
      <c r="C18" s="1120"/>
      <c r="D18" s="1120"/>
      <c r="E18" s="1120" t="s">
        <v>425</v>
      </c>
      <c r="F18" s="1120"/>
      <c r="G18" s="1136" t="s">
        <v>479</v>
      </c>
      <c r="H18" s="1136" t="s">
        <v>844</v>
      </c>
      <c r="I18" s="1136" t="s">
        <v>494</v>
      </c>
      <c r="J18" s="1136" t="s">
        <v>765</v>
      </c>
      <c r="K18" s="1136" t="s">
        <v>453</v>
      </c>
      <c r="L18" s="1136"/>
      <c r="M18" s="1136" t="s">
        <v>431</v>
      </c>
      <c r="N18" s="1136" t="s">
        <v>495</v>
      </c>
      <c r="O18" s="1120"/>
      <c r="P18" s="1120"/>
      <c r="Q18" s="1120"/>
      <c r="R18" s="1124">
        <v>1</v>
      </c>
      <c r="S18" s="1120"/>
      <c r="T18" s="1120" t="s">
        <v>460</v>
      </c>
      <c r="U18" s="1136" t="s">
        <v>496</v>
      </c>
      <c r="V18" s="1006">
        <v>1</v>
      </c>
      <c r="W18" s="1006">
        <v>1</v>
      </c>
      <c r="X18" s="1006">
        <v>1</v>
      </c>
      <c r="Y18" s="1006">
        <v>1</v>
      </c>
      <c r="Z18" s="1006">
        <v>1</v>
      </c>
      <c r="AA18" s="1006">
        <v>1</v>
      </c>
      <c r="AB18" s="1006">
        <v>1</v>
      </c>
      <c r="AC18" s="1006">
        <v>1</v>
      </c>
      <c r="AD18" s="1006">
        <v>1</v>
      </c>
      <c r="AE18" s="1006">
        <v>1</v>
      </c>
      <c r="AF18" s="1006">
        <v>1</v>
      </c>
      <c r="AG18" s="1006">
        <v>1</v>
      </c>
      <c r="AH18" s="1006">
        <v>1</v>
      </c>
      <c r="AI18" s="1006">
        <v>1</v>
      </c>
      <c r="AJ18" s="1006">
        <v>1</v>
      </c>
      <c r="AK18" s="1006">
        <v>1</v>
      </c>
      <c r="AL18" s="1006">
        <v>1</v>
      </c>
      <c r="AM18" s="1006">
        <v>1</v>
      </c>
      <c r="AN18" s="1006"/>
      <c r="AO18" s="1006"/>
      <c r="AP18" s="1006"/>
      <c r="AQ18" s="1006"/>
      <c r="AR18" s="1006"/>
      <c r="AS18" s="1006"/>
      <c r="AT18" s="1138">
        <f>AVERAGE(AH18:AS18)</f>
        <v>1</v>
      </c>
      <c r="AU18" s="1124">
        <f t="shared" si="0"/>
        <v>1</v>
      </c>
      <c r="AV18" s="1134"/>
      <c r="AW18" s="1134"/>
      <c r="AX18" s="1134"/>
      <c r="AY18" s="1134"/>
    </row>
    <row r="19" spans="1:51" ht="309" customHeight="1">
      <c r="A19" s="1121"/>
      <c r="B19" s="1121"/>
      <c r="C19" s="1121"/>
      <c r="D19" s="1121"/>
      <c r="E19" s="1121"/>
      <c r="F19" s="1121"/>
      <c r="G19" s="1137"/>
      <c r="H19" s="1137"/>
      <c r="I19" s="1137"/>
      <c r="J19" s="1137"/>
      <c r="K19" s="1137"/>
      <c r="L19" s="1137"/>
      <c r="M19" s="1137"/>
      <c r="N19" s="1137"/>
      <c r="O19" s="1121"/>
      <c r="P19" s="1121"/>
      <c r="Q19" s="1121"/>
      <c r="R19" s="1125"/>
      <c r="S19" s="1121"/>
      <c r="T19" s="1121"/>
      <c r="U19" s="1137"/>
      <c r="V19" s="1140"/>
      <c r="W19" s="1140"/>
      <c r="X19" s="1140"/>
      <c r="Y19" s="1140"/>
      <c r="Z19" s="1140"/>
      <c r="AA19" s="1140"/>
      <c r="AB19" s="1140"/>
      <c r="AC19" s="1140"/>
      <c r="AD19" s="1140"/>
      <c r="AE19" s="1140"/>
      <c r="AF19" s="1140"/>
      <c r="AG19" s="1140"/>
      <c r="AH19" s="1140"/>
      <c r="AI19" s="1140"/>
      <c r="AJ19" s="1140"/>
      <c r="AK19" s="1140"/>
      <c r="AL19" s="1140"/>
      <c r="AM19" s="1140"/>
      <c r="AN19" s="1140"/>
      <c r="AO19" s="1140"/>
      <c r="AP19" s="1140"/>
      <c r="AQ19" s="1140"/>
      <c r="AR19" s="1140"/>
      <c r="AS19" s="1140"/>
      <c r="AT19" s="1139"/>
      <c r="AU19" s="1125"/>
      <c r="AV19" s="1135"/>
      <c r="AW19" s="1135"/>
      <c r="AX19" s="1135"/>
      <c r="AY19" s="1135"/>
    </row>
    <row r="20" spans="1:51" ht="54" customHeight="1">
      <c r="A20" s="781" t="s">
        <v>64</v>
      </c>
      <c r="B20" s="781"/>
      <c r="C20" s="781"/>
      <c r="D20" s="777" t="s">
        <v>66</v>
      </c>
      <c r="E20" s="777"/>
      <c r="F20" s="777"/>
      <c r="G20" s="777"/>
      <c r="H20" s="777"/>
      <c r="I20" s="777"/>
      <c r="J20" s="782" t="s">
        <v>300</v>
      </c>
      <c r="K20" s="782"/>
      <c r="L20" s="782"/>
      <c r="M20" s="782"/>
      <c r="N20" s="782"/>
      <c r="O20" s="782"/>
      <c r="P20" s="777" t="s">
        <v>66</v>
      </c>
      <c r="Q20" s="777"/>
      <c r="R20" s="777"/>
      <c r="S20" s="777"/>
      <c r="T20" s="777"/>
      <c r="U20" s="777"/>
      <c r="V20" s="777" t="s">
        <v>66</v>
      </c>
      <c r="W20" s="777"/>
      <c r="X20" s="777"/>
      <c r="Y20" s="777"/>
      <c r="Z20" s="777"/>
      <c r="AA20" s="777"/>
      <c r="AB20" s="777"/>
      <c r="AC20" s="777"/>
      <c r="AD20" s="777" t="s">
        <v>66</v>
      </c>
      <c r="AE20" s="777"/>
      <c r="AF20" s="777"/>
      <c r="AG20" s="777"/>
      <c r="AH20" s="777"/>
      <c r="AI20" s="777"/>
      <c r="AJ20" s="777"/>
      <c r="AK20" s="777"/>
      <c r="AL20" s="777"/>
      <c r="AM20" s="777"/>
      <c r="AN20" s="777"/>
      <c r="AO20" s="777"/>
      <c r="AP20" s="782" t="s">
        <v>318</v>
      </c>
      <c r="AQ20" s="782"/>
      <c r="AR20" s="782"/>
      <c r="AS20" s="782"/>
      <c r="AT20" s="777" t="s">
        <v>13</v>
      </c>
      <c r="AU20" s="777"/>
      <c r="AV20" s="777"/>
      <c r="AW20" s="777"/>
      <c r="AX20" s="777"/>
      <c r="AY20" s="777"/>
    </row>
    <row r="21" spans="1:51" ht="30" customHeight="1">
      <c r="A21" s="781"/>
      <c r="B21" s="781"/>
      <c r="C21" s="781"/>
      <c r="D21" s="777" t="s">
        <v>807</v>
      </c>
      <c r="E21" s="777"/>
      <c r="F21" s="777"/>
      <c r="G21" s="777"/>
      <c r="H21" s="777"/>
      <c r="I21" s="777"/>
      <c r="J21" s="782"/>
      <c r="K21" s="782"/>
      <c r="L21" s="782"/>
      <c r="M21" s="782"/>
      <c r="N21" s="782"/>
      <c r="O21" s="782"/>
      <c r="P21" s="777" t="s">
        <v>771</v>
      </c>
      <c r="Q21" s="777"/>
      <c r="R21" s="777"/>
      <c r="S21" s="777"/>
      <c r="T21" s="777"/>
      <c r="U21" s="777"/>
      <c r="V21" s="777" t="s">
        <v>65</v>
      </c>
      <c r="W21" s="777"/>
      <c r="X21" s="777"/>
      <c r="Y21" s="777"/>
      <c r="Z21" s="777"/>
      <c r="AA21" s="777"/>
      <c r="AB21" s="777"/>
      <c r="AC21" s="777"/>
      <c r="AD21" s="777" t="s">
        <v>65</v>
      </c>
      <c r="AE21" s="777"/>
      <c r="AF21" s="777"/>
      <c r="AG21" s="777"/>
      <c r="AH21" s="777"/>
      <c r="AI21" s="777"/>
      <c r="AJ21" s="777"/>
      <c r="AK21" s="777"/>
      <c r="AL21" s="777"/>
      <c r="AM21" s="777"/>
      <c r="AN21" s="777"/>
      <c r="AO21" s="777"/>
      <c r="AP21" s="782"/>
      <c r="AQ21" s="782"/>
      <c r="AR21" s="782"/>
      <c r="AS21" s="782"/>
      <c r="AT21" s="777" t="s">
        <v>771</v>
      </c>
      <c r="AU21" s="777"/>
      <c r="AV21" s="777"/>
      <c r="AW21" s="777"/>
      <c r="AX21" s="777"/>
      <c r="AY21" s="777"/>
    </row>
    <row r="22" spans="1:51" ht="30" customHeight="1">
      <c r="A22" s="781"/>
      <c r="B22" s="781"/>
      <c r="C22" s="781"/>
      <c r="D22" s="777" t="s">
        <v>808</v>
      </c>
      <c r="E22" s="777"/>
      <c r="F22" s="777"/>
      <c r="G22" s="777"/>
      <c r="H22" s="777"/>
      <c r="I22" s="777"/>
      <c r="J22" s="782"/>
      <c r="K22" s="782"/>
      <c r="L22" s="782"/>
      <c r="M22" s="782"/>
      <c r="N22" s="782"/>
      <c r="O22" s="782"/>
      <c r="P22" s="777" t="s">
        <v>775</v>
      </c>
      <c r="Q22" s="777"/>
      <c r="R22" s="777"/>
      <c r="S22" s="777"/>
      <c r="T22" s="777"/>
      <c r="U22" s="777"/>
      <c r="V22" s="777" t="s">
        <v>297</v>
      </c>
      <c r="W22" s="777"/>
      <c r="X22" s="777"/>
      <c r="Y22" s="777"/>
      <c r="Z22" s="777"/>
      <c r="AA22" s="777"/>
      <c r="AB22" s="777"/>
      <c r="AC22" s="777"/>
      <c r="AD22" s="777" t="s">
        <v>297</v>
      </c>
      <c r="AE22" s="777"/>
      <c r="AF22" s="777"/>
      <c r="AG22" s="777"/>
      <c r="AH22" s="777"/>
      <c r="AI22" s="777"/>
      <c r="AJ22" s="777"/>
      <c r="AK22" s="777"/>
      <c r="AL22" s="777"/>
      <c r="AM22" s="777"/>
      <c r="AN22" s="777"/>
      <c r="AO22" s="777"/>
      <c r="AP22" s="782"/>
      <c r="AQ22" s="782"/>
      <c r="AR22" s="782"/>
      <c r="AS22" s="782"/>
      <c r="AT22" s="777" t="s">
        <v>75</v>
      </c>
      <c r="AU22" s="777"/>
      <c r="AV22" s="777"/>
      <c r="AW22" s="777"/>
      <c r="AX22" s="777"/>
      <c r="AY22" s="777"/>
    </row>
  </sheetData>
  <sheetProtection/>
  <mergeCells count="107">
    <mergeCell ref="AS18:AS19"/>
    <mergeCell ref="AM18:AM19"/>
    <mergeCell ref="AN18:AN19"/>
    <mergeCell ref="AO18:AO19"/>
    <mergeCell ref="AP18:AP19"/>
    <mergeCell ref="AQ18:AQ19"/>
    <mergeCell ref="AR18:AR19"/>
    <mergeCell ref="AG18:AG19"/>
    <mergeCell ref="AH18:AH19"/>
    <mergeCell ref="AI18:AI19"/>
    <mergeCell ref="AJ18:AJ19"/>
    <mergeCell ref="AK18:AK19"/>
    <mergeCell ref="AL18:AL19"/>
    <mergeCell ref="AA18:AA19"/>
    <mergeCell ref="AB18:AB19"/>
    <mergeCell ref="AC18:AC19"/>
    <mergeCell ref="AD18:AD19"/>
    <mergeCell ref="AE18:AE19"/>
    <mergeCell ref="AF18:AF19"/>
    <mergeCell ref="S18:S19"/>
    <mergeCell ref="T18:T19"/>
    <mergeCell ref="U18:U19"/>
    <mergeCell ref="AU18:AU19"/>
    <mergeCell ref="AT18:AT19"/>
    <mergeCell ref="V18:V19"/>
    <mergeCell ref="W18:W19"/>
    <mergeCell ref="X18:X19"/>
    <mergeCell ref="Y18:Y19"/>
    <mergeCell ref="Z18:Z19"/>
    <mergeCell ref="M18:M19"/>
    <mergeCell ref="N18:N19"/>
    <mergeCell ref="O18:O19"/>
    <mergeCell ref="P18:P19"/>
    <mergeCell ref="Q18:Q19"/>
    <mergeCell ref="R18:R19"/>
    <mergeCell ref="G18:G19"/>
    <mergeCell ref="H18:H19"/>
    <mergeCell ref="I18:I19"/>
    <mergeCell ref="J18:J19"/>
    <mergeCell ref="K18:K19"/>
    <mergeCell ref="L18:L19"/>
    <mergeCell ref="AV18:AV19"/>
    <mergeCell ref="AW18:AW19"/>
    <mergeCell ref="AX18:AX19"/>
    <mergeCell ref="AY18:AY19"/>
    <mergeCell ref="A18:A19"/>
    <mergeCell ref="B18:B19"/>
    <mergeCell ref="C18:C19"/>
    <mergeCell ref="D18:D19"/>
    <mergeCell ref="E18:E19"/>
    <mergeCell ref="F18:F19"/>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2:AC22"/>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20:C22"/>
    <mergeCell ref="D20:I20"/>
    <mergeCell ref="J20:O22"/>
    <mergeCell ref="P20:U20"/>
    <mergeCell ref="V20:AC20"/>
    <mergeCell ref="AD20:AO20"/>
    <mergeCell ref="D22:I22"/>
    <mergeCell ref="AD22:AO22"/>
    <mergeCell ref="AT22:AY22"/>
    <mergeCell ref="AT20:AY20"/>
    <mergeCell ref="D21:I21"/>
    <mergeCell ref="P21:U21"/>
    <mergeCell ref="V21:AC21"/>
    <mergeCell ref="AD21:AO21"/>
    <mergeCell ref="AT21:AY21"/>
    <mergeCell ref="AP20:AS22"/>
    <mergeCell ref="P22:U22"/>
  </mergeCells>
  <printOptions/>
  <pageMargins left="0.7" right="0.7" top="0.75" bottom="0.75" header="0.3" footer="0.3"/>
  <pageSetup fitToHeight="0" fitToWidth="1" horizontalDpi="600" verticalDpi="600" orientation="landscape" scale="15"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AY19"/>
  <sheetViews>
    <sheetView view="pageBreakPreview" zoomScale="60" zoomScaleNormal="61" zoomScalePageLayoutView="0" workbookViewId="0" topLeftCell="A5">
      <selection activeCell="AV13" sqref="AV13:AY16"/>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00390625" style="113" customWidth="1"/>
    <col min="46" max="46" width="18.28125" style="113" customWidth="1"/>
    <col min="47" max="47" width="12.57421875" style="217" customWidth="1"/>
    <col min="48" max="51" width="61.7109375" style="113" customWidth="1"/>
    <col min="52" max="16384" width="10.8515625" style="113" customWidth="1"/>
  </cols>
  <sheetData>
    <row r="1" spans="1:51" ht="15.75" customHeight="1">
      <c r="A1" s="810" t="s">
        <v>16</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1027" t="s">
        <v>423</v>
      </c>
      <c r="AY1" s="1028"/>
    </row>
    <row r="2" spans="1:51" ht="15.75" customHeight="1">
      <c r="A2" s="810" t="s">
        <v>17</v>
      </c>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1030" t="s">
        <v>418</v>
      </c>
      <c r="AY2" s="1031"/>
    </row>
    <row r="3" spans="1:51" ht="15" customHeight="1">
      <c r="A3" s="810" t="s">
        <v>195</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1030" t="s">
        <v>424</v>
      </c>
      <c r="AY3" s="1031"/>
    </row>
    <row r="4" spans="1:51" ht="15.75" customHeight="1">
      <c r="A4" s="810"/>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759" t="s">
        <v>784</v>
      </c>
      <c r="AY4" s="759"/>
    </row>
    <row r="5" spans="1:51" ht="15" customHeight="1">
      <c r="A5" s="797" t="s">
        <v>174</v>
      </c>
      <c r="B5" s="797"/>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t="s">
        <v>69</v>
      </c>
      <c r="AI5" s="797"/>
      <c r="AJ5" s="797"/>
      <c r="AK5" s="797"/>
      <c r="AL5" s="797"/>
      <c r="AM5" s="797"/>
      <c r="AN5" s="797"/>
      <c r="AO5" s="797"/>
      <c r="AP5" s="797"/>
      <c r="AQ5" s="797"/>
      <c r="AR5" s="797"/>
      <c r="AS5" s="797"/>
      <c r="AT5" s="797"/>
      <c r="AU5" s="797"/>
      <c r="AV5" s="1141" t="s">
        <v>409</v>
      </c>
      <c r="AW5" s="1141" t="s">
        <v>410</v>
      </c>
      <c r="AX5" s="778" t="s">
        <v>298</v>
      </c>
      <c r="AY5" s="778" t="s">
        <v>299</v>
      </c>
    </row>
    <row r="6" spans="1:51" ht="15" customHeight="1">
      <c r="A6" s="797" t="s">
        <v>71</v>
      </c>
      <c r="B6" s="797"/>
      <c r="C6" s="797"/>
      <c r="D6" s="1091">
        <v>45146</v>
      </c>
      <c r="E6" s="798"/>
      <c r="F6" s="819" t="s">
        <v>67</v>
      </c>
      <c r="G6" s="819"/>
      <c r="H6" s="1143" t="s">
        <v>70</v>
      </c>
      <c r="I6" s="1143"/>
      <c r="J6" s="325"/>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797"/>
      <c r="AV6" s="1141"/>
      <c r="AW6" s="1141"/>
      <c r="AX6" s="786"/>
      <c r="AY6" s="786"/>
    </row>
    <row r="7" spans="1:51" ht="15" customHeight="1">
      <c r="A7" s="797"/>
      <c r="B7" s="797"/>
      <c r="C7" s="797"/>
      <c r="D7" s="798"/>
      <c r="E7" s="798"/>
      <c r="F7" s="819"/>
      <c r="G7" s="819"/>
      <c r="H7" s="1143" t="s">
        <v>68</v>
      </c>
      <c r="I7" s="1143"/>
      <c r="J7" s="325"/>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1141"/>
      <c r="AW7" s="1141"/>
      <c r="AX7" s="786"/>
      <c r="AY7" s="786"/>
    </row>
    <row r="8" spans="1:51" ht="15" customHeight="1">
      <c r="A8" s="797"/>
      <c r="B8" s="797"/>
      <c r="C8" s="797"/>
      <c r="D8" s="798"/>
      <c r="E8" s="798"/>
      <c r="F8" s="819"/>
      <c r="G8" s="819"/>
      <c r="H8" s="1143" t="s">
        <v>69</v>
      </c>
      <c r="I8" s="1143"/>
      <c r="J8" s="325" t="s">
        <v>425</v>
      </c>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1141"/>
      <c r="AW8" s="1141"/>
      <c r="AX8" s="786"/>
      <c r="AY8" s="786"/>
    </row>
    <row r="9" spans="1:51" ht="15" customHeight="1">
      <c r="A9" s="1144" t="s">
        <v>399</v>
      </c>
      <c r="B9" s="1144"/>
      <c r="C9" s="1144"/>
      <c r="D9" s="1145"/>
      <c r="E9" s="1145"/>
      <c r="F9" s="1145"/>
      <c r="G9" s="1145"/>
      <c r="H9" s="1145"/>
      <c r="I9" s="1145"/>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797"/>
      <c r="AI9" s="797"/>
      <c r="AJ9" s="797"/>
      <c r="AK9" s="797"/>
      <c r="AL9" s="797"/>
      <c r="AM9" s="797"/>
      <c r="AN9" s="797"/>
      <c r="AO9" s="797"/>
      <c r="AP9" s="797"/>
      <c r="AQ9" s="797"/>
      <c r="AR9" s="797"/>
      <c r="AS9" s="797"/>
      <c r="AT9" s="797"/>
      <c r="AU9" s="797"/>
      <c r="AV9" s="1141"/>
      <c r="AW9" s="1141"/>
      <c r="AX9" s="786"/>
      <c r="AY9" s="786"/>
    </row>
    <row r="10" spans="1:51" ht="15" customHeight="1">
      <c r="A10" s="1144" t="s">
        <v>287</v>
      </c>
      <c r="B10" s="1144"/>
      <c r="C10" s="1144"/>
      <c r="D10" s="1145" t="s">
        <v>500</v>
      </c>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797"/>
      <c r="AI10" s="797"/>
      <c r="AJ10" s="797"/>
      <c r="AK10" s="797"/>
      <c r="AL10" s="797"/>
      <c r="AM10" s="797"/>
      <c r="AN10" s="797"/>
      <c r="AO10" s="797"/>
      <c r="AP10" s="797"/>
      <c r="AQ10" s="797"/>
      <c r="AR10" s="797"/>
      <c r="AS10" s="797"/>
      <c r="AT10" s="797"/>
      <c r="AU10" s="797"/>
      <c r="AV10" s="1141"/>
      <c r="AW10" s="1141"/>
      <c r="AX10" s="786"/>
      <c r="AY10" s="786"/>
    </row>
    <row r="11" spans="1:51" ht="39.75" customHeight="1">
      <c r="A11" s="1141" t="s">
        <v>168</v>
      </c>
      <c r="B11" s="1141"/>
      <c r="C11" s="1141"/>
      <c r="D11" s="1141"/>
      <c r="E11" s="1141"/>
      <c r="F11" s="1141"/>
      <c r="G11" s="1141" t="s">
        <v>278</v>
      </c>
      <c r="H11" s="1141"/>
      <c r="I11" s="1141" t="s">
        <v>179</v>
      </c>
      <c r="J11" s="1141" t="s">
        <v>279</v>
      </c>
      <c r="K11" s="1141" t="s">
        <v>323</v>
      </c>
      <c r="L11" s="1141" t="s">
        <v>363</v>
      </c>
      <c r="M11" s="1141" t="s">
        <v>167</v>
      </c>
      <c r="N11" s="1141" t="s">
        <v>182</v>
      </c>
      <c r="O11" s="1141" t="s">
        <v>284</v>
      </c>
      <c r="P11" s="1141"/>
      <c r="Q11" s="1141"/>
      <c r="R11" s="1141"/>
      <c r="S11" s="1141"/>
      <c r="T11" s="1141" t="s">
        <v>173</v>
      </c>
      <c r="U11" s="1141" t="s">
        <v>285</v>
      </c>
      <c r="V11" s="797" t="s">
        <v>370</v>
      </c>
      <c r="W11" s="797"/>
      <c r="X11" s="797"/>
      <c r="Y11" s="797"/>
      <c r="Z11" s="797"/>
      <c r="AA11" s="797"/>
      <c r="AB11" s="797"/>
      <c r="AC11" s="797"/>
      <c r="AD11" s="797"/>
      <c r="AE11" s="797"/>
      <c r="AF11" s="797"/>
      <c r="AG11" s="797"/>
      <c r="AH11" s="797" t="s">
        <v>87</v>
      </c>
      <c r="AI11" s="797"/>
      <c r="AJ11" s="797"/>
      <c r="AK11" s="797"/>
      <c r="AL11" s="797"/>
      <c r="AM11" s="797"/>
      <c r="AN11" s="797"/>
      <c r="AO11" s="797"/>
      <c r="AP11" s="797"/>
      <c r="AQ11" s="797"/>
      <c r="AR11" s="797"/>
      <c r="AS11" s="797"/>
      <c r="AT11" s="1141" t="s">
        <v>8</v>
      </c>
      <c r="AU11" s="1141"/>
      <c r="AV11" s="1141"/>
      <c r="AW11" s="1141"/>
      <c r="AX11" s="786"/>
      <c r="AY11" s="786"/>
    </row>
    <row r="12" spans="1:51" ht="42.75">
      <c r="A12" s="449" t="s">
        <v>169</v>
      </c>
      <c r="B12" s="449" t="s">
        <v>170</v>
      </c>
      <c r="C12" s="449" t="s">
        <v>171</v>
      </c>
      <c r="D12" s="449" t="s">
        <v>178</v>
      </c>
      <c r="E12" s="449" t="s">
        <v>185</v>
      </c>
      <c r="F12" s="449" t="s">
        <v>186</v>
      </c>
      <c r="G12" s="449" t="s">
        <v>277</v>
      </c>
      <c r="H12" s="449" t="s">
        <v>184</v>
      </c>
      <c r="I12" s="1141"/>
      <c r="J12" s="1141"/>
      <c r="K12" s="1141"/>
      <c r="L12" s="1141"/>
      <c r="M12" s="1141"/>
      <c r="N12" s="1141"/>
      <c r="O12" s="449">
        <v>2020</v>
      </c>
      <c r="P12" s="449">
        <v>2021</v>
      </c>
      <c r="Q12" s="449">
        <v>2022</v>
      </c>
      <c r="R12" s="449">
        <v>2023</v>
      </c>
      <c r="S12" s="449">
        <v>2024</v>
      </c>
      <c r="T12" s="1141"/>
      <c r="U12" s="1141"/>
      <c r="V12" s="454" t="s">
        <v>39</v>
      </c>
      <c r="W12" s="454" t="s">
        <v>40</v>
      </c>
      <c r="X12" s="454" t="s">
        <v>41</v>
      </c>
      <c r="Y12" s="454" t="s">
        <v>42</v>
      </c>
      <c r="Z12" s="454" t="s">
        <v>43</v>
      </c>
      <c r="AA12" s="454" t="s">
        <v>44</v>
      </c>
      <c r="AB12" s="454" t="s">
        <v>45</v>
      </c>
      <c r="AC12" s="454" t="s">
        <v>46</v>
      </c>
      <c r="AD12" s="454" t="s">
        <v>47</v>
      </c>
      <c r="AE12" s="454" t="s">
        <v>48</v>
      </c>
      <c r="AF12" s="454" t="s">
        <v>49</v>
      </c>
      <c r="AG12" s="454" t="s">
        <v>50</v>
      </c>
      <c r="AH12" s="454" t="s">
        <v>39</v>
      </c>
      <c r="AI12" s="454" t="s">
        <v>40</v>
      </c>
      <c r="AJ12" s="454" t="s">
        <v>41</v>
      </c>
      <c r="AK12" s="454" t="s">
        <v>42</v>
      </c>
      <c r="AL12" s="454" t="s">
        <v>43</v>
      </c>
      <c r="AM12" s="454" t="s">
        <v>44</v>
      </c>
      <c r="AN12" s="454" t="s">
        <v>45</v>
      </c>
      <c r="AO12" s="454" t="s">
        <v>46</v>
      </c>
      <c r="AP12" s="454" t="s">
        <v>47</v>
      </c>
      <c r="AQ12" s="454" t="s">
        <v>48</v>
      </c>
      <c r="AR12" s="454" t="s">
        <v>49</v>
      </c>
      <c r="AS12" s="454" t="s">
        <v>50</v>
      </c>
      <c r="AT12" s="449" t="s">
        <v>413</v>
      </c>
      <c r="AU12" s="216" t="s">
        <v>88</v>
      </c>
      <c r="AV12" s="1141"/>
      <c r="AW12" s="1141"/>
      <c r="AX12" s="779"/>
      <c r="AY12" s="779"/>
    </row>
    <row r="13" spans="1:51" ht="161.25" customHeight="1">
      <c r="A13" s="121"/>
      <c r="B13" s="121"/>
      <c r="C13" s="121"/>
      <c r="D13" s="121"/>
      <c r="E13" s="121" t="s">
        <v>425</v>
      </c>
      <c r="F13" s="121"/>
      <c r="G13" s="122" t="s">
        <v>501</v>
      </c>
      <c r="H13" s="121" t="s">
        <v>450</v>
      </c>
      <c r="I13" s="122" t="s">
        <v>502</v>
      </c>
      <c r="J13" s="122" t="s">
        <v>503</v>
      </c>
      <c r="K13" s="122" t="s">
        <v>453</v>
      </c>
      <c r="L13" s="124" t="s">
        <v>450</v>
      </c>
      <c r="M13" s="124" t="s">
        <v>504</v>
      </c>
      <c r="N13" s="122" t="s">
        <v>505</v>
      </c>
      <c r="O13" s="123"/>
      <c r="P13" s="123"/>
      <c r="Q13" s="123"/>
      <c r="R13" s="293">
        <v>1</v>
      </c>
      <c r="S13" s="123"/>
      <c r="T13" s="121" t="s">
        <v>433</v>
      </c>
      <c r="U13" s="122" t="s">
        <v>506</v>
      </c>
      <c r="V13" s="124"/>
      <c r="W13" s="124"/>
      <c r="X13" s="307">
        <v>0</v>
      </c>
      <c r="Y13" s="124"/>
      <c r="Z13" s="124"/>
      <c r="AA13" s="307">
        <v>0.4</v>
      </c>
      <c r="AB13" s="124"/>
      <c r="AC13" s="124"/>
      <c r="AD13" s="307">
        <v>0.4</v>
      </c>
      <c r="AE13" s="124"/>
      <c r="AF13" s="124"/>
      <c r="AG13" s="307">
        <v>0.2</v>
      </c>
      <c r="AH13" s="124"/>
      <c r="AI13" s="124"/>
      <c r="AJ13" s="307">
        <v>0</v>
      </c>
      <c r="AK13" s="124"/>
      <c r="AL13" s="124"/>
      <c r="AM13" s="482">
        <v>0.4</v>
      </c>
      <c r="AN13" s="124"/>
      <c r="AO13" s="124"/>
      <c r="AP13" s="124"/>
      <c r="AQ13" s="124"/>
      <c r="AR13" s="124"/>
      <c r="AS13" s="124"/>
      <c r="AT13" s="482">
        <f>SUM(AH13:AS13)</f>
        <v>0.4</v>
      </c>
      <c r="AU13" s="483">
        <f>+AT13/R13</f>
        <v>0.4</v>
      </c>
      <c r="AV13" s="500"/>
      <c r="AW13" s="500"/>
      <c r="AX13" s="417"/>
      <c r="AY13" s="417"/>
    </row>
    <row r="14" spans="1:51" ht="162.75" customHeight="1">
      <c r="A14" s="121"/>
      <c r="B14" s="121"/>
      <c r="C14" s="121"/>
      <c r="D14" s="121"/>
      <c r="E14" s="121" t="s">
        <v>425</v>
      </c>
      <c r="F14" s="121"/>
      <c r="G14" s="122" t="s">
        <v>501</v>
      </c>
      <c r="H14" s="121" t="s">
        <v>450</v>
      </c>
      <c r="I14" s="122" t="s">
        <v>507</v>
      </c>
      <c r="J14" s="122" t="s">
        <v>508</v>
      </c>
      <c r="K14" s="122" t="s">
        <v>453</v>
      </c>
      <c r="L14" s="124" t="s">
        <v>450</v>
      </c>
      <c r="M14" s="124" t="s">
        <v>504</v>
      </c>
      <c r="N14" s="122" t="s">
        <v>509</v>
      </c>
      <c r="O14" s="124"/>
      <c r="P14" s="124"/>
      <c r="Q14" s="124"/>
      <c r="R14" s="293">
        <v>1</v>
      </c>
      <c r="S14" s="124"/>
      <c r="T14" s="121" t="s">
        <v>433</v>
      </c>
      <c r="U14" s="122" t="s">
        <v>510</v>
      </c>
      <c r="V14" s="124"/>
      <c r="W14" s="124"/>
      <c r="X14" s="307">
        <v>0</v>
      </c>
      <c r="Y14" s="124"/>
      <c r="Z14" s="124"/>
      <c r="AA14" s="307">
        <v>0.14</v>
      </c>
      <c r="AB14" s="124"/>
      <c r="AC14" s="124"/>
      <c r="AD14" s="307">
        <v>0.15</v>
      </c>
      <c r="AE14" s="124"/>
      <c r="AF14" s="124"/>
      <c r="AG14" s="307">
        <v>0.71</v>
      </c>
      <c r="AH14" s="124"/>
      <c r="AI14" s="124"/>
      <c r="AJ14" s="307">
        <v>0</v>
      </c>
      <c r="AK14" s="124"/>
      <c r="AL14" s="124"/>
      <c r="AM14" s="482">
        <v>0.21</v>
      </c>
      <c r="AN14" s="124"/>
      <c r="AO14" s="124"/>
      <c r="AP14" s="124"/>
      <c r="AQ14" s="124"/>
      <c r="AR14" s="124"/>
      <c r="AS14" s="124"/>
      <c r="AT14" s="482">
        <f>SUM(AH14:AS14)</f>
        <v>0.21</v>
      </c>
      <c r="AU14" s="483">
        <f>+AT14/R14</f>
        <v>0.21</v>
      </c>
      <c r="AV14" s="501"/>
      <c r="AW14" s="502"/>
      <c r="AX14" s="417"/>
      <c r="AY14" s="417"/>
    </row>
    <row r="15" spans="1:51" ht="174" customHeight="1">
      <c r="A15" s="468"/>
      <c r="B15" s="468"/>
      <c r="C15" s="468"/>
      <c r="D15" s="468"/>
      <c r="E15" s="468" t="s">
        <v>425</v>
      </c>
      <c r="F15" s="468"/>
      <c r="G15" s="469" t="s">
        <v>501</v>
      </c>
      <c r="H15" s="468" t="s">
        <v>450</v>
      </c>
      <c r="I15" s="469" t="s">
        <v>511</v>
      </c>
      <c r="J15" s="469" t="s">
        <v>512</v>
      </c>
      <c r="K15" s="469" t="s">
        <v>453</v>
      </c>
      <c r="L15" s="468" t="s">
        <v>450</v>
      </c>
      <c r="M15" s="468" t="s">
        <v>504</v>
      </c>
      <c r="N15" s="469" t="s">
        <v>513</v>
      </c>
      <c r="O15" s="468"/>
      <c r="P15" s="468"/>
      <c r="Q15" s="468"/>
      <c r="R15" s="470">
        <v>1</v>
      </c>
      <c r="S15" s="468"/>
      <c r="T15" s="468" t="s">
        <v>433</v>
      </c>
      <c r="U15" s="469" t="s">
        <v>514</v>
      </c>
      <c r="V15" s="468"/>
      <c r="W15" s="468"/>
      <c r="X15" s="471">
        <v>0.52</v>
      </c>
      <c r="Y15" s="468"/>
      <c r="Z15" s="468"/>
      <c r="AA15" s="471">
        <v>0.11</v>
      </c>
      <c r="AB15" s="468"/>
      <c r="AC15" s="468"/>
      <c r="AD15" s="471">
        <v>0.22</v>
      </c>
      <c r="AE15" s="468"/>
      <c r="AF15" s="468"/>
      <c r="AG15" s="471">
        <v>0.15</v>
      </c>
      <c r="AH15" s="468"/>
      <c r="AI15" s="468"/>
      <c r="AJ15" s="471">
        <v>0.48</v>
      </c>
      <c r="AK15" s="468"/>
      <c r="AL15" s="468"/>
      <c r="AM15" s="482">
        <v>0.15</v>
      </c>
      <c r="AN15" s="468"/>
      <c r="AO15" s="468"/>
      <c r="AP15" s="468"/>
      <c r="AQ15" s="468"/>
      <c r="AR15" s="468"/>
      <c r="AS15" s="468"/>
      <c r="AT15" s="482">
        <f>SUM(AH15:AS15)</f>
        <v>0.63</v>
      </c>
      <c r="AU15" s="483">
        <f>+AT15/R15</f>
        <v>0.63</v>
      </c>
      <c r="AV15" s="501"/>
      <c r="AW15" s="502"/>
      <c r="AX15" s="417"/>
      <c r="AY15" s="417"/>
    </row>
    <row r="16" spans="1:51" ht="256.5" customHeight="1">
      <c r="A16" s="121"/>
      <c r="B16" s="121"/>
      <c r="C16" s="121"/>
      <c r="D16" s="121"/>
      <c r="E16" s="121" t="s">
        <v>425</v>
      </c>
      <c r="F16" s="121"/>
      <c r="G16" s="122" t="s">
        <v>501</v>
      </c>
      <c r="H16" s="121" t="s">
        <v>450</v>
      </c>
      <c r="I16" s="122" t="s">
        <v>515</v>
      </c>
      <c r="J16" s="122" t="s">
        <v>516</v>
      </c>
      <c r="K16" s="122" t="s">
        <v>453</v>
      </c>
      <c r="L16" s="124" t="s">
        <v>450</v>
      </c>
      <c r="M16" s="124" t="s">
        <v>504</v>
      </c>
      <c r="N16" s="122" t="s">
        <v>517</v>
      </c>
      <c r="O16" s="124"/>
      <c r="P16" s="124"/>
      <c r="Q16" s="124"/>
      <c r="R16" s="293">
        <v>1</v>
      </c>
      <c r="S16" s="124"/>
      <c r="T16" s="121" t="s">
        <v>433</v>
      </c>
      <c r="U16" s="122" t="s">
        <v>518</v>
      </c>
      <c r="V16" s="127"/>
      <c r="W16" s="127"/>
      <c r="X16" s="307">
        <v>0.18</v>
      </c>
      <c r="Y16" s="379"/>
      <c r="Z16" s="379"/>
      <c r="AA16" s="307">
        <v>0.27</v>
      </c>
      <c r="AB16" s="379"/>
      <c r="AC16" s="379"/>
      <c r="AD16" s="307">
        <v>0.27</v>
      </c>
      <c r="AE16" s="379"/>
      <c r="AF16" s="379"/>
      <c r="AG16" s="307">
        <v>0.28</v>
      </c>
      <c r="AH16" s="124"/>
      <c r="AI16" s="124"/>
      <c r="AJ16" s="307">
        <v>0.18</v>
      </c>
      <c r="AK16" s="124"/>
      <c r="AL16" s="124"/>
      <c r="AM16" s="482">
        <v>0.27</v>
      </c>
      <c r="AN16" s="124"/>
      <c r="AO16" s="124"/>
      <c r="AP16" s="124"/>
      <c r="AQ16" s="124"/>
      <c r="AR16" s="124"/>
      <c r="AS16" s="124"/>
      <c r="AT16" s="482">
        <f>SUM(AH16:AS16)</f>
        <v>0.45</v>
      </c>
      <c r="AU16" s="483">
        <f>+AT16/R16</f>
        <v>0.45</v>
      </c>
      <c r="AV16" s="501"/>
      <c r="AW16" s="501"/>
      <c r="AX16" s="417"/>
      <c r="AY16" s="417"/>
    </row>
    <row r="17" spans="1:51" ht="54" customHeight="1">
      <c r="A17" s="781" t="s">
        <v>64</v>
      </c>
      <c r="B17" s="781"/>
      <c r="C17" s="781"/>
      <c r="D17" s="777" t="s">
        <v>640</v>
      </c>
      <c r="E17" s="777"/>
      <c r="F17" s="777"/>
      <c r="G17" s="777"/>
      <c r="H17" s="777"/>
      <c r="I17" s="777"/>
      <c r="J17" s="782" t="s">
        <v>300</v>
      </c>
      <c r="K17" s="782"/>
      <c r="L17" s="782"/>
      <c r="M17" s="782"/>
      <c r="N17" s="782"/>
      <c r="O17" s="782"/>
      <c r="P17" s="777" t="s">
        <v>66</v>
      </c>
      <c r="Q17" s="777"/>
      <c r="R17" s="777"/>
      <c r="S17" s="777"/>
      <c r="T17" s="777"/>
      <c r="U17" s="777"/>
      <c r="V17" s="777" t="s">
        <v>66</v>
      </c>
      <c r="W17" s="777"/>
      <c r="X17" s="777"/>
      <c r="Y17" s="777"/>
      <c r="Z17" s="777"/>
      <c r="AA17" s="777"/>
      <c r="AB17" s="777"/>
      <c r="AC17" s="777"/>
      <c r="AD17" s="777" t="s">
        <v>66</v>
      </c>
      <c r="AE17" s="777"/>
      <c r="AF17" s="777"/>
      <c r="AG17" s="777"/>
      <c r="AH17" s="777"/>
      <c r="AI17" s="777"/>
      <c r="AJ17" s="777"/>
      <c r="AK17" s="777"/>
      <c r="AL17" s="777"/>
      <c r="AM17" s="1142"/>
      <c r="AN17" s="777"/>
      <c r="AO17" s="777"/>
      <c r="AP17" s="782" t="s">
        <v>318</v>
      </c>
      <c r="AQ17" s="782"/>
      <c r="AR17" s="782"/>
      <c r="AS17" s="782"/>
      <c r="AT17" s="777" t="s">
        <v>13</v>
      </c>
      <c r="AU17" s="777"/>
      <c r="AV17" s="777"/>
      <c r="AW17" s="777"/>
      <c r="AX17" s="777"/>
      <c r="AY17" s="777"/>
    </row>
    <row r="18" spans="1:51" ht="30" customHeight="1">
      <c r="A18" s="781"/>
      <c r="B18" s="781"/>
      <c r="C18" s="781"/>
      <c r="D18" s="777" t="s">
        <v>794</v>
      </c>
      <c r="E18" s="777"/>
      <c r="F18" s="777"/>
      <c r="G18" s="777"/>
      <c r="H18" s="777"/>
      <c r="I18" s="777"/>
      <c r="J18" s="782"/>
      <c r="K18" s="782"/>
      <c r="L18" s="782"/>
      <c r="M18" s="782"/>
      <c r="N18" s="782"/>
      <c r="O18" s="782"/>
      <c r="P18" s="777" t="s">
        <v>794</v>
      </c>
      <c r="Q18" s="777"/>
      <c r="R18" s="777"/>
      <c r="S18" s="777"/>
      <c r="T18" s="777"/>
      <c r="U18" s="777"/>
      <c r="V18" s="777" t="s">
        <v>65</v>
      </c>
      <c r="W18" s="777"/>
      <c r="X18" s="777"/>
      <c r="Y18" s="777"/>
      <c r="Z18" s="777"/>
      <c r="AA18" s="777"/>
      <c r="AB18" s="777"/>
      <c r="AC18" s="777"/>
      <c r="AD18" s="777" t="s">
        <v>65</v>
      </c>
      <c r="AE18" s="777"/>
      <c r="AF18" s="777"/>
      <c r="AG18" s="777"/>
      <c r="AH18" s="777"/>
      <c r="AI18" s="777"/>
      <c r="AJ18" s="777"/>
      <c r="AK18" s="777"/>
      <c r="AL18" s="777"/>
      <c r="AM18" s="777"/>
      <c r="AN18" s="777"/>
      <c r="AO18" s="777"/>
      <c r="AP18" s="782"/>
      <c r="AQ18" s="782"/>
      <c r="AR18" s="782"/>
      <c r="AS18" s="782"/>
      <c r="AT18" s="777" t="s">
        <v>771</v>
      </c>
      <c r="AU18" s="777"/>
      <c r="AV18" s="777"/>
      <c r="AW18" s="777"/>
      <c r="AX18" s="777"/>
      <c r="AY18" s="777"/>
    </row>
    <row r="19" spans="1:51" ht="30" customHeight="1">
      <c r="A19" s="781"/>
      <c r="B19" s="781"/>
      <c r="C19" s="781"/>
      <c r="D19" s="777" t="s">
        <v>795</v>
      </c>
      <c r="E19" s="777"/>
      <c r="F19" s="777"/>
      <c r="G19" s="777"/>
      <c r="H19" s="777"/>
      <c r="I19" s="777"/>
      <c r="J19" s="782"/>
      <c r="K19" s="782"/>
      <c r="L19" s="782"/>
      <c r="M19" s="782"/>
      <c r="N19" s="782"/>
      <c r="O19" s="782"/>
      <c r="P19" s="777" t="s">
        <v>795</v>
      </c>
      <c r="Q19" s="777"/>
      <c r="R19" s="777"/>
      <c r="S19" s="777"/>
      <c r="T19" s="777"/>
      <c r="U19" s="777"/>
      <c r="V19" s="777" t="s">
        <v>297</v>
      </c>
      <c r="W19" s="777"/>
      <c r="X19" s="777"/>
      <c r="Y19" s="777"/>
      <c r="Z19" s="777"/>
      <c r="AA19" s="777"/>
      <c r="AB19" s="777"/>
      <c r="AC19" s="777"/>
      <c r="AD19" s="777" t="s">
        <v>297</v>
      </c>
      <c r="AE19" s="777"/>
      <c r="AF19" s="777"/>
      <c r="AG19" s="777"/>
      <c r="AH19" s="777"/>
      <c r="AI19" s="777"/>
      <c r="AJ19" s="777"/>
      <c r="AK19" s="777"/>
      <c r="AL19" s="777"/>
      <c r="AM19" s="777"/>
      <c r="AN19" s="777"/>
      <c r="AO19" s="777"/>
      <c r="AP19" s="782"/>
      <c r="AQ19" s="782"/>
      <c r="AR19" s="782"/>
      <c r="AS19" s="782"/>
      <c r="AT19" s="777" t="s">
        <v>75</v>
      </c>
      <c r="AU19" s="777"/>
      <c r="AV19" s="777"/>
      <c r="AW19" s="777"/>
      <c r="AX19" s="777"/>
      <c r="AY19" s="777"/>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AG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AP17:AS19"/>
    <mergeCell ref="AT17:AY17"/>
    <mergeCell ref="D18:I18"/>
    <mergeCell ref="P18:U18"/>
    <mergeCell ref="V18:AC18"/>
    <mergeCell ref="AD18:AO18"/>
    <mergeCell ref="AT18:AY18"/>
    <mergeCell ref="D19:I19"/>
    <mergeCell ref="P19:U19"/>
    <mergeCell ref="V19:AC19"/>
    <mergeCell ref="AD19:AO19"/>
    <mergeCell ref="AT19:AY19"/>
  </mergeCells>
  <printOptions horizontalCentered="1"/>
  <pageMargins left="0.1968503937007874" right="0.1968503937007874" top="0.7480314960629921" bottom="0.7480314960629921" header="0.31496062992125984" footer="0.31496062992125984"/>
  <pageSetup horizontalDpi="600" verticalDpi="600" orientation="landscape" paperSize="3" scale="29"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A1">
      <selection activeCell="AV13" sqref="AV13:AY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23" width="7.421875" style="113" customWidth="1"/>
    <col min="24" max="24" width="8.140625" style="113" customWidth="1"/>
    <col min="25" max="26" width="7.421875" style="113" customWidth="1"/>
    <col min="27" max="27" width="8.140625" style="113" customWidth="1"/>
    <col min="28" max="29" width="7.421875" style="113" customWidth="1"/>
    <col min="30" max="30" width="8.140625" style="113" customWidth="1"/>
    <col min="31" max="45" width="7.421875" style="113" customWidth="1"/>
    <col min="46" max="46" width="17.140625" style="113" customWidth="1"/>
    <col min="47" max="47" width="15.8515625" style="217" customWidth="1"/>
    <col min="48" max="48" width="123.7109375" style="113" customWidth="1"/>
    <col min="49" max="49" width="79.7109375" style="113" bestFit="1" customWidth="1"/>
    <col min="50" max="51" width="25.0039062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709" t="s">
        <v>423</v>
      </c>
      <c r="AY1" s="710"/>
    </row>
    <row r="2" spans="1:51" ht="15.75" customHeight="1">
      <c r="A2" s="769" t="s">
        <v>17</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1"/>
      <c r="AX2" s="757" t="s">
        <v>418</v>
      </c>
      <c r="AY2" s="758"/>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757" t="s">
        <v>424</v>
      </c>
      <c r="AY3" s="758"/>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785</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787" t="s">
        <v>70</v>
      </c>
      <c r="I6" s="787"/>
      <c r="J6" s="128"/>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792"/>
      <c r="AJ6" s="792"/>
      <c r="AK6" s="792"/>
      <c r="AL6" s="792"/>
      <c r="AM6" s="792"/>
      <c r="AN6" s="792"/>
      <c r="AO6" s="792"/>
      <c r="AP6" s="792"/>
      <c r="AQ6" s="792"/>
      <c r="AR6" s="792"/>
      <c r="AS6" s="792"/>
      <c r="AT6" s="792"/>
      <c r="AU6" s="793"/>
      <c r="AV6" s="786"/>
      <c r="AW6" s="786"/>
      <c r="AX6" s="786"/>
      <c r="AY6" s="786"/>
    </row>
    <row r="7" spans="1:51" ht="15" customHeight="1">
      <c r="A7" s="797"/>
      <c r="B7" s="797"/>
      <c r="C7" s="797"/>
      <c r="D7" s="798"/>
      <c r="E7" s="798"/>
      <c r="F7" s="791"/>
      <c r="G7" s="793"/>
      <c r="H7" s="787" t="s">
        <v>68</v>
      </c>
      <c r="I7" s="787"/>
      <c r="J7" s="128"/>
      <c r="K7" s="791"/>
      <c r="L7" s="792"/>
      <c r="M7" s="792"/>
      <c r="N7" s="792"/>
      <c r="O7" s="792"/>
      <c r="P7" s="792"/>
      <c r="Q7" s="792"/>
      <c r="R7" s="792"/>
      <c r="S7" s="792"/>
      <c r="T7" s="792"/>
      <c r="U7" s="792"/>
      <c r="V7" s="116"/>
      <c r="W7" s="116"/>
      <c r="X7" s="116"/>
      <c r="Y7" s="116"/>
      <c r="Z7" s="116"/>
      <c r="AA7" s="116"/>
      <c r="AB7" s="116"/>
      <c r="AC7" s="116"/>
      <c r="AD7" s="116"/>
      <c r="AE7" s="116"/>
      <c r="AF7" s="116"/>
      <c r="AG7" s="117"/>
      <c r="AH7" s="791"/>
      <c r="AI7" s="792"/>
      <c r="AJ7" s="792"/>
      <c r="AK7" s="792"/>
      <c r="AL7" s="792"/>
      <c r="AM7" s="792"/>
      <c r="AN7" s="792"/>
      <c r="AO7" s="792"/>
      <c r="AP7" s="792"/>
      <c r="AQ7" s="792"/>
      <c r="AR7" s="792"/>
      <c r="AS7" s="792"/>
      <c r="AT7" s="792"/>
      <c r="AU7" s="793"/>
      <c r="AV7" s="786"/>
      <c r="AW7" s="786"/>
      <c r="AX7" s="786"/>
      <c r="AY7" s="786"/>
    </row>
    <row r="8" spans="1:51" ht="15" customHeight="1">
      <c r="A8" s="797"/>
      <c r="B8" s="797"/>
      <c r="C8" s="797"/>
      <c r="D8" s="798"/>
      <c r="E8" s="798"/>
      <c r="F8" s="794"/>
      <c r="G8" s="796"/>
      <c r="H8" s="787" t="s">
        <v>69</v>
      </c>
      <c r="I8" s="787"/>
      <c r="J8" s="128"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792"/>
      <c r="AJ8" s="792"/>
      <c r="AK8" s="792"/>
      <c r="AL8" s="792"/>
      <c r="AM8" s="792"/>
      <c r="AN8" s="792"/>
      <c r="AO8" s="792"/>
      <c r="AP8" s="792"/>
      <c r="AQ8" s="792"/>
      <c r="AR8" s="792"/>
      <c r="AS8" s="792"/>
      <c r="AT8" s="79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792"/>
      <c r="AJ9" s="792"/>
      <c r="AK9" s="792"/>
      <c r="AL9" s="792"/>
      <c r="AM9" s="792"/>
      <c r="AN9" s="792"/>
      <c r="AO9" s="792"/>
      <c r="AP9" s="792"/>
      <c r="AQ9" s="792"/>
      <c r="AR9" s="792"/>
      <c r="AS9" s="792"/>
      <c r="AT9" s="79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292" t="s">
        <v>169</v>
      </c>
      <c r="B12" s="292" t="s">
        <v>170</v>
      </c>
      <c r="C12" s="292" t="s">
        <v>171</v>
      </c>
      <c r="D12" s="292" t="s">
        <v>178</v>
      </c>
      <c r="E12" s="292" t="s">
        <v>185</v>
      </c>
      <c r="F12" s="292" t="s">
        <v>186</v>
      </c>
      <c r="G12" s="292" t="s">
        <v>277</v>
      </c>
      <c r="H12" s="292" t="s">
        <v>184</v>
      </c>
      <c r="I12" s="779"/>
      <c r="J12" s="779"/>
      <c r="K12" s="779"/>
      <c r="L12" s="779"/>
      <c r="M12" s="779"/>
      <c r="N12" s="779"/>
      <c r="O12" s="292">
        <v>2020</v>
      </c>
      <c r="P12" s="292">
        <v>2021</v>
      </c>
      <c r="Q12" s="292">
        <v>2022</v>
      </c>
      <c r="R12" s="292">
        <v>2023</v>
      </c>
      <c r="S12" s="292">
        <v>2024</v>
      </c>
      <c r="T12" s="779"/>
      <c r="U12" s="779"/>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9"/>
      <c r="AW12" s="779"/>
      <c r="AX12" s="779"/>
      <c r="AY12" s="779"/>
    </row>
    <row r="13" spans="1:51" ht="231" customHeight="1">
      <c r="A13" s="121"/>
      <c r="B13" s="121"/>
      <c r="C13" s="121"/>
      <c r="D13" s="121"/>
      <c r="E13" s="121" t="s">
        <v>425</v>
      </c>
      <c r="F13" s="121"/>
      <c r="G13" s="152" t="s">
        <v>700</v>
      </c>
      <c r="H13" s="122" t="s">
        <v>845</v>
      </c>
      <c r="I13" s="313" t="s">
        <v>701</v>
      </c>
      <c r="J13" s="367" t="s">
        <v>702</v>
      </c>
      <c r="K13" s="122" t="s">
        <v>430</v>
      </c>
      <c r="L13" s="121" t="s">
        <v>450</v>
      </c>
      <c r="M13" s="122" t="s">
        <v>703</v>
      </c>
      <c r="N13" s="313" t="s">
        <v>704</v>
      </c>
      <c r="O13" s="368"/>
      <c r="P13" s="368"/>
      <c r="Q13" s="369"/>
      <c r="R13" s="369">
        <v>55</v>
      </c>
      <c r="S13" s="369"/>
      <c r="T13" s="370" t="s">
        <v>433</v>
      </c>
      <c r="U13" s="371" t="s">
        <v>705</v>
      </c>
      <c r="V13" s="376"/>
      <c r="W13" s="329"/>
      <c r="X13" s="377">
        <v>13</v>
      </c>
      <c r="Y13" s="377"/>
      <c r="Z13" s="377"/>
      <c r="AA13" s="377">
        <v>14</v>
      </c>
      <c r="AB13" s="377"/>
      <c r="AC13" s="377"/>
      <c r="AD13" s="377">
        <v>14</v>
      </c>
      <c r="AE13" s="377"/>
      <c r="AF13" s="377">
        <v>14</v>
      </c>
      <c r="AG13" s="377"/>
      <c r="AH13" s="124"/>
      <c r="AI13" s="124"/>
      <c r="AJ13" s="124">
        <v>1</v>
      </c>
      <c r="AK13" s="124"/>
      <c r="AL13" s="124"/>
      <c r="AM13" s="509">
        <v>26.75</v>
      </c>
      <c r="AN13" s="124"/>
      <c r="AO13" s="124"/>
      <c r="AP13" s="124"/>
      <c r="AQ13" s="124"/>
      <c r="AR13" s="124"/>
      <c r="AS13" s="124"/>
      <c r="AT13" s="508">
        <f>SUM(AH13:AS13)</f>
        <v>27.75</v>
      </c>
      <c r="AU13" s="127">
        <f>+AT13/R13</f>
        <v>0.5045454545454545</v>
      </c>
      <c r="AV13" s="503"/>
      <c r="AW13" s="504"/>
      <c r="AX13" s="481"/>
      <c r="AY13" s="481"/>
    </row>
    <row r="14" spans="1:51" ht="275.25" customHeight="1">
      <c r="A14" s="121"/>
      <c r="B14" s="121"/>
      <c r="C14" s="121"/>
      <c r="D14" s="121"/>
      <c r="E14" s="121" t="s">
        <v>425</v>
      </c>
      <c r="F14" s="121"/>
      <c r="G14" s="152" t="s">
        <v>700</v>
      </c>
      <c r="H14" s="122" t="s">
        <v>845</v>
      </c>
      <c r="I14" s="313" t="s">
        <v>701</v>
      </c>
      <c r="J14" s="313" t="s">
        <v>706</v>
      </c>
      <c r="K14" s="121" t="s">
        <v>430</v>
      </c>
      <c r="L14" s="121" t="s">
        <v>450</v>
      </c>
      <c r="M14" s="122" t="s">
        <v>707</v>
      </c>
      <c r="N14" s="313" t="s">
        <v>708</v>
      </c>
      <c r="O14" s="368"/>
      <c r="P14" s="368"/>
      <c r="Q14" s="369"/>
      <c r="R14" s="369">
        <v>150</v>
      </c>
      <c r="S14" s="369"/>
      <c r="T14" s="372" t="s">
        <v>433</v>
      </c>
      <c r="U14" s="245" t="s">
        <v>709</v>
      </c>
      <c r="V14" s="328"/>
      <c r="W14" s="328"/>
      <c r="X14" s="373">
        <v>22.5</v>
      </c>
      <c r="Y14" s="373"/>
      <c r="Z14" s="373"/>
      <c r="AA14" s="373">
        <v>52.5</v>
      </c>
      <c r="AB14" s="374"/>
      <c r="AC14" s="374"/>
      <c r="AD14" s="374">
        <v>45</v>
      </c>
      <c r="AE14" s="374"/>
      <c r="AF14" s="374"/>
      <c r="AG14" s="374">
        <v>30</v>
      </c>
      <c r="AH14" s="124"/>
      <c r="AI14" s="124"/>
      <c r="AJ14" s="124">
        <v>22.5</v>
      </c>
      <c r="AK14" s="124"/>
      <c r="AL14" s="124"/>
      <c r="AM14" s="510">
        <v>55.75</v>
      </c>
      <c r="AN14" s="124"/>
      <c r="AO14" s="124"/>
      <c r="AP14" s="124"/>
      <c r="AQ14" s="124"/>
      <c r="AR14" s="124"/>
      <c r="AS14" s="124"/>
      <c r="AT14" s="124">
        <f>SUM(AH14:AS14)</f>
        <v>78.25</v>
      </c>
      <c r="AU14" s="127">
        <f>+AT14/R14</f>
        <v>0.5216666666666666</v>
      </c>
      <c r="AV14" s="503"/>
      <c r="AW14" s="504"/>
      <c r="AX14" s="481"/>
      <c r="AY14" s="481"/>
    </row>
    <row r="15" spans="1:51" ht="378.75" customHeight="1">
      <c r="A15" s="121"/>
      <c r="B15" s="121"/>
      <c r="C15" s="121"/>
      <c r="D15" s="121"/>
      <c r="E15" s="121" t="s">
        <v>425</v>
      </c>
      <c r="F15" s="121"/>
      <c r="G15" s="152" t="s">
        <v>700</v>
      </c>
      <c r="H15" s="122" t="s">
        <v>845</v>
      </c>
      <c r="I15" s="313" t="s">
        <v>701</v>
      </c>
      <c r="J15" s="313" t="s">
        <v>710</v>
      </c>
      <c r="K15" s="121" t="s">
        <v>430</v>
      </c>
      <c r="L15" s="121" t="s">
        <v>450</v>
      </c>
      <c r="M15" s="122" t="s">
        <v>711</v>
      </c>
      <c r="N15" s="313" t="s">
        <v>712</v>
      </c>
      <c r="O15" s="124"/>
      <c r="P15" s="124"/>
      <c r="Q15" s="328"/>
      <c r="R15" s="328">
        <v>8</v>
      </c>
      <c r="S15" s="328"/>
      <c r="T15" s="372" t="s">
        <v>433</v>
      </c>
      <c r="U15" s="245" t="s">
        <v>713</v>
      </c>
      <c r="V15" s="328"/>
      <c r="W15" s="328"/>
      <c r="X15" s="328">
        <v>2</v>
      </c>
      <c r="Y15" s="328"/>
      <c r="Z15" s="328"/>
      <c r="AA15" s="328">
        <v>2</v>
      </c>
      <c r="AB15" s="328"/>
      <c r="AC15" s="328"/>
      <c r="AD15" s="328">
        <v>2</v>
      </c>
      <c r="AE15" s="328"/>
      <c r="AF15" s="328"/>
      <c r="AG15" s="328">
        <v>2</v>
      </c>
      <c r="AH15" s="124"/>
      <c r="AI15" s="124"/>
      <c r="AJ15" s="124">
        <v>3</v>
      </c>
      <c r="AK15" s="124"/>
      <c r="AL15" s="124"/>
      <c r="AM15" s="509">
        <v>2</v>
      </c>
      <c r="AN15" s="124"/>
      <c r="AO15" s="124"/>
      <c r="AP15" s="124"/>
      <c r="AQ15" s="124"/>
      <c r="AR15" s="124"/>
      <c r="AS15" s="124"/>
      <c r="AT15" s="124">
        <f>SUM(AH15:AS15)</f>
        <v>5</v>
      </c>
      <c r="AU15" s="127">
        <f>+AT15/R15</f>
        <v>0.625</v>
      </c>
      <c r="AV15" s="503"/>
      <c r="AW15" s="505"/>
      <c r="AX15" s="481"/>
      <c r="AY15" s="481"/>
    </row>
    <row r="16" spans="1:51" ht="309.75" customHeight="1">
      <c r="A16" s="121"/>
      <c r="B16" s="121"/>
      <c r="C16" s="121"/>
      <c r="D16" s="121"/>
      <c r="E16" s="121" t="s">
        <v>425</v>
      </c>
      <c r="F16" s="121"/>
      <c r="G16" s="152" t="s">
        <v>700</v>
      </c>
      <c r="H16" s="122" t="s">
        <v>845</v>
      </c>
      <c r="I16" s="313" t="s">
        <v>701</v>
      </c>
      <c r="J16" s="313" t="s">
        <v>714</v>
      </c>
      <c r="K16" s="121" t="s">
        <v>430</v>
      </c>
      <c r="L16" s="121" t="s">
        <v>450</v>
      </c>
      <c r="M16" s="122" t="s">
        <v>431</v>
      </c>
      <c r="N16" s="313" t="s">
        <v>715</v>
      </c>
      <c r="O16" s="124"/>
      <c r="P16" s="124"/>
      <c r="Q16" s="375"/>
      <c r="R16" s="375">
        <v>1</v>
      </c>
      <c r="S16" s="328"/>
      <c r="T16" s="372" t="s">
        <v>433</v>
      </c>
      <c r="U16" s="245" t="s">
        <v>716</v>
      </c>
      <c r="V16" s="328"/>
      <c r="W16" s="328"/>
      <c r="X16" s="327">
        <v>0.25</v>
      </c>
      <c r="Y16" s="328"/>
      <c r="Z16" s="328"/>
      <c r="AA16" s="327">
        <v>0.25</v>
      </c>
      <c r="AB16" s="328"/>
      <c r="AC16" s="328"/>
      <c r="AD16" s="327">
        <v>0.25</v>
      </c>
      <c r="AE16" s="328"/>
      <c r="AF16" s="328"/>
      <c r="AG16" s="327">
        <v>0.25</v>
      </c>
      <c r="AH16" s="124"/>
      <c r="AI16" s="124"/>
      <c r="AJ16" s="127">
        <v>0.25</v>
      </c>
      <c r="AK16" s="124"/>
      <c r="AL16" s="124"/>
      <c r="AM16" s="484">
        <v>0.25</v>
      </c>
      <c r="AN16" s="124"/>
      <c r="AO16" s="124"/>
      <c r="AP16" s="124"/>
      <c r="AQ16" s="124"/>
      <c r="AR16" s="124"/>
      <c r="AS16" s="124"/>
      <c r="AT16" s="127">
        <f>SUM(AH16:AS16)</f>
        <v>0.5</v>
      </c>
      <c r="AU16" s="127">
        <f>+AT16/R16</f>
        <v>0.5</v>
      </c>
      <c r="AV16" s="506"/>
      <c r="AW16" s="507"/>
      <c r="AX16" s="481"/>
      <c r="AY16" s="481"/>
    </row>
    <row r="17" spans="1:51" ht="409.5" customHeight="1">
      <c r="A17" s="121"/>
      <c r="B17" s="121"/>
      <c r="C17" s="121"/>
      <c r="D17" s="121"/>
      <c r="E17" s="121" t="s">
        <v>425</v>
      </c>
      <c r="F17" s="121"/>
      <c r="G17" s="152" t="s">
        <v>700</v>
      </c>
      <c r="H17" s="122" t="s">
        <v>845</v>
      </c>
      <c r="I17" s="313" t="s">
        <v>701</v>
      </c>
      <c r="J17" s="313" t="s">
        <v>717</v>
      </c>
      <c r="K17" s="122" t="s">
        <v>430</v>
      </c>
      <c r="L17" s="121" t="s">
        <v>450</v>
      </c>
      <c r="M17" s="122" t="s">
        <v>431</v>
      </c>
      <c r="N17" s="313" t="s">
        <v>718</v>
      </c>
      <c r="O17" s="124"/>
      <c r="P17" s="124"/>
      <c r="Q17" s="375"/>
      <c r="R17" s="375">
        <v>1</v>
      </c>
      <c r="S17" s="328"/>
      <c r="T17" s="372" t="s">
        <v>433</v>
      </c>
      <c r="U17" s="245" t="s">
        <v>716</v>
      </c>
      <c r="V17" s="328"/>
      <c r="W17" s="328"/>
      <c r="X17" s="327">
        <v>0.25</v>
      </c>
      <c r="Y17" s="328"/>
      <c r="Z17" s="328"/>
      <c r="AA17" s="327">
        <v>0.25</v>
      </c>
      <c r="AB17" s="328"/>
      <c r="AC17" s="328"/>
      <c r="AD17" s="327">
        <v>0.25</v>
      </c>
      <c r="AE17" s="328"/>
      <c r="AF17" s="328"/>
      <c r="AG17" s="327">
        <v>0.25</v>
      </c>
      <c r="AH17" s="124"/>
      <c r="AI17" s="124"/>
      <c r="AJ17" s="327">
        <v>0.25</v>
      </c>
      <c r="AK17" s="124"/>
      <c r="AL17" s="124"/>
      <c r="AM17" s="484">
        <v>0.25</v>
      </c>
      <c r="AN17" s="124"/>
      <c r="AO17" s="124"/>
      <c r="AP17" s="124"/>
      <c r="AQ17" s="124"/>
      <c r="AR17" s="124"/>
      <c r="AS17" s="124"/>
      <c r="AT17" s="127">
        <f>SUM(AH17:AS17)</f>
        <v>0.5</v>
      </c>
      <c r="AU17" s="127">
        <f>+AT17/R17</f>
        <v>0.5</v>
      </c>
      <c r="AV17" s="506"/>
      <c r="AW17" s="507"/>
      <c r="AX17" s="481"/>
      <c r="AY17" s="481"/>
    </row>
    <row r="18" spans="1:51" ht="54" customHeight="1">
      <c r="A18" s="781" t="s">
        <v>64</v>
      </c>
      <c r="B18" s="781"/>
      <c r="C18" s="781"/>
      <c r="D18" s="777" t="s">
        <v>66</v>
      </c>
      <c r="E18" s="777"/>
      <c r="F18" s="777"/>
      <c r="G18" s="777"/>
      <c r="H18" s="777"/>
      <c r="I18" s="777"/>
      <c r="J18" s="782" t="s">
        <v>300</v>
      </c>
      <c r="K18" s="782"/>
      <c r="L18" s="782"/>
      <c r="M18" s="782"/>
      <c r="N18" s="782"/>
      <c r="O18" s="782"/>
      <c r="P18" s="777" t="s">
        <v>66</v>
      </c>
      <c r="Q18" s="777"/>
      <c r="R18" s="777"/>
      <c r="S18" s="777"/>
      <c r="T18" s="777"/>
      <c r="U18" s="777"/>
      <c r="V18" s="777" t="s">
        <v>66</v>
      </c>
      <c r="W18" s="777"/>
      <c r="X18" s="777"/>
      <c r="Y18" s="777"/>
      <c r="Z18" s="777"/>
      <c r="AA18" s="777"/>
      <c r="AB18" s="777"/>
      <c r="AC18" s="777"/>
      <c r="AD18" s="777" t="s">
        <v>66</v>
      </c>
      <c r="AE18" s="777"/>
      <c r="AF18" s="777"/>
      <c r="AG18" s="777"/>
      <c r="AH18" s="777"/>
      <c r="AI18" s="777"/>
      <c r="AJ18" s="777"/>
      <c r="AK18" s="777"/>
      <c r="AL18" s="777"/>
      <c r="AM18" s="777"/>
      <c r="AN18" s="777"/>
      <c r="AO18" s="777"/>
      <c r="AP18" s="782" t="s">
        <v>318</v>
      </c>
      <c r="AQ18" s="782"/>
      <c r="AR18" s="782"/>
      <c r="AS18" s="782"/>
      <c r="AT18" s="777" t="s">
        <v>13</v>
      </c>
      <c r="AU18" s="777"/>
      <c r="AV18" s="777"/>
      <c r="AW18" s="777"/>
      <c r="AX18" s="777"/>
      <c r="AY18" s="777"/>
    </row>
    <row r="19" spans="1:51" ht="30" customHeight="1">
      <c r="A19" s="781"/>
      <c r="B19" s="781"/>
      <c r="C19" s="781"/>
      <c r="D19" s="777" t="s">
        <v>815</v>
      </c>
      <c r="E19" s="777"/>
      <c r="F19" s="777"/>
      <c r="G19" s="777"/>
      <c r="H19" s="777"/>
      <c r="I19" s="777"/>
      <c r="J19" s="782"/>
      <c r="K19" s="782"/>
      <c r="L19" s="782"/>
      <c r="M19" s="782"/>
      <c r="N19" s="782"/>
      <c r="O19" s="782"/>
      <c r="P19" s="777" t="s">
        <v>848</v>
      </c>
      <c r="Q19" s="777"/>
      <c r="R19" s="777"/>
      <c r="S19" s="777"/>
      <c r="T19" s="777"/>
      <c r="U19" s="777"/>
      <c r="V19" s="777" t="s">
        <v>65</v>
      </c>
      <c r="W19" s="777"/>
      <c r="X19" s="777"/>
      <c r="Y19" s="777"/>
      <c r="Z19" s="777"/>
      <c r="AA19" s="777"/>
      <c r="AB19" s="777"/>
      <c r="AC19" s="777"/>
      <c r="AD19" s="777" t="s">
        <v>65</v>
      </c>
      <c r="AE19" s="777"/>
      <c r="AF19" s="777"/>
      <c r="AG19" s="777"/>
      <c r="AH19" s="777"/>
      <c r="AI19" s="777"/>
      <c r="AJ19" s="777"/>
      <c r="AK19" s="777"/>
      <c r="AL19" s="777"/>
      <c r="AM19" s="777"/>
      <c r="AN19" s="777"/>
      <c r="AO19" s="777"/>
      <c r="AP19" s="782"/>
      <c r="AQ19" s="782"/>
      <c r="AR19" s="782"/>
      <c r="AS19" s="782"/>
      <c r="AT19" s="777" t="s">
        <v>771</v>
      </c>
      <c r="AU19" s="777"/>
      <c r="AV19" s="777"/>
      <c r="AW19" s="777"/>
      <c r="AX19" s="777"/>
      <c r="AY19" s="777"/>
    </row>
    <row r="20" spans="1:51" ht="30" customHeight="1">
      <c r="A20" s="781"/>
      <c r="B20" s="781"/>
      <c r="C20" s="781"/>
      <c r="D20" s="777" t="s">
        <v>816</v>
      </c>
      <c r="E20" s="777"/>
      <c r="F20" s="777"/>
      <c r="G20" s="777"/>
      <c r="H20" s="777"/>
      <c r="I20" s="777"/>
      <c r="J20" s="782"/>
      <c r="K20" s="782"/>
      <c r="L20" s="782"/>
      <c r="M20" s="782"/>
      <c r="N20" s="782"/>
      <c r="O20" s="782"/>
      <c r="P20" s="777" t="s">
        <v>817</v>
      </c>
      <c r="Q20" s="777"/>
      <c r="R20" s="777"/>
      <c r="S20" s="777"/>
      <c r="T20" s="777"/>
      <c r="U20" s="777"/>
      <c r="V20" s="777" t="s">
        <v>297</v>
      </c>
      <c r="W20" s="777"/>
      <c r="X20" s="777"/>
      <c r="Y20" s="777"/>
      <c r="Z20" s="777"/>
      <c r="AA20" s="777"/>
      <c r="AB20" s="777"/>
      <c r="AC20" s="777"/>
      <c r="AD20" s="777" t="s">
        <v>297</v>
      </c>
      <c r="AE20" s="777"/>
      <c r="AF20" s="777"/>
      <c r="AG20" s="777"/>
      <c r="AH20" s="777"/>
      <c r="AI20" s="777"/>
      <c r="AJ20" s="777"/>
      <c r="AK20" s="777"/>
      <c r="AL20" s="777"/>
      <c r="AM20" s="777"/>
      <c r="AN20" s="777"/>
      <c r="AO20" s="777"/>
      <c r="AP20" s="782"/>
      <c r="AQ20" s="782"/>
      <c r="AR20" s="782"/>
      <c r="AS20" s="782"/>
      <c r="AT20" s="777" t="s">
        <v>75</v>
      </c>
      <c r="AU20" s="777"/>
      <c r="AV20" s="777"/>
      <c r="AW20" s="777"/>
      <c r="AX20" s="777"/>
      <c r="AY20" s="777"/>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5"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Y26"/>
  <sheetViews>
    <sheetView zoomScale="70" zoomScaleNormal="70" zoomScalePageLayoutView="0" workbookViewId="0" topLeftCell="E1">
      <selection activeCell="AV13" sqref="AV13:AY16"/>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132.00390625" style="113" customWidth="1"/>
    <col min="50" max="51" width="24.421875" style="113" customWidth="1"/>
    <col min="52" max="16384" width="10.8515625" style="113" customWidth="1"/>
  </cols>
  <sheetData>
    <row r="1" spans="1:51" ht="15.75" customHeight="1">
      <c r="A1" s="1115" t="s">
        <v>16</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7"/>
      <c r="AX1" s="1030" t="s">
        <v>423</v>
      </c>
      <c r="AY1" s="1031"/>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786</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792"/>
      <c r="AJ6" s="792"/>
      <c r="AK6" s="792"/>
      <c r="AL6" s="792"/>
      <c r="AM6" s="792"/>
      <c r="AN6" s="792"/>
      <c r="AO6" s="792"/>
      <c r="AP6" s="792"/>
      <c r="AQ6" s="792"/>
      <c r="AR6" s="792"/>
      <c r="AS6" s="792"/>
      <c r="AT6" s="792"/>
      <c r="AU6" s="793"/>
      <c r="AV6" s="786"/>
      <c r="AW6" s="786"/>
      <c r="AX6" s="786"/>
      <c r="AY6" s="786"/>
    </row>
    <row r="7" spans="1:51" ht="15" customHeight="1">
      <c r="A7" s="797"/>
      <c r="B7" s="797"/>
      <c r="C7" s="797"/>
      <c r="D7" s="798"/>
      <c r="E7" s="798"/>
      <c r="F7" s="791"/>
      <c r="G7" s="793"/>
      <c r="H7" s="1133" t="s">
        <v>68</v>
      </c>
      <c r="I7" s="1133"/>
      <c r="J7" s="121"/>
      <c r="K7" s="791"/>
      <c r="L7" s="792"/>
      <c r="M7" s="792"/>
      <c r="N7" s="792"/>
      <c r="O7" s="792"/>
      <c r="P7" s="792"/>
      <c r="Q7" s="792"/>
      <c r="R7" s="792"/>
      <c r="S7" s="792"/>
      <c r="T7" s="792"/>
      <c r="U7" s="792"/>
      <c r="V7" s="116"/>
      <c r="W7" s="116"/>
      <c r="X7" s="116"/>
      <c r="Y7" s="116"/>
      <c r="Z7" s="116"/>
      <c r="AA7" s="116"/>
      <c r="AB7" s="116"/>
      <c r="AC7" s="116"/>
      <c r="AD7" s="116"/>
      <c r="AE7" s="116"/>
      <c r="AF7" s="116"/>
      <c r="AG7" s="117"/>
      <c r="AH7" s="791"/>
      <c r="AI7" s="792"/>
      <c r="AJ7" s="792"/>
      <c r="AK7" s="792"/>
      <c r="AL7" s="792"/>
      <c r="AM7" s="792"/>
      <c r="AN7" s="792"/>
      <c r="AO7" s="792"/>
      <c r="AP7" s="792"/>
      <c r="AQ7" s="792"/>
      <c r="AR7" s="792"/>
      <c r="AS7" s="792"/>
      <c r="AT7" s="79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792"/>
      <c r="AJ8" s="792"/>
      <c r="AK8" s="792"/>
      <c r="AL8" s="792"/>
      <c r="AM8" s="792"/>
      <c r="AN8" s="792"/>
      <c r="AO8" s="792"/>
      <c r="AP8" s="792"/>
      <c r="AQ8" s="792"/>
      <c r="AR8" s="792"/>
      <c r="AS8" s="792"/>
      <c r="AT8" s="79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792"/>
      <c r="AJ9" s="792"/>
      <c r="AK9" s="792"/>
      <c r="AL9" s="792"/>
      <c r="AM9" s="792"/>
      <c r="AN9" s="792"/>
      <c r="AO9" s="792"/>
      <c r="AP9" s="792"/>
      <c r="AQ9" s="792"/>
      <c r="AR9" s="792"/>
      <c r="AS9" s="792"/>
      <c r="AT9" s="79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420" t="s">
        <v>169</v>
      </c>
      <c r="B12" s="420" t="s">
        <v>170</v>
      </c>
      <c r="C12" s="420" t="s">
        <v>171</v>
      </c>
      <c r="D12" s="420" t="s">
        <v>178</v>
      </c>
      <c r="E12" s="420" t="s">
        <v>185</v>
      </c>
      <c r="F12" s="420" t="s">
        <v>186</v>
      </c>
      <c r="G12" s="420" t="s">
        <v>277</v>
      </c>
      <c r="H12" s="420" t="s">
        <v>184</v>
      </c>
      <c r="I12" s="779"/>
      <c r="J12" s="779"/>
      <c r="K12" s="779"/>
      <c r="L12" s="779"/>
      <c r="M12" s="779"/>
      <c r="N12" s="779"/>
      <c r="O12" s="420">
        <v>2020</v>
      </c>
      <c r="P12" s="420">
        <v>2021</v>
      </c>
      <c r="Q12" s="420">
        <v>2022</v>
      </c>
      <c r="R12" s="420">
        <v>2023</v>
      </c>
      <c r="S12" s="420">
        <v>2024</v>
      </c>
      <c r="T12" s="779"/>
      <c r="U12" s="779"/>
      <c r="V12" s="419" t="s">
        <v>39</v>
      </c>
      <c r="W12" s="419" t="s">
        <v>40</v>
      </c>
      <c r="X12" s="419" t="s">
        <v>41</v>
      </c>
      <c r="Y12" s="419" t="s">
        <v>42</v>
      </c>
      <c r="Z12" s="419" t="s">
        <v>43</v>
      </c>
      <c r="AA12" s="419" t="s">
        <v>44</v>
      </c>
      <c r="AB12" s="419" t="s">
        <v>45</v>
      </c>
      <c r="AC12" s="419" t="s">
        <v>46</v>
      </c>
      <c r="AD12" s="419" t="s">
        <v>47</v>
      </c>
      <c r="AE12" s="419" t="s">
        <v>48</v>
      </c>
      <c r="AF12" s="419" t="s">
        <v>49</v>
      </c>
      <c r="AG12" s="419" t="s">
        <v>50</v>
      </c>
      <c r="AH12" s="419" t="s">
        <v>39</v>
      </c>
      <c r="AI12" s="419" t="s">
        <v>40</v>
      </c>
      <c r="AJ12" s="419" t="s">
        <v>41</v>
      </c>
      <c r="AK12" s="419" t="s">
        <v>42</v>
      </c>
      <c r="AL12" s="419" t="s">
        <v>43</v>
      </c>
      <c r="AM12" s="419" t="s">
        <v>44</v>
      </c>
      <c r="AN12" s="419" t="s">
        <v>45</v>
      </c>
      <c r="AO12" s="419" t="s">
        <v>46</v>
      </c>
      <c r="AP12" s="419" t="s">
        <v>47</v>
      </c>
      <c r="AQ12" s="419" t="s">
        <v>48</v>
      </c>
      <c r="AR12" s="419" t="s">
        <v>49</v>
      </c>
      <c r="AS12" s="419" t="s">
        <v>50</v>
      </c>
      <c r="AT12" s="420" t="s">
        <v>413</v>
      </c>
      <c r="AU12" s="216" t="s">
        <v>88</v>
      </c>
      <c r="AV12" s="779"/>
      <c r="AW12" s="779"/>
      <c r="AX12" s="779"/>
      <c r="AY12" s="779"/>
    </row>
    <row r="13" spans="1:51" ht="386.25" customHeight="1">
      <c r="A13" s="121"/>
      <c r="B13" s="121"/>
      <c r="C13" s="121"/>
      <c r="D13" s="121"/>
      <c r="E13" s="121" t="s">
        <v>425</v>
      </c>
      <c r="F13" s="121"/>
      <c r="G13" s="465"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461">
        <v>0.0833</v>
      </c>
      <c r="AL13" s="461">
        <v>0.0833</v>
      </c>
      <c r="AM13" s="461">
        <v>0.0833333333333333</v>
      </c>
      <c r="AN13" s="124"/>
      <c r="AO13" s="124"/>
      <c r="AP13" s="124"/>
      <c r="AQ13" s="124"/>
      <c r="AR13" s="124"/>
      <c r="AS13" s="124"/>
      <c r="AT13" s="411">
        <f>SUM(AH13:AS13)</f>
        <v>0.4999333333333333</v>
      </c>
      <c r="AU13" s="127">
        <f>+AT13/R13</f>
        <v>0.4999333333333333</v>
      </c>
      <c r="AV13" s="511"/>
      <c r="AW13" s="512"/>
      <c r="AX13" s="513"/>
      <c r="AY13" s="513"/>
    </row>
    <row r="14" spans="1:51" ht="177.75" customHeight="1">
      <c r="A14" s="121"/>
      <c r="B14" s="121"/>
      <c r="C14" s="121"/>
      <c r="D14" s="121"/>
      <c r="E14" s="121" t="s">
        <v>425</v>
      </c>
      <c r="F14" s="121"/>
      <c r="G14" s="465"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124"/>
      <c r="AO14" s="124"/>
      <c r="AP14" s="124"/>
      <c r="AQ14" s="124"/>
      <c r="AR14" s="124"/>
      <c r="AS14" s="124"/>
      <c r="AT14" s="127">
        <f>SUM(AH14:AS14)</f>
        <v>0.5</v>
      </c>
      <c r="AU14" s="127">
        <f>+AT14/R14</f>
        <v>0.5</v>
      </c>
      <c r="AV14" s="514"/>
      <c r="AW14" s="513"/>
      <c r="AX14" s="515"/>
      <c r="AY14" s="515"/>
    </row>
    <row r="15" spans="1:51" ht="107.25" customHeight="1">
      <c r="A15" s="121"/>
      <c r="B15" s="121"/>
      <c r="C15" s="121"/>
      <c r="D15" s="121"/>
      <c r="E15" s="121" t="s">
        <v>425</v>
      </c>
      <c r="F15" s="121"/>
      <c r="G15" s="465"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307">
        <v>1</v>
      </c>
      <c r="AM15" s="489">
        <v>1</v>
      </c>
      <c r="AN15" s="124"/>
      <c r="AO15" s="124"/>
      <c r="AP15" s="124"/>
      <c r="AQ15" s="124"/>
      <c r="AR15" s="124"/>
      <c r="AS15" s="124"/>
      <c r="AT15" s="127">
        <f>AVERAGE(AH15:AS15)</f>
        <v>1</v>
      </c>
      <c r="AU15" s="379">
        <f>+(SUM(AH15:AS15)/+SUM(V15:AG15))</f>
        <v>0.5</v>
      </c>
      <c r="AV15" s="472"/>
      <c r="AW15" s="472"/>
      <c r="AX15" s="515"/>
      <c r="AY15" s="515"/>
    </row>
    <row r="16" spans="1:51" ht="107.25" customHeight="1">
      <c r="A16" s="121"/>
      <c r="B16" s="121"/>
      <c r="C16" s="121"/>
      <c r="D16" s="121"/>
      <c r="E16" s="121" t="s">
        <v>425</v>
      </c>
      <c r="F16" s="121"/>
      <c r="G16" s="465"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461">
        <v>0.0833</v>
      </c>
      <c r="AL16" s="461">
        <v>0.0833</v>
      </c>
      <c r="AM16" s="461">
        <v>0.0833</v>
      </c>
      <c r="AN16" s="124"/>
      <c r="AO16" s="124"/>
      <c r="AP16" s="124"/>
      <c r="AQ16" s="124"/>
      <c r="AR16" s="124"/>
      <c r="AS16" s="124"/>
      <c r="AT16" s="411">
        <f>SUM(AH16:AS16)</f>
        <v>0.49979999999999997</v>
      </c>
      <c r="AU16" s="127">
        <f>+AT16/R16</f>
        <v>0.49979999999999997</v>
      </c>
      <c r="AV16" s="472"/>
      <c r="AW16" s="472"/>
      <c r="AX16" s="515"/>
      <c r="AY16" s="515"/>
    </row>
    <row r="17" spans="1:51" ht="54" customHeight="1">
      <c r="A17" s="781" t="s">
        <v>64</v>
      </c>
      <c r="B17" s="781"/>
      <c r="C17" s="781"/>
      <c r="D17" s="777" t="s">
        <v>66</v>
      </c>
      <c r="E17" s="777"/>
      <c r="F17" s="777"/>
      <c r="G17" s="777"/>
      <c r="H17" s="777"/>
      <c r="I17" s="777"/>
      <c r="J17" s="782" t="s">
        <v>300</v>
      </c>
      <c r="K17" s="782"/>
      <c r="L17" s="782"/>
      <c r="M17" s="782"/>
      <c r="N17" s="782"/>
      <c r="O17" s="782"/>
      <c r="P17" s="777" t="s">
        <v>66</v>
      </c>
      <c r="Q17" s="777"/>
      <c r="R17" s="777"/>
      <c r="S17" s="777"/>
      <c r="T17" s="777"/>
      <c r="U17" s="777"/>
      <c r="V17" s="777" t="s">
        <v>66</v>
      </c>
      <c r="W17" s="777"/>
      <c r="X17" s="777"/>
      <c r="Y17" s="777"/>
      <c r="Z17" s="777"/>
      <c r="AA17" s="777"/>
      <c r="AB17" s="777"/>
      <c r="AC17" s="777"/>
      <c r="AD17" s="777" t="s">
        <v>66</v>
      </c>
      <c r="AE17" s="777"/>
      <c r="AF17" s="777"/>
      <c r="AG17" s="777"/>
      <c r="AH17" s="777"/>
      <c r="AI17" s="777"/>
      <c r="AJ17" s="777"/>
      <c r="AK17" s="777"/>
      <c r="AL17" s="777"/>
      <c r="AM17" s="777"/>
      <c r="AN17" s="777"/>
      <c r="AO17" s="777"/>
      <c r="AP17" s="782" t="s">
        <v>318</v>
      </c>
      <c r="AQ17" s="782"/>
      <c r="AR17" s="782"/>
      <c r="AS17" s="782"/>
      <c r="AT17" s="777" t="s">
        <v>13</v>
      </c>
      <c r="AU17" s="777"/>
      <c r="AV17" s="777"/>
      <c r="AW17" s="777"/>
      <c r="AX17" s="777"/>
      <c r="AY17" s="777"/>
    </row>
    <row r="18" spans="1:51" ht="30" customHeight="1">
      <c r="A18" s="781"/>
      <c r="B18" s="781"/>
      <c r="C18" s="781"/>
      <c r="D18" s="777" t="s">
        <v>815</v>
      </c>
      <c r="E18" s="777"/>
      <c r="F18" s="777"/>
      <c r="G18" s="777"/>
      <c r="H18" s="777"/>
      <c r="I18" s="777"/>
      <c r="J18" s="782"/>
      <c r="K18" s="782"/>
      <c r="L18" s="782"/>
      <c r="M18" s="782"/>
      <c r="N18" s="782"/>
      <c r="O18" s="782"/>
      <c r="P18" s="777" t="s">
        <v>848</v>
      </c>
      <c r="Q18" s="777"/>
      <c r="R18" s="777"/>
      <c r="S18" s="777"/>
      <c r="T18" s="777"/>
      <c r="U18" s="777"/>
      <c r="V18" s="777" t="s">
        <v>65</v>
      </c>
      <c r="W18" s="777"/>
      <c r="X18" s="777"/>
      <c r="Y18" s="777"/>
      <c r="Z18" s="777"/>
      <c r="AA18" s="777"/>
      <c r="AB18" s="777"/>
      <c r="AC18" s="777"/>
      <c r="AD18" s="777" t="s">
        <v>65</v>
      </c>
      <c r="AE18" s="777"/>
      <c r="AF18" s="777"/>
      <c r="AG18" s="777"/>
      <c r="AH18" s="777"/>
      <c r="AI18" s="777"/>
      <c r="AJ18" s="777"/>
      <c r="AK18" s="777"/>
      <c r="AL18" s="777"/>
      <c r="AM18" s="777"/>
      <c r="AN18" s="777"/>
      <c r="AO18" s="777"/>
      <c r="AP18" s="782"/>
      <c r="AQ18" s="782"/>
      <c r="AR18" s="782"/>
      <c r="AS18" s="782"/>
      <c r="AT18" s="777" t="s">
        <v>771</v>
      </c>
      <c r="AU18" s="777"/>
      <c r="AV18" s="777"/>
      <c r="AW18" s="777"/>
      <c r="AX18" s="777"/>
      <c r="AY18" s="777"/>
    </row>
    <row r="19" spans="1:51" ht="30" customHeight="1">
      <c r="A19" s="781"/>
      <c r="B19" s="781"/>
      <c r="C19" s="781"/>
      <c r="D19" s="777" t="s">
        <v>816</v>
      </c>
      <c r="E19" s="777"/>
      <c r="F19" s="777"/>
      <c r="G19" s="777"/>
      <c r="H19" s="777"/>
      <c r="I19" s="777"/>
      <c r="J19" s="782"/>
      <c r="K19" s="782"/>
      <c r="L19" s="782"/>
      <c r="M19" s="782"/>
      <c r="N19" s="782"/>
      <c r="O19" s="782"/>
      <c r="P19" s="777" t="s">
        <v>817</v>
      </c>
      <c r="Q19" s="777"/>
      <c r="R19" s="777"/>
      <c r="S19" s="777"/>
      <c r="T19" s="777"/>
      <c r="U19" s="777"/>
      <c r="V19" s="777" t="s">
        <v>297</v>
      </c>
      <c r="W19" s="777"/>
      <c r="X19" s="777"/>
      <c r="Y19" s="777"/>
      <c r="Z19" s="777"/>
      <c r="AA19" s="777"/>
      <c r="AB19" s="777"/>
      <c r="AC19" s="777"/>
      <c r="AD19" s="777" t="s">
        <v>297</v>
      </c>
      <c r="AE19" s="777"/>
      <c r="AF19" s="777"/>
      <c r="AG19" s="777"/>
      <c r="AH19" s="777"/>
      <c r="AI19" s="777"/>
      <c r="AJ19" s="777"/>
      <c r="AK19" s="777"/>
      <c r="AL19" s="777"/>
      <c r="AM19" s="777"/>
      <c r="AN19" s="777"/>
      <c r="AO19" s="777"/>
      <c r="AP19" s="782"/>
      <c r="AQ19" s="782"/>
      <c r="AR19" s="782"/>
      <c r="AS19" s="782"/>
      <c r="AT19" s="777" t="s">
        <v>75</v>
      </c>
      <c r="AU19" s="777"/>
      <c r="AV19" s="777"/>
      <c r="AW19" s="777"/>
      <c r="AX19" s="777"/>
      <c r="AY19" s="777"/>
    </row>
    <row r="26" ht="15">
      <c r="S26"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landscape" scale="13"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735"/>
      <c r="B1" s="712" t="s">
        <v>16</v>
      </c>
      <c r="C1" s="713"/>
      <c r="D1" s="713"/>
      <c r="E1" s="713"/>
      <c r="F1" s="713"/>
      <c r="G1" s="713"/>
      <c r="H1" s="713"/>
      <c r="I1" s="713"/>
      <c r="J1" s="713"/>
      <c r="K1" s="713"/>
      <c r="L1" s="713"/>
      <c r="M1" s="713"/>
      <c r="N1" s="713"/>
      <c r="O1" s="713"/>
      <c r="P1" s="713"/>
      <c r="Q1" s="713"/>
      <c r="R1" s="713"/>
      <c r="S1" s="713"/>
      <c r="T1" s="713"/>
      <c r="U1" s="713"/>
      <c r="V1" s="713"/>
      <c r="W1" s="713"/>
      <c r="X1" s="713"/>
      <c r="Y1" s="714"/>
      <c r="Z1" s="709" t="s">
        <v>18</v>
      </c>
      <c r="AA1" s="710"/>
      <c r="AB1" s="711"/>
    </row>
    <row r="2" spans="1:28" ht="30.75" customHeight="1">
      <c r="A2" s="736"/>
      <c r="B2" s="715" t="s">
        <v>17</v>
      </c>
      <c r="C2" s="716"/>
      <c r="D2" s="716"/>
      <c r="E2" s="716"/>
      <c r="F2" s="716"/>
      <c r="G2" s="716"/>
      <c r="H2" s="716"/>
      <c r="I2" s="716"/>
      <c r="J2" s="716"/>
      <c r="K2" s="716"/>
      <c r="L2" s="716"/>
      <c r="M2" s="716"/>
      <c r="N2" s="716"/>
      <c r="O2" s="716"/>
      <c r="P2" s="716"/>
      <c r="Q2" s="716"/>
      <c r="R2" s="716"/>
      <c r="S2" s="716"/>
      <c r="T2" s="716"/>
      <c r="U2" s="716"/>
      <c r="V2" s="716"/>
      <c r="W2" s="716"/>
      <c r="X2" s="716"/>
      <c r="Y2" s="717"/>
      <c r="Z2" s="738" t="s">
        <v>180</v>
      </c>
      <c r="AA2" s="739"/>
      <c r="AB2" s="740"/>
    </row>
    <row r="3" spans="1:28" ht="24" customHeight="1">
      <c r="A3" s="736"/>
      <c r="B3" s="718" t="s">
        <v>295</v>
      </c>
      <c r="C3" s="719"/>
      <c r="D3" s="719"/>
      <c r="E3" s="719"/>
      <c r="F3" s="719"/>
      <c r="G3" s="719"/>
      <c r="H3" s="719"/>
      <c r="I3" s="719"/>
      <c r="J3" s="719"/>
      <c r="K3" s="719"/>
      <c r="L3" s="719"/>
      <c r="M3" s="719"/>
      <c r="N3" s="719"/>
      <c r="O3" s="719"/>
      <c r="P3" s="719"/>
      <c r="Q3" s="719"/>
      <c r="R3" s="719"/>
      <c r="S3" s="719"/>
      <c r="T3" s="719"/>
      <c r="U3" s="719"/>
      <c r="V3" s="719"/>
      <c r="W3" s="719"/>
      <c r="X3" s="719"/>
      <c r="Y3" s="720"/>
      <c r="Z3" s="738" t="s">
        <v>181</v>
      </c>
      <c r="AA3" s="739"/>
      <c r="AB3" s="740"/>
    </row>
    <row r="4" spans="1:28" ht="15.75" customHeight="1" thickBot="1">
      <c r="A4" s="737"/>
      <c r="B4" s="721"/>
      <c r="C4" s="722"/>
      <c r="D4" s="722"/>
      <c r="E4" s="722"/>
      <c r="F4" s="722"/>
      <c r="G4" s="722"/>
      <c r="H4" s="722"/>
      <c r="I4" s="722"/>
      <c r="J4" s="722"/>
      <c r="K4" s="722"/>
      <c r="L4" s="722"/>
      <c r="M4" s="722"/>
      <c r="N4" s="722"/>
      <c r="O4" s="722"/>
      <c r="P4" s="722"/>
      <c r="Q4" s="722"/>
      <c r="R4" s="722"/>
      <c r="S4" s="722"/>
      <c r="T4" s="722"/>
      <c r="U4" s="722"/>
      <c r="V4" s="722"/>
      <c r="W4" s="722"/>
      <c r="X4" s="722"/>
      <c r="Y4" s="723"/>
      <c r="Z4" s="741" t="s">
        <v>175</v>
      </c>
      <c r="AA4" s="742"/>
      <c r="AB4" s="743"/>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630" t="s">
        <v>0</v>
      </c>
      <c r="B7" s="631"/>
      <c r="C7" s="661"/>
      <c r="D7" s="662"/>
      <c r="E7" s="662"/>
      <c r="F7" s="662"/>
      <c r="G7" s="662"/>
      <c r="H7" s="662"/>
      <c r="I7" s="662"/>
      <c r="J7" s="662"/>
      <c r="K7" s="663"/>
      <c r="L7" s="64"/>
      <c r="M7" s="65"/>
      <c r="N7" s="65"/>
      <c r="O7" s="65"/>
      <c r="P7" s="65"/>
      <c r="Q7" s="66"/>
      <c r="R7" s="694" t="s">
        <v>71</v>
      </c>
      <c r="S7" s="744"/>
      <c r="T7" s="695"/>
      <c r="U7" s="639" t="s">
        <v>74</v>
      </c>
      <c r="V7" s="640"/>
      <c r="W7" s="694" t="s">
        <v>67</v>
      </c>
      <c r="X7" s="695"/>
      <c r="Y7" s="606" t="s">
        <v>70</v>
      </c>
      <c r="Z7" s="607"/>
      <c r="AA7" s="645"/>
      <c r="AB7" s="646"/>
    </row>
    <row r="8" spans="1:28" ht="15" customHeight="1">
      <c r="A8" s="632"/>
      <c r="B8" s="633"/>
      <c r="C8" s="664"/>
      <c r="D8" s="665"/>
      <c r="E8" s="665"/>
      <c r="F8" s="665"/>
      <c r="G8" s="665"/>
      <c r="H8" s="665"/>
      <c r="I8" s="665"/>
      <c r="J8" s="665"/>
      <c r="K8" s="666"/>
      <c r="L8" s="64"/>
      <c r="M8" s="65"/>
      <c r="N8" s="65"/>
      <c r="O8" s="65"/>
      <c r="P8" s="65"/>
      <c r="Q8" s="66"/>
      <c r="R8" s="696"/>
      <c r="S8" s="745"/>
      <c r="T8" s="697"/>
      <c r="U8" s="641"/>
      <c r="V8" s="642"/>
      <c r="W8" s="696"/>
      <c r="X8" s="697"/>
      <c r="Y8" s="647" t="s">
        <v>68</v>
      </c>
      <c r="Z8" s="648"/>
      <c r="AA8" s="649"/>
      <c r="AB8" s="650"/>
    </row>
    <row r="9" spans="1:28" ht="15" customHeight="1" thickBot="1">
      <c r="A9" s="634"/>
      <c r="B9" s="635"/>
      <c r="C9" s="667"/>
      <c r="D9" s="668"/>
      <c r="E9" s="668"/>
      <c r="F9" s="668"/>
      <c r="G9" s="668"/>
      <c r="H9" s="668"/>
      <c r="I9" s="668"/>
      <c r="J9" s="668"/>
      <c r="K9" s="669"/>
      <c r="L9" s="64"/>
      <c r="M9" s="65"/>
      <c r="N9" s="65"/>
      <c r="O9" s="65"/>
      <c r="P9" s="65"/>
      <c r="Q9" s="66"/>
      <c r="R9" s="698"/>
      <c r="S9" s="746"/>
      <c r="T9" s="699"/>
      <c r="U9" s="643"/>
      <c r="V9" s="644"/>
      <c r="W9" s="698"/>
      <c r="X9" s="699"/>
      <c r="Y9" s="602" t="s">
        <v>69</v>
      </c>
      <c r="Z9" s="603"/>
      <c r="AA9" s="604"/>
      <c r="AB9" s="605"/>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600" t="s">
        <v>77</v>
      </c>
      <c r="B11" s="601"/>
      <c r="C11" s="700"/>
      <c r="D11" s="701"/>
      <c r="E11" s="701"/>
      <c r="F11" s="701"/>
      <c r="G11" s="701"/>
      <c r="H11" s="701"/>
      <c r="I11" s="701"/>
      <c r="J11" s="701"/>
      <c r="K11" s="702"/>
      <c r="L11" s="74"/>
      <c r="M11" s="594" t="s">
        <v>73</v>
      </c>
      <c r="N11" s="670"/>
      <c r="O11" s="670"/>
      <c r="P11" s="670"/>
      <c r="Q11" s="595"/>
      <c r="R11" s="591"/>
      <c r="S11" s="592"/>
      <c r="T11" s="592"/>
      <c r="U11" s="592"/>
      <c r="V11" s="593"/>
      <c r="W11" s="594" t="s">
        <v>72</v>
      </c>
      <c r="X11" s="595"/>
      <c r="Y11" s="614"/>
      <c r="Z11" s="615"/>
      <c r="AA11" s="615"/>
      <c r="AB11" s="616"/>
    </row>
    <row r="12" spans="1:28" ht="9" customHeight="1" thickBot="1">
      <c r="A12" s="61"/>
      <c r="B12" s="56"/>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75"/>
      <c r="AB12" s="76"/>
    </row>
    <row r="13" spans="1:28" s="78" customFormat="1" ht="37.5" customHeight="1" thickBot="1">
      <c r="A13" s="600" t="s">
        <v>79</v>
      </c>
      <c r="B13" s="601"/>
      <c r="C13" s="618"/>
      <c r="D13" s="619"/>
      <c r="E13" s="619"/>
      <c r="F13" s="619"/>
      <c r="G13" s="619"/>
      <c r="H13" s="619"/>
      <c r="I13" s="619"/>
      <c r="J13" s="619"/>
      <c r="K13" s="619"/>
      <c r="L13" s="619"/>
      <c r="M13" s="619"/>
      <c r="N13" s="619"/>
      <c r="O13" s="619"/>
      <c r="P13" s="619"/>
      <c r="Q13" s="620"/>
      <c r="R13" s="56"/>
      <c r="S13" s="703" t="s">
        <v>14</v>
      </c>
      <c r="T13" s="703"/>
      <c r="U13" s="77"/>
      <c r="V13" s="727" t="s">
        <v>15</v>
      </c>
      <c r="W13" s="703"/>
      <c r="X13" s="703"/>
      <c r="Y13" s="703"/>
      <c r="Z13" s="56"/>
      <c r="AA13" s="689"/>
      <c r="AB13" s="690"/>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51" t="s">
        <v>293</v>
      </c>
      <c r="B15" s="652"/>
      <c r="C15" s="733" t="s">
        <v>321</v>
      </c>
      <c r="D15" s="82"/>
      <c r="E15" s="82"/>
      <c r="F15" s="82"/>
      <c r="G15" s="82"/>
      <c r="H15" s="82"/>
      <c r="I15" s="82"/>
      <c r="J15" s="83"/>
      <c r="K15" s="84"/>
      <c r="L15" s="83"/>
      <c r="M15" s="62"/>
      <c r="N15" s="62"/>
      <c r="O15" s="62"/>
      <c r="P15" s="62"/>
      <c r="Q15" s="728" t="s">
        <v>1</v>
      </c>
      <c r="R15" s="729"/>
      <c r="S15" s="729"/>
      <c r="T15" s="729"/>
      <c r="U15" s="729"/>
      <c r="V15" s="729"/>
      <c r="W15" s="729"/>
      <c r="X15" s="729"/>
      <c r="Y15" s="729"/>
      <c r="Z15" s="729"/>
      <c r="AA15" s="729"/>
      <c r="AB15" s="730"/>
    </row>
    <row r="16" spans="1:28" ht="35.25" customHeight="1" thickBot="1">
      <c r="A16" s="655"/>
      <c r="B16" s="656"/>
      <c r="C16" s="734"/>
      <c r="D16" s="82"/>
      <c r="E16" s="82"/>
      <c r="F16" s="82"/>
      <c r="G16" s="82"/>
      <c r="H16" s="82"/>
      <c r="I16" s="82"/>
      <c r="J16" s="83"/>
      <c r="K16" s="83"/>
      <c r="L16" s="83"/>
      <c r="M16" s="62"/>
      <c r="N16" s="62"/>
      <c r="O16" s="62"/>
      <c r="P16" s="62"/>
      <c r="Q16" s="707" t="s">
        <v>2</v>
      </c>
      <c r="R16" s="692"/>
      <c r="S16" s="692"/>
      <c r="T16" s="692"/>
      <c r="U16" s="692"/>
      <c r="V16" s="708"/>
      <c r="W16" s="691" t="s">
        <v>3</v>
      </c>
      <c r="X16" s="692"/>
      <c r="Y16" s="692"/>
      <c r="Z16" s="692"/>
      <c r="AA16" s="692"/>
      <c r="AB16" s="693"/>
    </row>
    <row r="17" spans="1:30" ht="27" customHeight="1">
      <c r="A17" s="85"/>
      <c r="B17" s="62"/>
      <c r="C17" s="62"/>
      <c r="D17" s="82"/>
      <c r="E17" s="82"/>
      <c r="F17" s="82"/>
      <c r="G17" s="82"/>
      <c r="H17" s="82"/>
      <c r="I17" s="82"/>
      <c r="J17" s="82"/>
      <c r="K17" s="82"/>
      <c r="L17" s="82"/>
      <c r="M17" s="62"/>
      <c r="N17" s="62"/>
      <c r="O17" s="62"/>
      <c r="P17" s="62"/>
      <c r="Q17" s="753" t="s">
        <v>4</v>
      </c>
      <c r="R17" s="754"/>
      <c r="S17" s="750"/>
      <c r="T17" s="704" t="s">
        <v>188</v>
      </c>
      <c r="U17" s="705"/>
      <c r="V17" s="706"/>
      <c r="W17" s="749" t="s">
        <v>4</v>
      </c>
      <c r="X17" s="750"/>
      <c r="Y17" s="749" t="s">
        <v>5</v>
      </c>
      <c r="Z17" s="750"/>
      <c r="AA17" s="704" t="s">
        <v>89</v>
      </c>
      <c r="AB17" s="751"/>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04"/>
      <c r="U18" s="705"/>
      <c r="V18" s="706"/>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52"/>
      <c r="R19" s="725"/>
      <c r="S19" s="726"/>
      <c r="T19" s="724"/>
      <c r="U19" s="725"/>
      <c r="V19" s="726"/>
      <c r="W19" s="731"/>
      <c r="X19" s="732"/>
      <c r="Y19" s="747"/>
      <c r="Z19" s="748"/>
      <c r="AA19" s="755"/>
      <c r="AB19" s="756"/>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08" t="s">
        <v>76</v>
      </c>
      <c r="B21" s="609"/>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1"/>
    </row>
    <row r="22" spans="1:28" ht="15" customHeight="1">
      <c r="A22" s="586" t="s">
        <v>189</v>
      </c>
      <c r="B22" s="588" t="s">
        <v>6</v>
      </c>
      <c r="C22" s="589"/>
      <c r="D22" s="549" t="s">
        <v>7</v>
      </c>
      <c r="E22" s="550"/>
      <c r="F22" s="550"/>
      <c r="G22" s="550"/>
      <c r="H22" s="550"/>
      <c r="I22" s="550"/>
      <c r="J22" s="550"/>
      <c r="K22" s="550"/>
      <c r="L22" s="550"/>
      <c r="M22" s="550"/>
      <c r="N22" s="550"/>
      <c r="O22" s="590"/>
      <c r="P22" s="572" t="s">
        <v>8</v>
      </c>
      <c r="Q22" s="572" t="s">
        <v>84</v>
      </c>
      <c r="R22" s="572"/>
      <c r="S22" s="572"/>
      <c r="T22" s="572"/>
      <c r="U22" s="572"/>
      <c r="V22" s="572"/>
      <c r="W22" s="572"/>
      <c r="X22" s="572"/>
      <c r="Y22" s="572"/>
      <c r="Z22" s="572"/>
      <c r="AA22" s="572"/>
      <c r="AB22" s="581"/>
    </row>
    <row r="23" spans="1:28" ht="27" customHeight="1">
      <c r="A23" s="587"/>
      <c r="B23" s="582"/>
      <c r="C23" s="584"/>
      <c r="D23" s="156" t="s">
        <v>39</v>
      </c>
      <c r="E23" s="156" t="s">
        <v>40</v>
      </c>
      <c r="F23" s="156" t="s">
        <v>41</v>
      </c>
      <c r="G23" s="156" t="s">
        <v>42</v>
      </c>
      <c r="H23" s="156" t="s">
        <v>43</v>
      </c>
      <c r="I23" s="156" t="s">
        <v>44</v>
      </c>
      <c r="J23" s="156" t="s">
        <v>45</v>
      </c>
      <c r="K23" s="156" t="s">
        <v>46</v>
      </c>
      <c r="L23" s="156" t="s">
        <v>47</v>
      </c>
      <c r="M23" s="156" t="s">
        <v>48</v>
      </c>
      <c r="N23" s="156" t="s">
        <v>49</v>
      </c>
      <c r="O23" s="156" t="s">
        <v>50</v>
      </c>
      <c r="P23" s="590"/>
      <c r="Q23" s="572"/>
      <c r="R23" s="572"/>
      <c r="S23" s="572"/>
      <c r="T23" s="572"/>
      <c r="U23" s="572"/>
      <c r="V23" s="572"/>
      <c r="W23" s="572"/>
      <c r="X23" s="572"/>
      <c r="Y23" s="572"/>
      <c r="Z23" s="572"/>
      <c r="AA23" s="572"/>
      <c r="AB23" s="581"/>
    </row>
    <row r="24" spans="1:28" ht="42" customHeight="1" thickBot="1">
      <c r="A24" s="88"/>
      <c r="B24" s="573"/>
      <c r="C24" s="574"/>
      <c r="D24" s="92"/>
      <c r="E24" s="92"/>
      <c r="F24" s="92"/>
      <c r="G24" s="92"/>
      <c r="H24" s="92"/>
      <c r="I24" s="92"/>
      <c r="J24" s="92"/>
      <c r="K24" s="92"/>
      <c r="L24" s="92"/>
      <c r="M24" s="92"/>
      <c r="N24" s="92"/>
      <c r="O24" s="92"/>
      <c r="P24" s="89">
        <f>SUM(D24:O24)</f>
        <v>0</v>
      </c>
      <c r="Q24" s="575" t="s">
        <v>296</v>
      </c>
      <c r="R24" s="575"/>
      <c r="S24" s="575"/>
      <c r="T24" s="575"/>
      <c r="U24" s="575"/>
      <c r="V24" s="575"/>
      <c r="W24" s="575"/>
      <c r="X24" s="575"/>
      <c r="Y24" s="575"/>
      <c r="Z24" s="575"/>
      <c r="AA24" s="575"/>
      <c r="AB24" s="576"/>
    </row>
    <row r="25" spans="1:28" ht="21.75" customHeight="1">
      <c r="A25" s="577" t="s">
        <v>292</v>
      </c>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9"/>
    </row>
    <row r="26" spans="1:39" ht="22.5" customHeight="1">
      <c r="A26" s="542" t="s">
        <v>190</v>
      </c>
      <c r="B26" s="572" t="s">
        <v>62</v>
      </c>
      <c r="C26" s="572" t="s">
        <v>6</v>
      </c>
      <c r="D26" s="572" t="s">
        <v>60</v>
      </c>
      <c r="E26" s="572"/>
      <c r="F26" s="572"/>
      <c r="G26" s="572"/>
      <c r="H26" s="572"/>
      <c r="I26" s="572"/>
      <c r="J26" s="572"/>
      <c r="K26" s="572"/>
      <c r="L26" s="572"/>
      <c r="M26" s="572"/>
      <c r="N26" s="572"/>
      <c r="O26" s="572"/>
      <c r="P26" s="572"/>
      <c r="Q26" s="572" t="s">
        <v>85</v>
      </c>
      <c r="R26" s="572"/>
      <c r="S26" s="572"/>
      <c r="T26" s="572"/>
      <c r="U26" s="572"/>
      <c r="V26" s="572"/>
      <c r="W26" s="572"/>
      <c r="X26" s="572"/>
      <c r="Y26" s="572"/>
      <c r="Z26" s="572"/>
      <c r="AA26" s="572"/>
      <c r="AB26" s="581"/>
      <c r="AE26" s="90"/>
      <c r="AF26" s="90"/>
      <c r="AG26" s="90"/>
      <c r="AH26" s="90"/>
      <c r="AI26" s="90"/>
      <c r="AJ26" s="90"/>
      <c r="AK26" s="90"/>
      <c r="AL26" s="90"/>
      <c r="AM26" s="90"/>
    </row>
    <row r="27" spans="1:39" ht="22.5" customHeight="1">
      <c r="A27" s="542"/>
      <c r="B27" s="572"/>
      <c r="C27" s="580"/>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82" t="s">
        <v>80</v>
      </c>
      <c r="R27" s="583"/>
      <c r="S27" s="583"/>
      <c r="T27" s="584"/>
      <c r="U27" s="582" t="s">
        <v>81</v>
      </c>
      <c r="V27" s="583"/>
      <c r="W27" s="583"/>
      <c r="X27" s="584"/>
      <c r="Y27" s="582" t="s">
        <v>82</v>
      </c>
      <c r="Z27" s="583"/>
      <c r="AA27" s="583"/>
      <c r="AB27" s="585"/>
      <c r="AE27" s="90"/>
      <c r="AF27" s="90"/>
      <c r="AG27" s="90"/>
      <c r="AH27" s="90"/>
      <c r="AI27" s="90"/>
      <c r="AJ27" s="90"/>
      <c r="AK27" s="90"/>
      <c r="AL27" s="90"/>
      <c r="AM27" s="90"/>
    </row>
    <row r="28" spans="1:39" ht="33" customHeight="1">
      <c r="A28" s="560"/>
      <c r="B28" s="562"/>
      <c r="C28" s="93" t="s">
        <v>9</v>
      </c>
      <c r="D28" s="92"/>
      <c r="E28" s="92"/>
      <c r="F28" s="92"/>
      <c r="G28" s="92"/>
      <c r="H28" s="92"/>
      <c r="I28" s="92"/>
      <c r="J28" s="92"/>
      <c r="K28" s="92"/>
      <c r="L28" s="92"/>
      <c r="M28" s="92"/>
      <c r="N28" s="92"/>
      <c r="O28" s="92"/>
      <c r="P28" s="177">
        <f>SUM(D28:O28)</f>
        <v>0</v>
      </c>
      <c r="Q28" s="564" t="s">
        <v>192</v>
      </c>
      <c r="R28" s="565"/>
      <c r="S28" s="565"/>
      <c r="T28" s="566"/>
      <c r="U28" s="564" t="s">
        <v>193</v>
      </c>
      <c r="V28" s="565"/>
      <c r="W28" s="565"/>
      <c r="X28" s="566"/>
      <c r="Y28" s="564" t="s">
        <v>194</v>
      </c>
      <c r="Z28" s="565"/>
      <c r="AA28" s="565"/>
      <c r="AB28" s="570"/>
      <c r="AE28" s="90"/>
      <c r="AF28" s="90"/>
      <c r="AG28" s="90"/>
      <c r="AH28" s="90"/>
      <c r="AI28" s="90"/>
      <c r="AJ28" s="90"/>
      <c r="AK28" s="90"/>
      <c r="AL28" s="90"/>
      <c r="AM28" s="90"/>
    </row>
    <row r="29" spans="1:39" ht="33.75" customHeight="1" thickBot="1">
      <c r="A29" s="561"/>
      <c r="B29" s="563"/>
      <c r="C29" s="94" t="s">
        <v>10</v>
      </c>
      <c r="D29" s="95"/>
      <c r="E29" s="95"/>
      <c r="F29" s="95"/>
      <c r="G29" s="96"/>
      <c r="H29" s="96"/>
      <c r="I29" s="96"/>
      <c r="J29" s="96"/>
      <c r="K29" s="96"/>
      <c r="L29" s="96"/>
      <c r="M29" s="96"/>
      <c r="N29" s="96"/>
      <c r="O29" s="96"/>
      <c r="P29" s="178">
        <f>SUM(D29:O29)</f>
        <v>0</v>
      </c>
      <c r="Q29" s="567"/>
      <c r="R29" s="568"/>
      <c r="S29" s="568"/>
      <c r="T29" s="569"/>
      <c r="U29" s="567"/>
      <c r="V29" s="568"/>
      <c r="W29" s="568"/>
      <c r="X29" s="569"/>
      <c r="Y29" s="567"/>
      <c r="Z29" s="568"/>
      <c r="AA29" s="568"/>
      <c r="AB29" s="571"/>
      <c r="AC29" s="50"/>
      <c r="AD29" s="97"/>
      <c r="AE29" s="90"/>
      <c r="AF29" s="90"/>
      <c r="AG29" s="90"/>
      <c r="AH29" s="90"/>
      <c r="AI29" s="90"/>
      <c r="AJ29" s="90"/>
      <c r="AK29" s="90"/>
      <c r="AL29" s="90"/>
      <c r="AM29" s="90"/>
    </row>
    <row r="30" spans="1:39" ht="25.5" customHeight="1">
      <c r="A30" s="541" t="s">
        <v>191</v>
      </c>
      <c r="B30" s="543" t="s">
        <v>61</v>
      </c>
      <c r="C30" s="545" t="s">
        <v>11</v>
      </c>
      <c r="D30" s="545"/>
      <c r="E30" s="545"/>
      <c r="F30" s="545"/>
      <c r="G30" s="545"/>
      <c r="H30" s="545"/>
      <c r="I30" s="545"/>
      <c r="J30" s="545"/>
      <c r="K30" s="545"/>
      <c r="L30" s="545"/>
      <c r="M30" s="545"/>
      <c r="N30" s="545"/>
      <c r="O30" s="545"/>
      <c r="P30" s="545"/>
      <c r="Q30" s="546" t="s">
        <v>78</v>
      </c>
      <c r="R30" s="547"/>
      <c r="S30" s="547"/>
      <c r="T30" s="547"/>
      <c r="U30" s="547"/>
      <c r="V30" s="547"/>
      <c r="W30" s="547"/>
      <c r="X30" s="547"/>
      <c r="Y30" s="547"/>
      <c r="Z30" s="547"/>
      <c r="AA30" s="547"/>
      <c r="AB30" s="548"/>
      <c r="AE30" s="90"/>
      <c r="AF30" s="90"/>
      <c r="AG30" s="90"/>
      <c r="AH30" s="90"/>
      <c r="AI30" s="90"/>
      <c r="AJ30" s="90"/>
      <c r="AK30" s="90"/>
      <c r="AL30" s="90"/>
      <c r="AM30" s="90"/>
    </row>
    <row r="31" spans="1:39" ht="25.5" customHeight="1">
      <c r="A31" s="542"/>
      <c r="B31" s="544"/>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49" t="s">
        <v>83</v>
      </c>
      <c r="R31" s="550"/>
      <c r="S31" s="550"/>
      <c r="T31" s="550"/>
      <c r="U31" s="550"/>
      <c r="V31" s="550"/>
      <c r="W31" s="550"/>
      <c r="X31" s="550"/>
      <c r="Y31" s="550"/>
      <c r="Z31" s="550"/>
      <c r="AA31" s="550"/>
      <c r="AB31" s="551"/>
      <c r="AE31" s="98"/>
      <c r="AF31" s="98"/>
      <c r="AG31" s="98"/>
      <c r="AH31" s="98"/>
      <c r="AI31" s="98"/>
      <c r="AJ31" s="98"/>
      <c r="AK31" s="98"/>
      <c r="AL31" s="98"/>
      <c r="AM31" s="98"/>
    </row>
    <row r="32" spans="1:39" ht="28.5" customHeight="1">
      <c r="A32" s="552"/>
      <c r="B32" s="553"/>
      <c r="C32" s="93" t="s">
        <v>9</v>
      </c>
      <c r="D32" s="99"/>
      <c r="E32" s="99"/>
      <c r="F32" s="99"/>
      <c r="G32" s="99"/>
      <c r="H32" s="99"/>
      <c r="I32" s="99"/>
      <c r="J32" s="99"/>
      <c r="K32" s="99"/>
      <c r="L32" s="99"/>
      <c r="M32" s="99"/>
      <c r="N32" s="99"/>
      <c r="O32" s="99"/>
      <c r="P32" s="100">
        <f aca="true" t="shared" si="0" ref="P32:P39">SUM(D32:O32)</f>
        <v>0</v>
      </c>
      <c r="Q32" s="554" t="s">
        <v>286</v>
      </c>
      <c r="R32" s="555"/>
      <c r="S32" s="555"/>
      <c r="T32" s="555"/>
      <c r="U32" s="555"/>
      <c r="V32" s="555"/>
      <c r="W32" s="555"/>
      <c r="X32" s="555"/>
      <c r="Y32" s="555"/>
      <c r="Z32" s="555"/>
      <c r="AA32" s="555"/>
      <c r="AB32" s="556"/>
      <c r="AC32" s="101"/>
      <c r="AE32" s="102"/>
      <c r="AF32" s="102"/>
      <c r="AG32" s="102"/>
      <c r="AH32" s="102"/>
      <c r="AI32" s="102"/>
      <c r="AJ32" s="102"/>
      <c r="AK32" s="102"/>
      <c r="AL32" s="102"/>
      <c r="AM32" s="102"/>
    </row>
    <row r="33" spans="1:29" ht="28.5" customHeight="1">
      <c r="A33" s="534"/>
      <c r="B33" s="535"/>
      <c r="C33" s="103" t="s">
        <v>10</v>
      </c>
      <c r="D33" s="104"/>
      <c r="E33" s="104"/>
      <c r="F33" s="104"/>
      <c r="G33" s="104"/>
      <c r="H33" s="104"/>
      <c r="I33" s="104"/>
      <c r="J33" s="104"/>
      <c r="K33" s="104"/>
      <c r="L33" s="104"/>
      <c r="M33" s="104"/>
      <c r="N33" s="104"/>
      <c r="O33" s="104"/>
      <c r="P33" s="105">
        <f t="shared" si="0"/>
        <v>0</v>
      </c>
      <c r="Q33" s="557"/>
      <c r="R33" s="558"/>
      <c r="S33" s="558"/>
      <c r="T33" s="558"/>
      <c r="U33" s="558"/>
      <c r="V33" s="558"/>
      <c r="W33" s="558"/>
      <c r="X33" s="558"/>
      <c r="Y33" s="558"/>
      <c r="Z33" s="558"/>
      <c r="AA33" s="558"/>
      <c r="AB33" s="559"/>
      <c r="AC33" s="101"/>
    </row>
    <row r="34" spans="1:29" ht="28.5" customHeight="1">
      <c r="A34" s="534"/>
      <c r="B34" s="526"/>
      <c r="C34" s="106" t="s">
        <v>9</v>
      </c>
      <c r="D34" s="107"/>
      <c r="E34" s="107"/>
      <c r="F34" s="107"/>
      <c r="G34" s="107"/>
      <c r="H34" s="107"/>
      <c r="I34" s="107"/>
      <c r="J34" s="107"/>
      <c r="K34" s="107"/>
      <c r="L34" s="107"/>
      <c r="M34" s="107"/>
      <c r="N34" s="107"/>
      <c r="O34" s="107"/>
      <c r="P34" s="105">
        <f t="shared" si="0"/>
        <v>0</v>
      </c>
      <c r="Q34" s="528"/>
      <c r="R34" s="529"/>
      <c r="S34" s="529"/>
      <c r="T34" s="529"/>
      <c r="U34" s="529"/>
      <c r="V34" s="529"/>
      <c r="W34" s="529"/>
      <c r="X34" s="529"/>
      <c r="Y34" s="529"/>
      <c r="Z34" s="529"/>
      <c r="AA34" s="529"/>
      <c r="AB34" s="530"/>
      <c r="AC34" s="101"/>
    </row>
    <row r="35" spans="1:29" ht="28.5" customHeight="1">
      <c r="A35" s="534"/>
      <c r="B35" s="535"/>
      <c r="C35" s="103" t="s">
        <v>10</v>
      </c>
      <c r="D35" s="104"/>
      <c r="E35" s="104"/>
      <c r="F35" s="104"/>
      <c r="G35" s="104"/>
      <c r="H35" s="104"/>
      <c r="I35" s="104"/>
      <c r="J35" s="104"/>
      <c r="K35" s="104"/>
      <c r="L35" s="108"/>
      <c r="M35" s="108"/>
      <c r="N35" s="108"/>
      <c r="O35" s="108"/>
      <c r="P35" s="105">
        <f t="shared" si="0"/>
        <v>0</v>
      </c>
      <c r="Q35" s="536"/>
      <c r="R35" s="537"/>
      <c r="S35" s="537"/>
      <c r="T35" s="537"/>
      <c r="U35" s="537"/>
      <c r="V35" s="537"/>
      <c r="W35" s="537"/>
      <c r="X35" s="537"/>
      <c r="Y35" s="537"/>
      <c r="Z35" s="537"/>
      <c r="AA35" s="537"/>
      <c r="AB35" s="538"/>
      <c r="AC35" s="101"/>
    </row>
    <row r="36" spans="1:29" ht="28.5" customHeight="1">
      <c r="A36" s="539"/>
      <c r="B36" s="526"/>
      <c r="C36" s="106" t="s">
        <v>9</v>
      </c>
      <c r="D36" s="107"/>
      <c r="E36" s="107"/>
      <c r="F36" s="107"/>
      <c r="G36" s="107"/>
      <c r="H36" s="107"/>
      <c r="I36" s="107"/>
      <c r="J36" s="107"/>
      <c r="K36" s="107"/>
      <c r="L36" s="107"/>
      <c r="M36" s="107"/>
      <c r="N36" s="107"/>
      <c r="O36" s="107"/>
      <c r="P36" s="105">
        <f t="shared" si="0"/>
        <v>0</v>
      </c>
      <c r="Q36" s="528"/>
      <c r="R36" s="529"/>
      <c r="S36" s="529"/>
      <c r="T36" s="529"/>
      <c r="U36" s="529"/>
      <c r="V36" s="529"/>
      <c r="W36" s="529"/>
      <c r="X36" s="529"/>
      <c r="Y36" s="529"/>
      <c r="Z36" s="529"/>
      <c r="AA36" s="529"/>
      <c r="AB36" s="530"/>
      <c r="AC36" s="101"/>
    </row>
    <row r="37" spans="1:29" ht="28.5" customHeight="1">
      <c r="A37" s="540"/>
      <c r="B37" s="535"/>
      <c r="C37" s="103" t="s">
        <v>10</v>
      </c>
      <c r="D37" s="104"/>
      <c r="E37" s="104"/>
      <c r="F37" s="104"/>
      <c r="G37" s="109"/>
      <c r="H37" s="104"/>
      <c r="I37" s="104"/>
      <c r="J37" s="104"/>
      <c r="K37" s="104"/>
      <c r="L37" s="108"/>
      <c r="M37" s="108"/>
      <c r="N37" s="108"/>
      <c r="O37" s="108"/>
      <c r="P37" s="105">
        <f t="shared" si="0"/>
        <v>0</v>
      </c>
      <c r="Q37" s="536"/>
      <c r="R37" s="537"/>
      <c r="S37" s="537"/>
      <c r="T37" s="537"/>
      <c r="U37" s="537"/>
      <c r="V37" s="537"/>
      <c r="W37" s="537"/>
      <c r="X37" s="537"/>
      <c r="Y37" s="537"/>
      <c r="Z37" s="537"/>
      <c r="AA37" s="537"/>
      <c r="AB37" s="538"/>
      <c r="AC37" s="101"/>
    </row>
    <row r="38" spans="1:29" ht="28.5" customHeight="1">
      <c r="A38" s="524"/>
      <c r="B38" s="526"/>
      <c r="C38" s="106" t="s">
        <v>9</v>
      </c>
      <c r="D38" s="107"/>
      <c r="E38" s="107"/>
      <c r="F38" s="107"/>
      <c r="G38" s="107"/>
      <c r="H38" s="107"/>
      <c r="I38" s="107"/>
      <c r="J38" s="107"/>
      <c r="K38" s="107"/>
      <c r="L38" s="107"/>
      <c r="M38" s="107"/>
      <c r="N38" s="107"/>
      <c r="O38" s="107"/>
      <c r="P38" s="105">
        <f t="shared" si="0"/>
        <v>0</v>
      </c>
      <c r="Q38" s="528"/>
      <c r="R38" s="529"/>
      <c r="S38" s="529"/>
      <c r="T38" s="529"/>
      <c r="U38" s="529"/>
      <c r="V38" s="529"/>
      <c r="W38" s="529"/>
      <c r="X38" s="529"/>
      <c r="Y38" s="529"/>
      <c r="Z38" s="529"/>
      <c r="AA38" s="529"/>
      <c r="AB38" s="530"/>
      <c r="AC38" s="101"/>
    </row>
    <row r="39" spans="1:29" ht="28.5" customHeight="1" thickBot="1">
      <c r="A39" s="525"/>
      <c r="B39" s="527"/>
      <c r="C39" s="94" t="s">
        <v>10</v>
      </c>
      <c r="D39" s="110"/>
      <c r="E39" s="110"/>
      <c r="F39" s="110"/>
      <c r="G39" s="110"/>
      <c r="H39" s="110"/>
      <c r="I39" s="110"/>
      <c r="J39" s="110"/>
      <c r="K39" s="110"/>
      <c r="L39" s="111"/>
      <c r="M39" s="111"/>
      <c r="N39" s="111"/>
      <c r="O39" s="111"/>
      <c r="P39" s="112">
        <f t="shared" si="0"/>
        <v>0</v>
      </c>
      <c r="Q39" s="531"/>
      <c r="R39" s="532"/>
      <c r="S39" s="532"/>
      <c r="T39" s="532"/>
      <c r="U39" s="532"/>
      <c r="V39" s="532"/>
      <c r="W39" s="532"/>
      <c r="X39" s="532"/>
      <c r="Y39" s="532"/>
      <c r="Z39" s="532"/>
      <c r="AA39" s="532"/>
      <c r="AB39" s="533"/>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Y27"/>
  <sheetViews>
    <sheetView zoomScale="70" zoomScaleNormal="70" zoomScalePageLayoutView="0" workbookViewId="0" topLeftCell="A1">
      <selection activeCell="AV13" sqref="AV13:AY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7.421875" style="113" customWidth="1"/>
    <col min="46" max="46" width="17.140625" style="113" customWidth="1"/>
    <col min="47" max="47" width="15.8515625" style="217" customWidth="1"/>
    <col min="48" max="48" width="52.140625" style="113" customWidth="1"/>
    <col min="49" max="49" width="60.28125" style="113" customWidth="1"/>
    <col min="50" max="51" width="52.14062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787</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1132"/>
      <c r="AJ6" s="1132"/>
      <c r="AK6" s="1132"/>
      <c r="AL6" s="1132"/>
      <c r="AM6" s="1132"/>
      <c r="AN6" s="1132"/>
      <c r="AO6" s="1132"/>
      <c r="AP6" s="1132"/>
      <c r="AQ6" s="1132"/>
      <c r="AR6" s="1132"/>
      <c r="AS6" s="1132"/>
      <c r="AT6" s="1132"/>
      <c r="AU6" s="793"/>
      <c r="AV6" s="786"/>
      <c r="AW6" s="786"/>
      <c r="AX6" s="786"/>
      <c r="AY6" s="786"/>
    </row>
    <row r="7" spans="1:51" ht="15" customHeight="1">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31"/>
      <c r="Y7" s="231"/>
      <c r="Z7" s="231"/>
      <c r="AA7" s="231"/>
      <c r="AB7" s="231"/>
      <c r="AC7" s="231"/>
      <c r="AD7" s="231"/>
      <c r="AE7" s="231"/>
      <c r="AF7" s="231"/>
      <c r="AG7" s="117"/>
      <c r="AH7" s="791"/>
      <c r="AI7" s="1132"/>
      <c r="AJ7" s="1132"/>
      <c r="AK7" s="1132"/>
      <c r="AL7" s="1132"/>
      <c r="AM7" s="1132"/>
      <c r="AN7" s="1132"/>
      <c r="AO7" s="1132"/>
      <c r="AP7" s="1132"/>
      <c r="AQ7" s="1132"/>
      <c r="AR7" s="1132"/>
      <c r="AS7" s="1132"/>
      <c r="AT7" s="113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1132"/>
      <c r="AJ8" s="1132"/>
      <c r="AK8" s="1132"/>
      <c r="AL8" s="1132"/>
      <c r="AM8" s="1132"/>
      <c r="AN8" s="1132"/>
      <c r="AO8" s="1132"/>
      <c r="AP8" s="1132"/>
      <c r="AQ8" s="1132"/>
      <c r="AR8" s="1132"/>
      <c r="AS8" s="1132"/>
      <c r="AT8" s="113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1132"/>
      <c r="AJ9" s="1132"/>
      <c r="AK9" s="1132"/>
      <c r="AL9" s="1132"/>
      <c r="AM9" s="1132"/>
      <c r="AN9" s="1132"/>
      <c r="AO9" s="1132"/>
      <c r="AP9" s="1132"/>
      <c r="AQ9" s="1132"/>
      <c r="AR9" s="1132"/>
      <c r="AS9" s="1132"/>
      <c r="AT9" s="113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393">
        <v>2023</v>
      </c>
      <c r="S12" s="120">
        <v>2024</v>
      </c>
      <c r="T12" s="779"/>
      <c r="U12" s="779"/>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9"/>
      <c r="AW12" s="779"/>
      <c r="AX12" s="779"/>
      <c r="AY12" s="779"/>
    </row>
    <row r="13" spans="1:51" ht="152.25" customHeight="1">
      <c r="A13" s="121"/>
      <c r="B13" s="121"/>
      <c r="C13" s="121"/>
      <c r="D13" s="121"/>
      <c r="E13" s="121" t="s">
        <v>425</v>
      </c>
      <c r="F13" s="121"/>
      <c r="G13" s="122" t="s">
        <v>719</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485">
        <v>1</v>
      </c>
      <c r="AI13" s="468">
        <v>0</v>
      </c>
      <c r="AJ13" s="468"/>
      <c r="AK13" s="468">
        <v>0</v>
      </c>
      <c r="AL13" s="468"/>
      <c r="AM13" s="468"/>
      <c r="AN13" s="468"/>
      <c r="AO13" s="468"/>
      <c r="AP13" s="468"/>
      <c r="AQ13" s="468"/>
      <c r="AR13" s="468"/>
      <c r="AS13" s="468"/>
      <c r="AT13" s="516">
        <f>SUM(AH13:AS13)</f>
        <v>1</v>
      </c>
      <c r="AU13" s="379">
        <f>+AT13/R13</f>
        <v>0.16666666666666666</v>
      </c>
      <c r="AV13" s="494"/>
      <c r="AW13" s="466"/>
      <c r="AX13" s="363"/>
      <c r="AY13" s="363"/>
    </row>
    <row r="14" spans="1:51" s="324" customFormat="1" ht="69.75" customHeight="1">
      <c r="A14" s="397"/>
      <c r="B14" s="317"/>
      <c r="C14" s="317"/>
      <c r="D14" s="317"/>
      <c r="E14" s="121" t="s">
        <v>425</v>
      </c>
      <c r="F14" s="317"/>
      <c r="G14" s="122" t="s">
        <v>719</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22"/>
      <c r="AI14" s="323"/>
      <c r="AJ14" s="323"/>
      <c r="AK14" s="323"/>
      <c r="AL14" s="323"/>
      <c r="AM14" s="323"/>
      <c r="AN14" s="323"/>
      <c r="AO14" s="323"/>
      <c r="AP14" s="323"/>
      <c r="AQ14" s="323"/>
      <c r="AR14" s="323"/>
      <c r="AS14" s="323"/>
      <c r="AT14" s="124">
        <f>SUM(AH14:AS14)</f>
        <v>0</v>
      </c>
      <c r="AU14" s="379">
        <f>+AT14/R14</f>
        <v>0</v>
      </c>
      <c r="AV14" s="494"/>
      <c r="AW14" s="494"/>
      <c r="AX14" s="363"/>
      <c r="AY14" s="363"/>
    </row>
    <row r="15" spans="1:51" s="326" customFormat="1" ht="250.5" customHeight="1">
      <c r="A15" s="398"/>
      <c r="B15" s="325"/>
      <c r="C15" s="325"/>
      <c r="D15" s="325"/>
      <c r="E15" s="121" t="s">
        <v>425</v>
      </c>
      <c r="F15" s="325"/>
      <c r="G15" s="122" t="s">
        <v>719</v>
      </c>
      <c r="H15" s="325"/>
      <c r="I15" s="318" t="s">
        <v>766</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52">
        <v>1.16</v>
      </c>
      <c r="AJ15" s="452">
        <v>1</v>
      </c>
      <c r="AK15" s="452">
        <v>1</v>
      </c>
      <c r="AL15" s="452">
        <v>1</v>
      </c>
      <c r="AM15" s="452">
        <v>1</v>
      </c>
      <c r="AN15" s="319"/>
      <c r="AO15" s="319"/>
      <c r="AP15" s="319"/>
      <c r="AQ15" s="319"/>
      <c r="AR15" s="319"/>
      <c r="AS15" s="319"/>
      <c r="AT15" s="127">
        <f>AVERAGE(AH15:AS15)</f>
        <v>1.0007333333333335</v>
      </c>
      <c r="AU15" s="379">
        <f>+(SUM(AH15:AS15)/+SUM(V15:AG15))</f>
        <v>0.5003666666666667</v>
      </c>
      <c r="AV15" s="517"/>
      <c r="AW15" s="517"/>
      <c r="AX15" s="519"/>
      <c r="AY15" s="363"/>
    </row>
    <row r="16" spans="1:51" s="326" customFormat="1" ht="179.25" customHeight="1">
      <c r="A16" s="398"/>
      <c r="B16" s="325"/>
      <c r="C16" s="325"/>
      <c r="D16" s="325"/>
      <c r="E16" s="121" t="s">
        <v>425</v>
      </c>
      <c r="F16" s="325"/>
      <c r="G16" s="122" t="s">
        <v>719</v>
      </c>
      <c r="H16" s="325"/>
      <c r="I16" s="318" t="s">
        <v>767</v>
      </c>
      <c r="J16" s="318" t="s">
        <v>768</v>
      </c>
      <c r="K16" s="319" t="s">
        <v>453</v>
      </c>
      <c r="L16" s="320" t="s">
        <v>450</v>
      </c>
      <c r="M16" s="321" t="s">
        <v>431</v>
      </c>
      <c r="N16" s="318" t="s">
        <v>769</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82">
        <v>0.4651</v>
      </c>
      <c r="AI16" s="452">
        <v>0.79</v>
      </c>
      <c r="AJ16" s="452">
        <v>0.92</v>
      </c>
      <c r="AK16" s="452">
        <v>0.91</v>
      </c>
      <c r="AL16" s="452">
        <v>0.92</v>
      </c>
      <c r="AM16" s="382">
        <v>0.89</v>
      </c>
      <c r="AN16" s="319"/>
      <c r="AO16" s="319"/>
      <c r="AP16" s="319"/>
      <c r="AQ16" s="319"/>
      <c r="AR16" s="319"/>
      <c r="AS16" s="319"/>
      <c r="AT16" s="127">
        <f>AVERAGE(AH16:AS16)</f>
        <v>0.8158500000000001</v>
      </c>
      <c r="AU16" s="379">
        <f>+(SUM(AH16:AS16)/+SUM(V16:AG16))</f>
        <v>0.58275</v>
      </c>
      <c r="AV16" s="518"/>
      <c r="AW16" s="517"/>
      <c r="AX16" s="519"/>
      <c r="AY16" s="363"/>
    </row>
    <row r="17" spans="1:51" s="326" customFormat="1" ht="69.75" customHeight="1">
      <c r="A17" s="325"/>
      <c r="B17" s="325"/>
      <c r="C17" s="325"/>
      <c r="D17" s="325"/>
      <c r="E17" s="121" t="s">
        <v>425</v>
      </c>
      <c r="F17" s="325"/>
      <c r="G17" s="122" t="s">
        <v>719</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23"/>
      <c r="AI17" s="319"/>
      <c r="AJ17" s="319"/>
      <c r="AK17" s="319"/>
      <c r="AL17" s="319"/>
      <c r="AM17" s="319"/>
      <c r="AN17" s="319"/>
      <c r="AO17" s="319"/>
      <c r="AP17" s="319"/>
      <c r="AQ17" s="319"/>
      <c r="AR17" s="319"/>
      <c r="AS17" s="319"/>
      <c r="AT17" s="124">
        <f>SUM(AH17:AS17)</f>
        <v>0</v>
      </c>
      <c r="AU17" s="379">
        <f>+AT17/R17</f>
        <v>0</v>
      </c>
      <c r="AV17" s="494"/>
      <c r="AW17" s="451"/>
      <c r="AX17" s="363"/>
      <c r="AY17" s="363"/>
    </row>
    <row r="18" spans="1:51" ht="54" customHeight="1">
      <c r="A18" s="781" t="s">
        <v>64</v>
      </c>
      <c r="B18" s="781"/>
      <c r="C18" s="781"/>
      <c r="D18" s="777" t="s">
        <v>66</v>
      </c>
      <c r="E18" s="777"/>
      <c r="F18" s="777"/>
      <c r="G18" s="777"/>
      <c r="H18" s="777"/>
      <c r="I18" s="777"/>
      <c r="J18" s="782" t="s">
        <v>300</v>
      </c>
      <c r="K18" s="782"/>
      <c r="L18" s="782"/>
      <c r="M18" s="782"/>
      <c r="N18" s="782"/>
      <c r="O18" s="782"/>
      <c r="P18" s="777" t="s">
        <v>66</v>
      </c>
      <c r="Q18" s="777"/>
      <c r="R18" s="777"/>
      <c r="S18" s="777"/>
      <c r="T18" s="777"/>
      <c r="U18" s="777"/>
      <c r="V18" s="777" t="s">
        <v>66</v>
      </c>
      <c r="W18" s="777"/>
      <c r="X18" s="777"/>
      <c r="Y18" s="777"/>
      <c r="Z18" s="777"/>
      <c r="AA18" s="777"/>
      <c r="AB18" s="777"/>
      <c r="AC18" s="777"/>
      <c r="AD18" s="777" t="s">
        <v>66</v>
      </c>
      <c r="AE18" s="777"/>
      <c r="AF18" s="777"/>
      <c r="AG18" s="777"/>
      <c r="AH18" s="777"/>
      <c r="AI18" s="777"/>
      <c r="AJ18" s="777"/>
      <c r="AK18" s="777"/>
      <c r="AL18" s="777"/>
      <c r="AM18" s="777"/>
      <c r="AN18" s="777"/>
      <c r="AO18" s="777"/>
      <c r="AP18" s="782" t="s">
        <v>318</v>
      </c>
      <c r="AQ18" s="782"/>
      <c r="AR18" s="782"/>
      <c r="AS18" s="782"/>
      <c r="AT18" s="777" t="s">
        <v>13</v>
      </c>
      <c r="AU18" s="777"/>
      <c r="AV18" s="777"/>
      <c r="AW18" s="777"/>
      <c r="AX18" s="777"/>
      <c r="AY18" s="777"/>
    </row>
    <row r="19" spans="1:51" ht="30" customHeight="1">
      <c r="A19" s="781"/>
      <c r="B19" s="781"/>
      <c r="C19" s="781"/>
      <c r="D19" s="777" t="s">
        <v>815</v>
      </c>
      <c r="E19" s="777"/>
      <c r="F19" s="777"/>
      <c r="G19" s="777"/>
      <c r="H19" s="777"/>
      <c r="I19" s="777"/>
      <c r="J19" s="782"/>
      <c r="K19" s="782"/>
      <c r="L19" s="782"/>
      <c r="M19" s="782"/>
      <c r="N19" s="782"/>
      <c r="O19" s="782"/>
      <c r="P19" s="777" t="s">
        <v>848</v>
      </c>
      <c r="Q19" s="777"/>
      <c r="R19" s="777"/>
      <c r="S19" s="777"/>
      <c r="T19" s="777"/>
      <c r="U19" s="777"/>
      <c r="V19" s="777" t="s">
        <v>65</v>
      </c>
      <c r="W19" s="777"/>
      <c r="X19" s="777"/>
      <c r="Y19" s="777"/>
      <c r="Z19" s="777"/>
      <c r="AA19" s="777"/>
      <c r="AB19" s="777"/>
      <c r="AC19" s="777"/>
      <c r="AD19" s="777" t="s">
        <v>65</v>
      </c>
      <c r="AE19" s="777"/>
      <c r="AF19" s="777"/>
      <c r="AG19" s="777"/>
      <c r="AH19" s="777"/>
      <c r="AI19" s="777"/>
      <c r="AJ19" s="777"/>
      <c r="AK19" s="777"/>
      <c r="AL19" s="777"/>
      <c r="AM19" s="777"/>
      <c r="AN19" s="777"/>
      <c r="AO19" s="777"/>
      <c r="AP19" s="782"/>
      <c r="AQ19" s="782"/>
      <c r="AR19" s="782"/>
      <c r="AS19" s="782"/>
      <c r="AT19" s="777" t="s">
        <v>771</v>
      </c>
      <c r="AU19" s="777"/>
      <c r="AV19" s="777"/>
      <c r="AW19" s="777"/>
      <c r="AX19" s="777"/>
      <c r="AY19" s="777"/>
    </row>
    <row r="20" spans="1:51" ht="30" customHeight="1">
      <c r="A20" s="781"/>
      <c r="B20" s="781"/>
      <c r="C20" s="781"/>
      <c r="D20" s="777" t="s">
        <v>816</v>
      </c>
      <c r="E20" s="777"/>
      <c r="F20" s="777"/>
      <c r="G20" s="777"/>
      <c r="H20" s="777"/>
      <c r="I20" s="777"/>
      <c r="J20" s="782"/>
      <c r="K20" s="782"/>
      <c r="L20" s="782"/>
      <c r="M20" s="782"/>
      <c r="N20" s="782"/>
      <c r="O20" s="782"/>
      <c r="P20" s="777" t="s">
        <v>817</v>
      </c>
      <c r="Q20" s="777"/>
      <c r="R20" s="777"/>
      <c r="S20" s="777"/>
      <c r="T20" s="777"/>
      <c r="U20" s="777"/>
      <c r="V20" s="777" t="s">
        <v>297</v>
      </c>
      <c r="W20" s="777"/>
      <c r="X20" s="777"/>
      <c r="Y20" s="777"/>
      <c r="Z20" s="777"/>
      <c r="AA20" s="777"/>
      <c r="AB20" s="777"/>
      <c r="AC20" s="777"/>
      <c r="AD20" s="777" t="s">
        <v>297</v>
      </c>
      <c r="AE20" s="777"/>
      <c r="AF20" s="777"/>
      <c r="AG20" s="777"/>
      <c r="AH20" s="777"/>
      <c r="AI20" s="777"/>
      <c r="AJ20" s="777"/>
      <c r="AK20" s="777"/>
      <c r="AL20" s="777"/>
      <c r="AM20" s="777"/>
      <c r="AN20" s="777"/>
      <c r="AO20" s="777"/>
      <c r="AP20" s="782"/>
      <c r="AQ20" s="782"/>
      <c r="AR20" s="782"/>
      <c r="AS20" s="782"/>
      <c r="AT20" s="777" t="s">
        <v>75</v>
      </c>
      <c r="AU20" s="777"/>
      <c r="AV20" s="777"/>
      <c r="AW20" s="777"/>
      <c r="AX20" s="777"/>
      <c r="AY20" s="777"/>
    </row>
    <row r="27" ht="15">
      <c r="S27"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6"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Y18"/>
  <sheetViews>
    <sheetView zoomScale="70" zoomScaleNormal="70" zoomScalePageLayoutView="0" workbookViewId="0" topLeftCell="A1">
      <selection activeCell="AV13" sqref="AV13:AY15"/>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6.7109375" style="113" customWidth="1"/>
    <col min="46" max="46" width="17.140625" style="113" customWidth="1"/>
    <col min="47" max="47" width="15.8515625" style="217" customWidth="1"/>
    <col min="48" max="49" width="48.8515625" style="113" customWidth="1"/>
    <col min="50" max="51" width="33.851562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788</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1132"/>
      <c r="AJ6" s="1132"/>
      <c r="AK6" s="1132"/>
      <c r="AL6" s="1132"/>
      <c r="AM6" s="1132"/>
      <c r="AN6" s="1132"/>
      <c r="AO6" s="1132"/>
      <c r="AP6" s="1132"/>
      <c r="AQ6" s="1132"/>
      <c r="AR6" s="1132"/>
      <c r="AS6" s="1132"/>
      <c r="AT6" s="1132"/>
      <c r="AU6" s="793"/>
      <c r="AV6" s="786"/>
      <c r="AW6" s="786"/>
      <c r="AX6" s="786"/>
      <c r="AY6" s="786"/>
    </row>
    <row r="7" spans="1:51" ht="15" customHeight="1">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31"/>
      <c r="Y7" s="231"/>
      <c r="Z7" s="231"/>
      <c r="AA7" s="231"/>
      <c r="AB7" s="231"/>
      <c r="AC7" s="231"/>
      <c r="AD7" s="231"/>
      <c r="AE7" s="231"/>
      <c r="AF7" s="231"/>
      <c r="AG7" s="117"/>
      <c r="AH7" s="791"/>
      <c r="AI7" s="1132"/>
      <c r="AJ7" s="1132"/>
      <c r="AK7" s="1132"/>
      <c r="AL7" s="1132"/>
      <c r="AM7" s="1132"/>
      <c r="AN7" s="1132"/>
      <c r="AO7" s="1132"/>
      <c r="AP7" s="1132"/>
      <c r="AQ7" s="1132"/>
      <c r="AR7" s="1132"/>
      <c r="AS7" s="1132"/>
      <c r="AT7" s="113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1132"/>
      <c r="AJ8" s="1132"/>
      <c r="AK8" s="1132"/>
      <c r="AL8" s="1132"/>
      <c r="AM8" s="1132"/>
      <c r="AN8" s="1132"/>
      <c r="AO8" s="1132"/>
      <c r="AP8" s="1132"/>
      <c r="AQ8" s="1132"/>
      <c r="AR8" s="1132"/>
      <c r="AS8" s="1132"/>
      <c r="AT8" s="113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1132"/>
      <c r="AJ9" s="1132"/>
      <c r="AK9" s="1132"/>
      <c r="AL9" s="1132"/>
      <c r="AM9" s="1132"/>
      <c r="AN9" s="1132"/>
      <c r="AO9" s="1132"/>
      <c r="AP9" s="1132"/>
      <c r="AQ9" s="1132"/>
      <c r="AR9" s="1132"/>
      <c r="AS9" s="1132"/>
      <c r="AT9" s="113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120">
        <v>2023</v>
      </c>
      <c r="S12" s="120">
        <v>2024</v>
      </c>
      <c r="T12" s="779"/>
      <c r="U12" s="779"/>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9"/>
      <c r="AW12" s="779"/>
      <c r="AX12" s="779"/>
      <c r="AY12" s="779"/>
    </row>
    <row r="13" spans="1:51" ht="102.7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v>44</v>
      </c>
      <c r="AN13" s="124"/>
      <c r="AO13" s="124"/>
      <c r="AP13" s="124"/>
      <c r="AQ13" s="124"/>
      <c r="AR13" s="124"/>
      <c r="AS13" s="124"/>
      <c r="AT13" s="124">
        <f>SUM(AH13:AS13)</f>
        <v>44</v>
      </c>
      <c r="AU13" s="127">
        <f>+AT13/R13</f>
        <v>0.88</v>
      </c>
      <c r="AV13" s="412"/>
      <c r="AW13" s="412"/>
      <c r="AX13" s="417"/>
      <c r="AY13" s="417"/>
    </row>
    <row r="14" spans="1:51" ht="186.7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468">
        <v>2</v>
      </c>
      <c r="AJ14" s="468">
        <v>2</v>
      </c>
      <c r="AK14" s="468">
        <v>2</v>
      </c>
      <c r="AL14" s="468">
        <v>2</v>
      </c>
      <c r="AM14" s="124">
        <v>2</v>
      </c>
      <c r="AN14" s="124"/>
      <c r="AO14" s="124"/>
      <c r="AP14" s="124"/>
      <c r="AQ14" s="124"/>
      <c r="AR14" s="124"/>
      <c r="AS14" s="124"/>
      <c r="AT14" s="124">
        <f>SUM(AH14:AS14)</f>
        <v>10</v>
      </c>
      <c r="AU14" s="127">
        <f>+AT14/R14</f>
        <v>0.5</v>
      </c>
      <c r="AV14" s="412"/>
      <c r="AW14" s="412"/>
      <c r="AX14" s="417"/>
      <c r="AY14" s="417"/>
    </row>
    <row r="15" spans="1:51" ht="184.5"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770</v>
      </c>
      <c r="U15" s="121" t="s">
        <v>465</v>
      </c>
      <c r="V15" s="124"/>
      <c r="W15" s="124"/>
      <c r="X15" s="124"/>
      <c r="Y15" s="124"/>
      <c r="Z15" s="124"/>
      <c r="AA15" s="121">
        <v>1</v>
      </c>
      <c r="AB15" s="121"/>
      <c r="AC15" s="121"/>
      <c r="AD15" s="121"/>
      <c r="AE15" s="121"/>
      <c r="AF15" s="121">
        <v>1</v>
      </c>
      <c r="AG15" s="124"/>
      <c r="AH15" s="124"/>
      <c r="AI15" s="124"/>
      <c r="AJ15" s="124"/>
      <c r="AK15" s="124"/>
      <c r="AL15" s="124"/>
      <c r="AM15" s="124">
        <v>0</v>
      </c>
      <c r="AN15" s="124"/>
      <c r="AO15" s="124"/>
      <c r="AP15" s="124"/>
      <c r="AQ15" s="124"/>
      <c r="AR15" s="124"/>
      <c r="AS15" s="124"/>
      <c r="AT15" s="124">
        <f>SUM(AH15:AS15)</f>
        <v>0</v>
      </c>
      <c r="AU15" s="127">
        <f>+AT15/R15</f>
        <v>0</v>
      </c>
      <c r="AV15" s="412"/>
      <c r="AW15" s="412"/>
      <c r="AX15" s="474"/>
      <c r="AY15" s="474"/>
    </row>
    <row r="16" spans="1:51" ht="54" customHeight="1">
      <c r="A16" s="781" t="s">
        <v>64</v>
      </c>
      <c r="B16" s="781"/>
      <c r="C16" s="781"/>
      <c r="D16" s="777" t="s">
        <v>66</v>
      </c>
      <c r="E16" s="777"/>
      <c r="F16" s="777"/>
      <c r="G16" s="777"/>
      <c r="H16" s="777"/>
      <c r="I16" s="777"/>
      <c r="J16" s="782" t="s">
        <v>300</v>
      </c>
      <c r="K16" s="782"/>
      <c r="L16" s="782"/>
      <c r="M16" s="782"/>
      <c r="N16" s="782"/>
      <c r="O16" s="782"/>
      <c r="P16" s="777" t="s">
        <v>66</v>
      </c>
      <c r="Q16" s="777"/>
      <c r="R16" s="777"/>
      <c r="S16" s="777"/>
      <c r="T16" s="777"/>
      <c r="U16" s="777"/>
      <c r="V16" s="777" t="s">
        <v>66</v>
      </c>
      <c r="W16" s="777"/>
      <c r="X16" s="777"/>
      <c r="Y16" s="777"/>
      <c r="Z16" s="777"/>
      <c r="AA16" s="777"/>
      <c r="AB16" s="777"/>
      <c r="AC16" s="777"/>
      <c r="AD16" s="777" t="s">
        <v>66</v>
      </c>
      <c r="AE16" s="777"/>
      <c r="AF16" s="777"/>
      <c r="AG16" s="777"/>
      <c r="AH16" s="777"/>
      <c r="AI16" s="777"/>
      <c r="AJ16" s="777"/>
      <c r="AK16" s="777"/>
      <c r="AL16" s="777"/>
      <c r="AM16" s="777"/>
      <c r="AN16" s="777"/>
      <c r="AO16" s="777"/>
      <c r="AP16" s="782" t="s">
        <v>318</v>
      </c>
      <c r="AQ16" s="782"/>
      <c r="AR16" s="782"/>
      <c r="AS16" s="782"/>
      <c r="AT16" s="777" t="s">
        <v>13</v>
      </c>
      <c r="AU16" s="777"/>
      <c r="AV16" s="777"/>
      <c r="AW16" s="777"/>
      <c r="AX16" s="777"/>
      <c r="AY16" s="777"/>
    </row>
    <row r="17" spans="1:51" ht="30" customHeight="1">
      <c r="A17" s="781"/>
      <c r="B17" s="781"/>
      <c r="C17" s="781"/>
      <c r="D17" s="777" t="s">
        <v>801</v>
      </c>
      <c r="E17" s="777"/>
      <c r="F17" s="777"/>
      <c r="G17" s="777"/>
      <c r="H17" s="777"/>
      <c r="I17" s="777"/>
      <c r="J17" s="782"/>
      <c r="K17" s="782"/>
      <c r="L17" s="782"/>
      <c r="M17" s="782"/>
      <c r="N17" s="782"/>
      <c r="O17" s="782"/>
      <c r="P17" s="777" t="s">
        <v>801</v>
      </c>
      <c r="Q17" s="777"/>
      <c r="R17" s="777"/>
      <c r="S17" s="777"/>
      <c r="T17" s="777"/>
      <c r="U17" s="777"/>
      <c r="V17" s="777" t="s">
        <v>65</v>
      </c>
      <c r="W17" s="777"/>
      <c r="X17" s="777"/>
      <c r="Y17" s="777"/>
      <c r="Z17" s="777"/>
      <c r="AA17" s="777"/>
      <c r="AB17" s="777"/>
      <c r="AC17" s="777"/>
      <c r="AD17" s="777" t="s">
        <v>65</v>
      </c>
      <c r="AE17" s="777"/>
      <c r="AF17" s="777"/>
      <c r="AG17" s="777"/>
      <c r="AH17" s="777"/>
      <c r="AI17" s="777"/>
      <c r="AJ17" s="777"/>
      <c r="AK17" s="777"/>
      <c r="AL17" s="777"/>
      <c r="AM17" s="777"/>
      <c r="AN17" s="777"/>
      <c r="AO17" s="777"/>
      <c r="AP17" s="782"/>
      <c r="AQ17" s="782"/>
      <c r="AR17" s="782"/>
      <c r="AS17" s="782"/>
      <c r="AT17" s="777" t="s">
        <v>771</v>
      </c>
      <c r="AU17" s="777"/>
      <c r="AV17" s="777"/>
      <c r="AW17" s="777"/>
      <c r="AX17" s="777"/>
      <c r="AY17" s="777"/>
    </row>
    <row r="18" spans="1:51" ht="30" customHeight="1">
      <c r="A18" s="781"/>
      <c r="B18" s="781"/>
      <c r="C18" s="781"/>
      <c r="D18" s="777" t="s">
        <v>802</v>
      </c>
      <c r="E18" s="777"/>
      <c r="F18" s="777"/>
      <c r="G18" s="777"/>
      <c r="H18" s="777"/>
      <c r="I18" s="777"/>
      <c r="J18" s="782"/>
      <c r="K18" s="782"/>
      <c r="L18" s="782"/>
      <c r="M18" s="782"/>
      <c r="N18" s="782"/>
      <c r="O18" s="782"/>
      <c r="P18" s="777" t="s">
        <v>802</v>
      </c>
      <c r="Q18" s="777"/>
      <c r="R18" s="777"/>
      <c r="S18" s="777"/>
      <c r="T18" s="777"/>
      <c r="U18" s="777"/>
      <c r="V18" s="777" t="s">
        <v>297</v>
      </c>
      <c r="W18" s="777"/>
      <c r="X18" s="777"/>
      <c r="Y18" s="777"/>
      <c r="Z18" s="777"/>
      <c r="AA18" s="777"/>
      <c r="AB18" s="777"/>
      <c r="AC18" s="777"/>
      <c r="AD18" s="777" t="s">
        <v>297</v>
      </c>
      <c r="AE18" s="777"/>
      <c r="AF18" s="777"/>
      <c r="AG18" s="777"/>
      <c r="AH18" s="777"/>
      <c r="AI18" s="777"/>
      <c r="AJ18" s="777"/>
      <c r="AK18" s="777"/>
      <c r="AL18" s="777"/>
      <c r="AM18" s="777"/>
      <c r="AN18" s="777"/>
      <c r="AO18" s="777"/>
      <c r="AP18" s="782"/>
      <c r="AQ18" s="782"/>
      <c r="AR18" s="782"/>
      <c r="AS18" s="782"/>
      <c r="AT18" s="777" t="s">
        <v>75</v>
      </c>
      <c r="AU18" s="777"/>
      <c r="AV18" s="777"/>
      <c r="AW18" s="777"/>
      <c r="AX18" s="777"/>
      <c r="AY18" s="777"/>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AY23"/>
  <sheetViews>
    <sheetView zoomScale="57" zoomScaleNormal="57" zoomScalePageLayoutView="0" workbookViewId="0" topLeftCell="AA1">
      <selection activeCell="AV13" sqref="AV13:AY20"/>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9" width="43.28125" style="0" customWidth="1"/>
    <col min="50" max="51" width="27.00390625" style="0" customWidth="1"/>
  </cols>
  <sheetData>
    <row r="1" spans="1:51" ht="15">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789</v>
      </c>
      <c r="AY4" s="759"/>
    </row>
    <row r="5" spans="1:51" ht="15">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1132"/>
      <c r="AJ6" s="1132"/>
      <c r="AK6" s="1132"/>
      <c r="AL6" s="1132"/>
      <c r="AM6" s="1132"/>
      <c r="AN6" s="1132"/>
      <c r="AO6" s="1132"/>
      <c r="AP6" s="1132"/>
      <c r="AQ6" s="1132"/>
      <c r="AR6" s="1132"/>
      <c r="AS6" s="1132"/>
      <c r="AT6" s="1132"/>
      <c r="AU6" s="793"/>
      <c r="AV6" s="786"/>
      <c r="AW6" s="786"/>
      <c r="AX6" s="786"/>
      <c r="AY6" s="786"/>
    </row>
    <row r="7" spans="1:51" ht="15">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31"/>
      <c r="Y7" s="231"/>
      <c r="Z7" s="231"/>
      <c r="AA7" s="231"/>
      <c r="AB7" s="231"/>
      <c r="AC7" s="231"/>
      <c r="AD7" s="231"/>
      <c r="AE7" s="231"/>
      <c r="AF7" s="231"/>
      <c r="AG7" s="117"/>
      <c r="AH7" s="791"/>
      <c r="AI7" s="1132"/>
      <c r="AJ7" s="1132"/>
      <c r="AK7" s="1132"/>
      <c r="AL7" s="1132"/>
      <c r="AM7" s="1132"/>
      <c r="AN7" s="1132"/>
      <c r="AO7" s="1132"/>
      <c r="AP7" s="1132"/>
      <c r="AQ7" s="1132"/>
      <c r="AR7" s="1132"/>
      <c r="AS7" s="1132"/>
      <c r="AT7" s="1132"/>
      <c r="AU7" s="793"/>
      <c r="AV7" s="786"/>
      <c r="AW7" s="786"/>
      <c r="AX7" s="786"/>
      <c r="AY7" s="786"/>
    </row>
    <row r="8" spans="1:51" ht="15">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1132"/>
      <c r="AJ8" s="1132"/>
      <c r="AK8" s="1132"/>
      <c r="AL8" s="1132"/>
      <c r="AM8" s="1132"/>
      <c r="AN8" s="1132"/>
      <c r="AO8" s="1132"/>
      <c r="AP8" s="1132"/>
      <c r="AQ8" s="1132"/>
      <c r="AR8" s="1132"/>
      <c r="AS8" s="1132"/>
      <c r="AT8" s="1132"/>
      <c r="AU8" s="793"/>
      <c r="AV8" s="786"/>
      <c r="AW8" s="786"/>
      <c r="AX8" s="786"/>
      <c r="AY8" s="786"/>
    </row>
    <row r="9" spans="1:51" ht="15">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1132"/>
      <c r="AJ9" s="1132"/>
      <c r="AK9" s="1132"/>
      <c r="AL9" s="1132"/>
      <c r="AM9" s="1132"/>
      <c r="AN9" s="1132"/>
      <c r="AO9" s="1132"/>
      <c r="AP9" s="1132"/>
      <c r="AQ9" s="1132"/>
      <c r="AR9" s="1132"/>
      <c r="AS9" s="1132"/>
      <c r="AT9" s="1132"/>
      <c r="AU9" s="793"/>
      <c r="AV9" s="786"/>
      <c r="AW9" s="786"/>
      <c r="AX9" s="786"/>
      <c r="AY9" s="786"/>
    </row>
    <row r="10" spans="1:51" ht="15">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15">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57">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120">
        <v>2023</v>
      </c>
      <c r="S12" s="120">
        <v>2024</v>
      </c>
      <c r="T12" s="779"/>
      <c r="U12" s="779"/>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9"/>
      <c r="AW12" s="779"/>
      <c r="AX12" s="779"/>
      <c r="AY12" s="779"/>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67">
        <v>0.65</v>
      </c>
      <c r="AK13" s="124"/>
      <c r="AL13" s="124"/>
      <c r="AM13" s="489">
        <v>0.09</v>
      </c>
      <c r="AN13" s="124"/>
      <c r="AO13" s="124"/>
      <c r="AP13" s="236"/>
      <c r="AQ13" s="124"/>
      <c r="AR13" s="124"/>
      <c r="AS13" s="236"/>
      <c r="AT13" s="127">
        <f>SUM(AH13:AS13)</f>
        <v>0.74</v>
      </c>
      <c r="AU13" s="127">
        <f>+AT13/R13</f>
        <v>0.74</v>
      </c>
      <c r="AV13" s="480"/>
      <c r="AW13" s="480"/>
      <c r="AX13" s="417"/>
      <c r="AY13" s="417"/>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67">
        <v>0.65</v>
      </c>
      <c r="AK14" s="124"/>
      <c r="AL14" s="124"/>
      <c r="AM14" s="489">
        <v>0.09</v>
      </c>
      <c r="AN14" s="124"/>
      <c r="AO14" s="124"/>
      <c r="AP14" s="236"/>
      <c r="AQ14" s="124"/>
      <c r="AR14" s="124"/>
      <c r="AS14" s="236"/>
      <c r="AT14" s="127">
        <f aca="true" t="shared" si="0" ref="AT14:AT20">SUM(AH14:AS14)</f>
        <v>0.74</v>
      </c>
      <c r="AU14" s="127">
        <f aca="true" t="shared" si="1" ref="AU14:AU20">+AT14/R14</f>
        <v>0.74</v>
      </c>
      <c r="AV14" s="480"/>
      <c r="AW14" s="480"/>
      <c r="AX14" s="417"/>
      <c r="AY14" s="417"/>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67">
        <v>0.63</v>
      </c>
      <c r="AK15" s="124"/>
      <c r="AL15" s="124"/>
      <c r="AM15" s="476"/>
      <c r="AN15" s="124"/>
      <c r="AO15" s="124"/>
      <c r="AP15" s="236"/>
      <c r="AQ15" s="124"/>
      <c r="AR15" s="124"/>
      <c r="AS15" s="236"/>
      <c r="AT15" s="127">
        <f t="shared" si="0"/>
        <v>0.63</v>
      </c>
      <c r="AU15" s="127">
        <f t="shared" si="1"/>
        <v>0.63</v>
      </c>
      <c r="AV15" s="480"/>
      <c r="AW15" s="480"/>
      <c r="AX15" s="417"/>
      <c r="AY15" s="417"/>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67">
        <v>0.25</v>
      </c>
      <c r="AK16" s="124"/>
      <c r="AL16" s="124"/>
      <c r="AM16" s="488">
        <v>0.25</v>
      </c>
      <c r="AN16" s="124"/>
      <c r="AO16" s="124"/>
      <c r="AP16" s="236"/>
      <c r="AQ16" s="124"/>
      <c r="AR16" s="124"/>
      <c r="AS16" s="236"/>
      <c r="AT16" s="127">
        <f t="shared" si="0"/>
        <v>0.5</v>
      </c>
      <c r="AU16" s="127">
        <f t="shared" si="1"/>
        <v>0.5</v>
      </c>
      <c r="AV16" s="480"/>
      <c r="AW16" s="480"/>
      <c r="AX16" s="417"/>
      <c r="AY16" s="417"/>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67">
        <v>0.25</v>
      </c>
      <c r="AK17" s="124"/>
      <c r="AL17" s="124"/>
      <c r="AM17" s="488">
        <v>0.25</v>
      </c>
      <c r="AN17" s="124"/>
      <c r="AO17" s="124"/>
      <c r="AP17" s="236"/>
      <c r="AQ17" s="124"/>
      <c r="AR17" s="124"/>
      <c r="AS17" s="236"/>
      <c r="AT17" s="127">
        <f t="shared" si="0"/>
        <v>0.5</v>
      </c>
      <c r="AU17" s="127">
        <f t="shared" si="1"/>
        <v>0.5</v>
      </c>
      <c r="AV17" s="480"/>
      <c r="AW17" s="480"/>
      <c r="AX17" s="417"/>
      <c r="AY17" s="417"/>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67">
        <v>0.25</v>
      </c>
      <c r="AK18" s="124"/>
      <c r="AL18" s="124"/>
      <c r="AM18" s="488">
        <v>0.25</v>
      </c>
      <c r="AN18" s="124"/>
      <c r="AO18" s="124"/>
      <c r="AP18" s="236"/>
      <c r="AQ18" s="124"/>
      <c r="AR18" s="124"/>
      <c r="AS18" s="236"/>
      <c r="AT18" s="127">
        <f t="shared" si="0"/>
        <v>0.5</v>
      </c>
      <c r="AU18" s="127">
        <f t="shared" si="1"/>
        <v>0.5</v>
      </c>
      <c r="AV18" s="480"/>
      <c r="AW18" s="480"/>
      <c r="AX18" s="417"/>
      <c r="AY18" s="417"/>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67">
        <v>0.14</v>
      </c>
      <c r="AK19" s="124"/>
      <c r="AL19" s="124"/>
      <c r="AM19" s="488">
        <v>0.21</v>
      </c>
      <c r="AN19" s="124"/>
      <c r="AO19" s="124"/>
      <c r="AP19" s="236"/>
      <c r="AQ19" s="124"/>
      <c r="AR19" s="124"/>
      <c r="AS19" s="236"/>
      <c r="AT19" s="127">
        <f t="shared" si="0"/>
        <v>0.35</v>
      </c>
      <c r="AU19" s="127">
        <f t="shared" si="1"/>
        <v>0.35</v>
      </c>
      <c r="AV19" s="480"/>
      <c r="AW19" s="480"/>
      <c r="AX19" s="417"/>
      <c r="AY19" s="417"/>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67">
        <v>0.14</v>
      </c>
      <c r="AK20" s="124"/>
      <c r="AL20" s="124"/>
      <c r="AM20" s="488">
        <v>0.21</v>
      </c>
      <c r="AN20" s="124"/>
      <c r="AO20" s="124"/>
      <c r="AP20" s="236"/>
      <c r="AQ20" s="124"/>
      <c r="AR20" s="124"/>
      <c r="AS20" s="236"/>
      <c r="AT20" s="127">
        <f t="shared" si="0"/>
        <v>0.35</v>
      </c>
      <c r="AU20" s="127">
        <f t="shared" si="1"/>
        <v>0.35</v>
      </c>
      <c r="AV20" s="480"/>
      <c r="AW20" s="480"/>
      <c r="AX20" s="417"/>
      <c r="AY20" s="417"/>
    </row>
    <row r="21" spans="1:51" s="113" customFormat="1" ht="54" customHeight="1">
      <c r="A21" s="781" t="s">
        <v>64</v>
      </c>
      <c r="B21" s="781"/>
      <c r="C21" s="781"/>
      <c r="D21" s="777" t="s">
        <v>66</v>
      </c>
      <c r="E21" s="777"/>
      <c r="F21" s="777"/>
      <c r="G21" s="777"/>
      <c r="H21" s="777"/>
      <c r="I21" s="777"/>
      <c r="J21" s="782" t="s">
        <v>300</v>
      </c>
      <c r="K21" s="782"/>
      <c r="L21" s="782"/>
      <c r="M21" s="782"/>
      <c r="N21" s="782"/>
      <c r="O21" s="782"/>
      <c r="P21" s="777" t="s">
        <v>66</v>
      </c>
      <c r="Q21" s="777"/>
      <c r="R21" s="777"/>
      <c r="S21" s="777"/>
      <c r="T21" s="777"/>
      <c r="U21" s="777"/>
      <c r="V21" s="777" t="s">
        <v>66</v>
      </c>
      <c r="W21" s="777"/>
      <c r="X21" s="777"/>
      <c r="Y21" s="777"/>
      <c r="Z21" s="777"/>
      <c r="AA21" s="777"/>
      <c r="AB21" s="777"/>
      <c r="AC21" s="777"/>
      <c r="AD21" s="777" t="s">
        <v>66</v>
      </c>
      <c r="AE21" s="777"/>
      <c r="AF21" s="777"/>
      <c r="AG21" s="777"/>
      <c r="AH21" s="777"/>
      <c r="AI21" s="777"/>
      <c r="AJ21" s="777"/>
      <c r="AK21" s="777"/>
      <c r="AL21" s="777"/>
      <c r="AM21" s="777"/>
      <c r="AN21" s="777"/>
      <c r="AO21" s="777"/>
      <c r="AP21" s="782" t="s">
        <v>318</v>
      </c>
      <c r="AQ21" s="782"/>
      <c r="AR21" s="782"/>
      <c r="AS21" s="782"/>
      <c r="AT21" s="777" t="s">
        <v>13</v>
      </c>
      <c r="AU21" s="777"/>
      <c r="AV21" s="777"/>
      <c r="AW21" s="777"/>
      <c r="AX21" s="777"/>
      <c r="AY21" s="777"/>
    </row>
    <row r="22" spans="1:51" s="113" customFormat="1" ht="30" customHeight="1">
      <c r="A22" s="781"/>
      <c r="B22" s="781"/>
      <c r="C22" s="781"/>
      <c r="D22" s="777" t="s">
        <v>809</v>
      </c>
      <c r="E22" s="777"/>
      <c r="F22" s="777"/>
      <c r="G22" s="777"/>
      <c r="H22" s="777"/>
      <c r="I22" s="777"/>
      <c r="J22" s="782"/>
      <c r="K22" s="782"/>
      <c r="L22" s="782"/>
      <c r="M22" s="782"/>
      <c r="N22" s="782"/>
      <c r="O22" s="782"/>
      <c r="P22" s="777" t="s">
        <v>810</v>
      </c>
      <c r="Q22" s="777"/>
      <c r="R22" s="777"/>
      <c r="S22" s="777"/>
      <c r="T22" s="777"/>
      <c r="U22" s="777"/>
      <c r="V22" s="777" t="s">
        <v>65</v>
      </c>
      <c r="W22" s="777"/>
      <c r="X22" s="777"/>
      <c r="Y22" s="777"/>
      <c r="Z22" s="777"/>
      <c r="AA22" s="777"/>
      <c r="AB22" s="777"/>
      <c r="AC22" s="777"/>
      <c r="AD22" s="777" t="s">
        <v>65</v>
      </c>
      <c r="AE22" s="777"/>
      <c r="AF22" s="777"/>
      <c r="AG22" s="777"/>
      <c r="AH22" s="777"/>
      <c r="AI22" s="777"/>
      <c r="AJ22" s="777"/>
      <c r="AK22" s="777"/>
      <c r="AL22" s="777"/>
      <c r="AM22" s="777"/>
      <c r="AN22" s="777"/>
      <c r="AO22" s="777"/>
      <c r="AP22" s="782"/>
      <c r="AQ22" s="782"/>
      <c r="AR22" s="782"/>
      <c r="AS22" s="782"/>
      <c r="AT22" s="777" t="s">
        <v>771</v>
      </c>
      <c r="AU22" s="777"/>
      <c r="AV22" s="777"/>
      <c r="AW22" s="777"/>
      <c r="AX22" s="777"/>
      <c r="AY22" s="777"/>
    </row>
    <row r="23" spans="1:51" s="113" customFormat="1" ht="30" customHeight="1">
      <c r="A23" s="781"/>
      <c r="B23" s="781"/>
      <c r="C23" s="781"/>
      <c r="D23" s="777" t="s">
        <v>812</v>
      </c>
      <c r="E23" s="777"/>
      <c r="F23" s="777"/>
      <c r="G23" s="777"/>
      <c r="H23" s="777"/>
      <c r="I23" s="777"/>
      <c r="J23" s="782"/>
      <c r="K23" s="782"/>
      <c r="L23" s="782"/>
      <c r="M23" s="782"/>
      <c r="N23" s="782"/>
      <c r="O23" s="782"/>
      <c r="P23" s="777" t="s">
        <v>811</v>
      </c>
      <c r="Q23" s="777"/>
      <c r="R23" s="777"/>
      <c r="S23" s="777"/>
      <c r="T23" s="777"/>
      <c r="U23" s="777"/>
      <c r="V23" s="777" t="s">
        <v>297</v>
      </c>
      <c r="W23" s="777"/>
      <c r="X23" s="777"/>
      <c r="Y23" s="777"/>
      <c r="Z23" s="777"/>
      <c r="AA23" s="777"/>
      <c r="AB23" s="777"/>
      <c r="AC23" s="777"/>
      <c r="AD23" s="777" t="s">
        <v>297</v>
      </c>
      <c r="AE23" s="777"/>
      <c r="AF23" s="777"/>
      <c r="AG23" s="777"/>
      <c r="AH23" s="777"/>
      <c r="AI23" s="777"/>
      <c r="AJ23" s="777"/>
      <c r="AK23" s="777"/>
      <c r="AL23" s="777"/>
      <c r="AM23" s="777"/>
      <c r="AN23" s="777"/>
      <c r="AO23" s="777"/>
      <c r="AP23" s="782"/>
      <c r="AQ23" s="782"/>
      <c r="AR23" s="782"/>
      <c r="AS23" s="782"/>
      <c r="AT23" s="777" t="s">
        <v>75</v>
      </c>
      <c r="AU23" s="777"/>
      <c r="AV23" s="777"/>
      <c r="AW23" s="777"/>
      <c r="AX23" s="777"/>
      <c r="AY23" s="777"/>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landscape" scale="18"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AY25"/>
  <sheetViews>
    <sheetView zoomScale="85" zoomScaleNormal="85" zoomScalePageLayoutView="0" workbookViewId="0" topLeftCell="A1">
      <selection activeCell="A6" sqref="A6:C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790</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1132"/>
      <c r="AJ6" s="1132"/>
      <c r="AK6" s="1132"/>
      <c r="AL6" s="1132"/>
      <c r="AM6" s="1132"/>
      <c r="AN6" s="1132"/>
      <c r="AO6" s="1132"/>
      <c r="AP6" s="1132"/>
      <c r="AQ6" s="1132"/>
      <c r="AR6" s="1132"/>
      <c r="AS6" s="1132"/>
      <c r="AT6" s="1132"/>
      <c r="AU6" s="793"/>
      <c r="AV6" s="786"/>
      <c r="AW6" s="786"/>
      <c r="AX6" s="786"/>
      <c r="AY6" s="786"/>
    </row>
    <row r="7" spans="1:51" ht="15" customHeight="1">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31"/>
      <c r="Y7" s="231"/>
      <c r="Z7" s="231"/>
      <c r="AA7" s="231"/>
      <c r="AB7" s="231"/>
      <c r="AC7" s="231"/>
      <c r="AD7" s="231"/>
      <c r="AE7" s="231"/>
      <c r="AF7" s="231"/>
      <c r="AG7" s="117"/>
      <c r="AH7" s="791"/>
      <c r="AI7" s="1132"/>
      <c r="AJ7" s="1132"/>
      <c r="AK7" s="1132"/>
      <c r="AL7" s="1132"/>
      <c r="AM7" s="1132"/>
      <c r="AN7" s="1132"/>
      <c r="AO7" s="1132"/>
      <c r="AP7" s="1132"/>
      <c r="AQ7" s="1132"/>
      <c r="AR7" s="1132"/>
      <c r="AS7" s="1132"/>
      <c r="AT7" s="113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1132"/>
      <c r="AJ8" s="1132"/>
      <c r="AK8" s="1132"/>
      <c r="AL8" s="1132"/>
      <c r="AM8" s="1132"/>
      <c r="AN8" s="1132"/>
      <c r="AO8" s="1132"/>
      <c r="AP8" s="1132"/>
      <c r="AQ8" s="1132"/>
      <c r="AR8" s="1132"/>
      <c r="AS8" s="1132"/>
      <c r="AT8" s="113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1132"/>
      <c r="AJ9" s="1132"/>
      <c r="AK9" s="1132"/>
      <c r="AL9" s="1132"/>
      <c r="AM9" s="1132"/>
      <c r="AN9" s="1132"/>
      <c r="AO9" s="1132"/>
      <c r="AP9" s="1132"/>
      <c r="AQ9" s="1132"/>
      <c r="AR9" s="1132"/>
      <c r="AS9" s="1132"/>
      <c r="AT9" s="113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120">
        <v>2023</v>
      </c>
      <c r="S12" s="120">
        <v>2024</v>
      </c>
      <c r="T12" s="779"/>
      <c r="U12" s="779"/>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9"/>
      <c r="AW12" s="779"/>
      <c r="AX12" s="779"/>
      <c r="AY12" s="779"/>
    </row>
    <row r="13" spans="1:51" ht="195">
      <c r="A13" s="121"/>
      <c r="B13" s="121"/>
      <c r="C13" s="121"/>
      <c r="D13" s="121"/>
      <c r="E13" s="121" t="s">
        <v>425</v>
      </c>
      <c r="F13" s="121"/>
      <c r="G13" s="122" t="s">
        <v>427</v>
      </c>
      <c r="H13" s="122" t="s">
        <v>843</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381"/>
      <c r="AM13" s="491">
        <v>0.25</v>
      </c>
      <c r="AN13" s="124"/>
      <c r="AO13" s="124"/>
      <c r="AP13" s="124"/>
      <c r="AQ13" s="124"/>
      <c r="AR13" s="124"/>
      <c r="AS13" s="124"/>
      <c r="AT13" s="127">
        <f>SUM(AH13:AS13)</f>
        <v>0.5</v>
      </c>
      <c r="AU13" s="379">
        <f>+AT13/R13</f>
        <v>0.5</v>
      </c>
      <c r="AV13" s="494"/>
      <c r="AW13" s="494"/>
      <c r="AX13" s="498"/>
      <c r="AY13" s="499"/>
    </row>
    <row r="14" spans="1:51" ht="195">
      <c r="A14" s="121"/>
      <c r="B14" s="121"/>
      <c r="C14" s="121"/>
      <c r="D14" s="121"/>
      <c r="E14" s="121" t="s">
        <v>425</v>
      </c>
      <c r="F14" s="121"/>
      <c r="G14" s="122" t="s">
        <v>427</v>
      </c>
      <c r="H14" s="122" t="s">
        <v>843</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381"/>
      <c r="AM14" s="492"/>
      <c r="AN14" s="124"/>
      <c r="AO14" s="124"/>
      <c r="AP14" s="124"/>
      <c r="AQ14" s="124"/>
      <c r="AR14" s="124"/>
      <c r="AS14" s="124"/>
      <c r="AT14" s="124">
        <f aca="true" t="shared" si="0" ref="AT14:AT22">SUM(AH14:AS14)</f>
        <v>0</v>
      </c>
      <c r="AU14" s="379">
        <f aca="true" t="shared" si="1" ref="AU14:AU22">+AT14/R14</f>
        <v>0</v>
      </c>
      <c r="AV14" s="494"/>
      <c r="AW14" s="494"/>
      <c r="AX14" s="498"/>
      <c r="AY14" s="499"/>
    </row>
    <row r="15" spans="1:51" ht="135">
      <c r="A15" s="121"/>
      <c r="B15" s="121"/>
      <c r="C15" s="121"/>
      <c r="D15" s="121"/>
      <c r="E15" s="121" t="s">
        <v>425</v>
      </c>
      <c r="F15" s="121"/>
      <c r="G15" s="122" t="s">
        <v>427</v>
      </c>
      <c r="H15" s="122" t="s">
        <v>843</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381"/>
      <c r="AM15" s="492"/>
      <c r="AN15" s="124"/>
      <c r="AO15" s="124"/>
      <c r="AP15" s="124"/>
      <c r="AQ15" s="124"/>
      <c r="AR15" s="124"/>
      <c r="AS15" s="124"/>
      <c r="AT15" s="124">
        <f t="shared" si="0"/>
        <v>4</v>
      </c>
      <c r="AU15" s="379">
        <f t="shared" si="1"/>
        <v>0.3333333333333333</v>
      </c>
      <c r="AV15" s="494"/>
      <c r="AW15" s="494"/>
      <c r="AX15" s="487"/>
      <c r="AY15" s="499"/>
    </row>
    <row r="16" spans="1:51" ht="190.5" customHeight="1">
      <c r="A16" s="121"/>
      <c r="B16" s="121"/>
      <c r="C16" s="121"/>
      <c r="D16" s="121"/>
      <c r="E16" s="121" t="s">
        <v>425</v>
      </c>
      <c r="F16" s="121"/>
      <c r="G16" s="122" t="s">
        <v>427</v>
      </c>
      <c r="H16" s="122" t="s">
        <v>843</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381"/>
      <c r="AM16" s="492"/>
      <c r="AN16" s="124"/>
      <c r="AO16" s="124"/>
      <c r="AP16" s="124"/>
      <c r="AQ16" s="124"/>
      <c r="AR16" s="124"/>
      <c r="AS16" s="124"/>
      <c r="AT16" s="124">
        <f t="shared" si="0"/>
        <v>4</v>
      </c>
      <c r="AU16" s="379">
        <f>+AT16/R16</f>
        <v>0.6666666666666666</v>
      </c>
      <c r="AV16" s="494"/>
      <c r="AW16" s="494"/>
      <c r="AX16" s="487"/>
      <c r="AY16" s="499"/>
    </row>
    <row r="17" spans="1:51" ht="18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477">
        <v>1</v>
      </c>
      <c r="AM17" s="490">
        <v>1</v>
      </c>
      <c r="AN17" s="124"/>
      <c r="AO17" s="124"/>
      <c r="AP17" s="124"/>
      <c r="AQ17" s="124"/>
      <c r="AR17" s="124"/>
      <c r="AS17" s="124"/>
      <c r="AT17" s="484">
        <f>AVERAGE(AH17:AS17)</f>
        <v>1</v>
      </c>
      <c r="AU17" s="478">
        <f>+(SUM(AH17:AS17)/+SUM(V17:AG17))</f>
        <v>1</v>
      </c>
      <c r="AV17" s="479"/>
      <c r="AW17" s="494"/>
      <c r="AX17" s="498"/>
      <c r="AY17" s="499"/>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62">
        <v>1</v>
      </c>
      <c r="AL18" s="380">
        <v>1</v>
      </c>
      <c r="AM18" s="491">
        <v>1</v>
      </c>
      <c r="AN18" s="124"/>
      <c r="AO18" s="124"/>
      <c r="AP18" s="124"/>
      <c r="AQ18" s="124"/>
      <c r="AR18" s="124"/>
      <c r="AS18" s="124"/>
      <c r="AT18" s="127">
        <f>AVERAGE(AH18:AS18)</f>
        <v>1</v>
      </c>
      <c r="AU18" s="379">
        <f>+(SUM(AH18:AS18)/+SUM(V18:AG18))</f>
        <v>0.5</v>
      </c>
      <c r="AV18" s="495"/>
      <c r="AW18" s="495"/>
      <c r="AX18" s="487"/>
      <c r="AY18" s="499"/>
    </row>
    <row r="19" spans="1:51" ht="345">
      <c r="A19" s="121"/>
      <c r="B19" s="121"/>
      <c r="C19" s="121"/>
      <c r="D19" s="121"/>
      <c r="E19" s="121" t="s">
        <v>425</v>
      </c>
      <c r="F19" s="121"/>
      <c r="G19" s="122" t="s">
        <v>427</v>
      </c>
      <c r="H19" s="122" t="s">
        <v>843</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62">
        <v>1</v>
      </c>
      <c r="AL19" s="381"/>
      <c r="AM19" s="492"/>
      <c r="AN19" s="124"/>
      <c r="AO19" s="124"/>
      <c r="AP19" s="124"/>
      <c r="AQ19" s="124"/>
      <c r="AR19" s="124"/>
      <c r="AS19" s="124"/>
      <c r="AT19" s="127">
        <f t="shared" si="0"/>
        <v>1</v>
      </c>
      <c r="AU19" s="379">
        <f>+(SUM(AH19:AS19)/+SUM(V19:AG19))</f>
        <v>0.3333333333333333</v>
      </c>
      <c r="AV19" s="494"/>
      <c r="AW19" s="494"/>
      <c r="AX19" s="487"/>
      <c r="AY19" s="499"/>
    </row>
    <row r="20" spans="1:51" ht="268.5" customHeight="1">
      <c r="A20" s="121"/>
      <c r="B20" s="121"/>
      <c r="C20" s="121"/>
      <c r="D20" s="121"/>
      <c r="E20" s="121" t="s">
        <v>425</v>
      </c>
      <c r="F20" s="121"/>
      <c r="G20" s="122" t="s">
        <v>427</v>
      </c>
      <c r="H20" s="122" t="s">
        <v>843</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381"/>
      <c r="AM20" s="485"/>
      <c r="AN20" s="124"/>
      <c r="AO20" s="124"/>
      <c r="AP20" s="124"/>
      <c r="AQ20" s="124"/>
      <c r="AR20" s="124"/>
      <c r="AS20" s="124"/>
      <c r="AT20" s="124">
        <f t="shared" si="0"/>
        <v>0</v>
      </c>
      <c r="AU20" s="379">
        <f t="shared" si="1"/>
        <v>0</v>
      </c>
      <c r="AV20" s="494"/>
      <c r="AW20" s="494"/>
      <c r="AX20" s="498"/>
      <c r="AY20" s="499"/>
    </row>
    <row r="21" spans="1:51" ht="184.5" customHeight="1">
      <c r="A21" s="121"/>
      <c r="B21" s="121"/>
      <c r="C21" s="121"/>
      <c r="D21" s="121"/>
      <c r="E21" s="121" t="s">
        <v>425</v>
      </c>
      <c r="F21" s="121"/>
      <c r="G21" s="122" t="s">
        <v>427</v>
      </c>
      <c r="H21" s="122" t="s">
        <v>843</v>
      </c>
      <c r="I21" s="232" t="s">
        <v>470</v>
      </c>
      <c r="J21" s="233" t="s">
        <v>471</v>
      </c>
      <c r="K21" s="124" t="s">
        <v>430</v>
      </c>
      <c r="L21" s="124"/>
      <c r="M21" s="121" t="s">
        <v>437</v>
      </c>
      <c r="N21" s="122" t="s">
        <v>472</v>
      </c>
      <c r="O21" s="124"/>
      <c r="P21" s="124"/>
      <c r="Q21" s="124"/>
      <c r="R21" s="241">
        <v>12</v>
      </c>
      <c r="S21" s="124"/>
      <c r="T21" s="235" t="s">
        <v>460</v>
      </c>
      <c r="U21" s="232" t="s">
        <v>473</v>
      </c>
      <c r="V21" s="121">
        <v>1</v>
      </c>
      <c r="W21" s="459">
        <v>1</v>
      </c>
      <c r="X21" s="459">
        <v>1</v>
      </c>
      <c r="Y21" s="459">
        <v>1</v>
      </c>
      <c r="Z21" s="459">
        <v>1</v>
      </c>
      <c r="AA21" s="459">
        <v>1</v>
      </c>
      <c r="AB21" s="459">
        <v>1</v>
      </c>
      <c r="AC21" s="459">
        <v>1</v>
      </c>
      <c r="AD21" s="459">
        <v>1</v>
      </c>
      <c r="AE21" s="459">
        <v>1</v>
      </c>
      <c r="AF21" s="459">
        <v>1</v>
      </c>
      <c r="AG21" s="459">
        <v>1</v>
      </c>
      <c r="AH21" s="459">
        <v>1</v>
      </c>
      <c r="AI21" s="459">
        <v>1</v>
      </c>
      <c r="AJ21" s="459">
        <v>1</v>
      </c>
      <c r="AK21" s="459">
        <v>1</v>
      </c>
      <c r="AL21" s="128">
        <v>1</v>
      </c>
      <c r="AM21" s="485">
        <v>1</v>
      </c>
      <c r="AN21" s="459"/>
      <c r="AO21" s="459"/>
      <c r="AP21" s="459"/>
      <c r="AQ21" s="459"/>
      <c r="AR21" s="459"/>
      <c r="AS21" s="459"/>
      <c r="AT21" s="124">
        <f t="shared" si="0"/>
        <v>6</v>
      </c>
      <c r="AU21" s="379">
        <f t="shared" si="1"/>
        <v>0.5</v>
      </c>
      <c r="AV21" s="495"/>
      <c r="AW21" s="495"/>
      <c r="AX21" s="487"/>
      <c r="AY21" s="499"/>
    </row>
    <row r="22" spans="1:51" ht="96" customHeight="1">
      <c r="A22" s="121"/>
      <c r="B22" s="121"/>
      <c r="C22" s="121"/>
      <c r="D22" s="121"/>
      <c r="E22" s="121" t="s">
        <v>425</v>
      </c>
      <c r="F22" s="121"/>
      <c r="G22" s="122" t="s">
        <v>427</v>
      </c>
      <c r="H22" s="122" t="s">
        <v>843</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381"/>
      <c r="AM22" s="492"/>
      <c r="AN22" s="124"/>
      <c r="AO22" s="124"/>
      <c r="AP22" s="124"/>
      <c r="AQ22" s="124"/>
      <c r="AR22" s="124"/>
      <c r="AS22" s="124"/>
      <c r="AT22" s="124">
        <f t="shared" si="0"/>
        <v>0</v>
      </c>
      <c r="AU22" s="379">
        <f t="shared" si="1"/>
        <v>0</v>
      </c>
      <c r="AV22" s="494"/>
      <c r="AW22" s="494"/>
      <c r="AX22" s="498"/>
      <c r="AY22" s="499"/>
    </row>
    <row r="23" spans="1:51" ht="54" customHeight="1">
      <c r="A23" s="781" t="s">
        <v>64</v>
      </c>
      <c r="B23" s="781"/>
      <c r="C23" s="781"/>
      <c r="D23" s="777" t="s">
        <v>66</v>
      </c>
      <c r="E23" s="777"/>
      <c r="F23" s="777"/>
      <c r="G23" s="777"/>
      <c r="H23" s="777"/>
      <c r="I23" s="777"/>
      <c r="J23" s="782" t="s">
        <v>300</v>
      </c>
      <c r="K23" s="782"/>
      <c r="L23" s="782"/>
      <c r="M23" s="782"/>
      <c r="N23" s="782"/>
      <c r="O23" s="782"/>
      <c r="P23" s="777" t="s">
        <v>66</v>
      </c>
      <c r="Q23" s="777"/>
      <c r="R23" s="777"/>
      <c r="S23" s="777"/>
      <c r="T23" s="777"/>
      <c r="U23" s="777"/>
      <c r="V23" s="777" t="s">
        <v>66</v>
      </c>
      <c r="W23" s="777"/>
      <c r="X23" s="777"/>
      <c r="Y23" s="777"/>
      <c r="Z23" s="777"/>
      <c r="AA23" s="777"/>
      <c r="AB23" s="777"/>
      <c r="AC23" s="777"/>
      <c r="AD23" s="777" t="s">
        <v>66</v>
      </c>
      <c r="AE23" s="777"/>
      <c r="AF23" s="777"/>
      <c r="AG23" s="777"/>
      <c r="AH23" s="777"/>
      <c r="AI23" s="777"/>
      <c r="AJ23" s="777"/>
      <c r="AK23" s="777"/>
      <c r="AL23" s="777"/>
      <c r="AM23" s="777"/>
      <c r="AN23" s="777"/>
      <c r="AO23" s="777"/>
      <c r="AP23" s="782" t="s">
        <v>318</v>
      </c>
      <c r="AQ23" s="782"/>
      <c r="AR23" s="782"/>
      <c r="AS23" s="782"/>
      <c r="AT23" s="777" t="s">
        <v>13</v>
      </c>
      <c r="AU23" s="777"/>
      <c r="AV23" s="777"/>
      <c r="AW23" s="777"/>
      <c r="AX23" s="777"/>
      <c r="AY23" s="777"/>
    </row>
    <row r="24" spans="1:51" ht="30" customHeight="1">
      <c r="A24" s="781"/>
      <c r="B24" s="781"/>
      <c r="C24" s="781"/>
      <c r="D24" s="777" t="s">
        <v>796</v>
      </c>
      <c r="E24" s="777"/>
      <c r="F24" s="777"/>
      <c r="G24" s="777"/>
      <c r="H24" s="777"/>
      <c r="I24" s="777"/>
      <c r="J24" s="782"/>
      <c r="K24" s="782"/>
      <c r="L24" s="782"/>
      <c r="M24" s="782"/>
      <c r="N24" s="782"/>
      <c r="O24" s="782"/>
      <c r="P24" s="777" t="s">
        <v>798</v>
      </c>
      <c r="Q24" s="777"/>
      <c r="R24" s="777"/>
      <c r="S24" s="777"/>
      <c r="T24" s="777"/>
      <c r="U24" s="777"/>
      <c r="V24" s="777" t="s">
        <v>799</v>
      </c>
      <c r="W24" s="777"/>
      <c r="X24" s="777"/>
      <c r="Y24" s="777"/>
      <c r="Z24" s="777"/>
      <c r="AA24" s="777"/>
      <c r="AB24" s="777"/>
      <c r="AC24" s="777"/>
      <c r="AD24" s="777" t="s">
        <v>65</v>
      </c>
      <c r="AE24" s="777"/>
      <c r="AF24" s="777"/>
      <c r="AG24" s="777"/>
      <c r="AH24" s="777"/>
      <c r="AI24" s="777"/>
      <c r="AJ24" s="777"/>
      <c r="AK24" s="777"/>
      <c r="AL24" s="777"/>
      <c r="AM24" s="777"/>
      <c r="AN24" s="777"/>
      <c r="AO24" s="777"/>
      <c r="AP24" s="782"/>
      <c r="AQ24" s="782"/>
      <c r="AR24" s="782"/>
      <c r="AS24" s="782"/>
      <c r="AT24" s="777" t="s">
        <v>771</v>
      </c>
      <c r="AU24" s="777"/>
      <c r="AV24" s="777"/>
      <c r="AW24" s="777"/>
      <c r="AX24" s="777"/>
      <c r="AY24" s="777"/>
    </row>
    <row r="25" spans="1:51" ht="30" customHeight="1">
      <c r="A25" s="781"/>
      <c r="B25" s="781"/>
      <c r="C25" s="781"/>
      <c r="D25" s="777" t="s">
        <v>797</v>
      </c>
      <c r="E25" s="777"/>
      <c r="F25" s="777"/>
      <c r="G25" s="777"/>
      <c r="H25" s="777"/>
      <c r="I25" s="777"/>
      <c r="J25" s="782"/>
      <c r="K25" s="782"/>
      <c r="L25" s="782"/>
      <c r="M25" s="782"/>
      <c r="N25" s="782"/>
      <c r="O25" s="782"/>
      <c r="P25" s="777" t="s">
        <v>797</v>
      </c>
      <c r="Q25" s="777"/>
      <c r="R25" s="777"/>
      <c r="S25" s="777"/>
      <c r="T25" s="777"/>
      <c r="U25" s="777"/>
      <c r="V25" s="777" t="s">
        <v>800</v>
      </c>
      <c r="W25" s="777"/>
      <c r="X25" s="777"/>
      <c r="Y25" s="777"/>
      <c r="Z25" s="777"/>
      <c r="AA25" s="777"/>
      <c r="AB25" s="777"/>
      <c r="AC25" s="777"/>
      <c r="AD25" s="777" t="s">
        <v>297</v>
      </c>
      <c r="AE25" s="777"/>
      <c r="AF25" s="777"/>
      <c r="AG25" s="777"/>
      <c r="AH25" s="777"/>
      <c r="AI25" s="777"/>
      <c r="AJ25" s="777"/>
      <c r="AK25" s="777"/>
      <c r="AL25" s="777"/>
      <c r="AM25" s="777"/>
      <c r="AN25" s="777"/>
      <c r="AO25" s="777"/>
      <c r="AP25" s="782"/>
      <c r="AQ25" s="782"/>
      <c r="AR25" s="782"/>
      <c r="AS25" s="782"/>
      <c r="AT25" s="777" t="s">
        <v>75</v>
      </c>
      <c r="AU25" s="777"/>
      <c r="AV25" s="777"/>
      <c r="AW25" s="777"/>
      <c r="AX25" s="777"/>
      <c r="AY25" s="777"/>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9" r:id="rId4"/>
  <drawing r:id="rId3"/>
  <legacyDrawing r:id="rId2"/>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AY22"/>
  <sheetViews>
    <sheetView zoomScale="80" zoomScaleNormal="80" zoomScalePageLayoutView="0" workbookViewId="0" topLeftCell="AN3">
      <selection activeCell="AV13" sqref="AV13:AY19"/>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5.85156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1027" t="s">
        <v>423</v>
      </c>
      <c r="AY1" s="1028"/>
    </row>
    <row r="2" spans="1:51" ht="15.75" customHeight="1">
      <c r="A2" s="1115" t="s">
        <v>17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7"/>
      <c r="AX2" s="1030" t="s">
        <v>418</v>
      </c>
      <c r="AY2" s="1031"/>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1030" t="s">
        <v>424</v>
      </c>
      <c r="AY3" s="1031"/>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791</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1091">
        <v>45146</v>
      </c>
      <c r="E6" s="798"/>
      <c r="F6" s="788" t="s">
        <v>67</v>
      </c>
      <c r="G6" s="790"/>
      <c r="H6" s="1133" t="s">
        <v>70</v>
      </c>
      <c r="I6" s="1133"/>
      <c r="J6" s="121"/>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1132"/>
      <c r="AJ6" s="1132"/>
      <c r="AK6" s="1132"/>
      <c r="AL6" s="1132"/>
      <c r="AM6" s="1132"/>
      <c r="AN6" s="1132"/>
      <c r="AO6" s="1132"/>
      <c r="AP6" s="1132"/>
      <c r="AQ6" s="1132"/>
      <c r="AR6" s="1132"/>
      <c r="AS6" s="1132"/>
      <c r="AT6" s="1132"/>
      <c r="AU6" s="793"/>
      <c r="AV6" s="786"/>
      <c r="AW6" s="786"/>
      <c r="AX6" s="786"/>
      <c r="AY6" s="786"/>
    </row>
    <row r="7" spans="1:51" ht="15" customHeight="1">
      <c r="A7" s="797"/>
      <c r="B7" s="797"/>
      <c r="C7" s="797"/>
      <c r="D7" s="798"/>
      <c r="E7" s="798"/>
      <c r="F7" s="791"/>
      <c r="G7" s="793"/>
      <c r="H7" s="1133" t="s">
        <v>68</v>
      </c>
      <c r="I7" s="1133"/>
      <c r="J7" s="121"/>
      <c r="K7" s="791"/>
      <c r="L7" s="1132"/>
      <c r="M7" s="1132"/>
      <c r="N7" s="1132"/>
      <c r="O7" s="1132"/>
      <c r="P7" s="1132"/>
      <c r="Q7" s="1132"/>
      <c r="R7" s="1132"/>
      <c r="S7" s="1132"/>
      <c r="T7" s="1132"/>
      <c r="U7" s="1132"/>
      <c r="V7" s="231"/>
      <c r="W7" s="231"/>
      <c r="X7" s="231"/>
      <c r="Y7" s="231"/>
      <c r="Z7" s="231"/>
      <c r="AA7" s="231"/>
      <c r="AB7" s="231"/>
      <c r="AC7" s="231"/>
      <c r="AD7" s="231"/>
      <c r="AE7" s="231"/>
      <c r="AF7" s="231"/>
      <c r="AG7" s="117"/>
      <c r="AH7" s="791"/>
      <c r="AI7" s="1132"/>
      <c r="AJ7" s="1132"/>
      <c r="AK7" s="1132"/>
      <c r="AL7" s="1132"/>
      <c r="AM7" s="1132"/>
      <c r="AN7" s="1132"/>
      <c r="AO7" s="1132"/>
      <c r="AP7" s="1132"/>
      <c r="AQ7" s="1132"/>
      <c r="AR7" s="1132"/>
      <c r="AS7" s="1132"/>
      <c r="AT7" s="1132"/>
      <c r="AU7" s="793"/>
      <c r="AV7" s="786"/>
      <c r="AW7" s="786"/>
      <c r="AX7" s="786"/>
      <c r="AY7" s="786"/>
    </row>
    <row r="8" spans="1:51" ht="15" customHeight="1">
      <c r="A8" s="797"/>
      <c r="B8" s="797"/>
      <c r="C8" s="797"/>
      <c r="D8" s="798"/>
      <c r="E8" s="798"/>
      <c r="F8" s="794"/>
      <c r="G8" s="796"/>
      <c r="H8" s="1133" t="s">
        <v>69</v>
      </c>
      <c r="I8" s="1133"/>
      <c r="J8" s="121" t="s">
        <v>425</v>
      </c>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1132"/>
      <c r="AJ8" s="1132"/>
      <c r="AK8" s="1132"/>
      <c r="AL8" s="1132"/>
      <c r="AM8" s="1132"/>
      <c r="AN8" s="1132"/>
      <c r="AO8" s="1132"/>
      <c r="AP8" s="1132"/>
      <c r="AQ8" s="1132"/>
      <c r="AR8" s="1132"/>
      <c r="AS8" s="1132"/>
      <c r="AT8" s="113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1132"/>
      <c r="AJ9" s="1132"/>
      <c r="AK9" s="1132"/>
      <c r="AL9" s="1132"/>
      <c r="AM9" s="1132"/>
      <c r="AN9" s="1132"/>
      <c r="AO9" s="1132"/>
      <c r="AP9" s="1132"/>
      <c r="AQ9" s="1132"/>
      <c r="AR9" s="1132"/>
      <c r="AS9" s="1132"/>
      <c r="AT9" s="1132"/>
      <c r="AU9" s="793"/>
      <c r="AV9" s="786"/>
      <c r="AW9" s="786"/>
      <c r="AX9" s="786"/>
      <c r="AY9" s="786"/>
    </row>
    <row r="10" spans="1:51" ht="15" customHeight="1">
      <c r="A10" s="799" t="s">
        <v>287</v>
      </c>
      <c r="B10" s="800"/>
      <c r="C10" s="801"/>
      <c r="D10" s="806" t="s">
        <v>500</v>
      </c>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292" t="s">
        <v>169</v>
      </c>
      <c r="B12" s="292" t="s">
        <v>170</v>
      </c>
      <c r="C12" s="292" t="s">
        <v>171</v>
      </c>
      <c r="D12" s="292" t="s">
        <v>178</v>
      </c>
      <c r="E12" s="292" t="s">
        <v>185</v>
      </c>
      <c r="F12" s="292" t="s">
        <v>186</v>
      </c>
      <c r="G12" s="292" t="s">
        <v>277</v>
      </c>
      <c r="H12" s="292" t="s">
        <v>184</v>
      </c>
      <c r="I12" s="779"/>
      <c r="J12" s="779"/>
      <c r="K12" s="779"/>
      <c r="L12" s="779"/>
      <c r="M12" s="779"/>
      <c r="N12" s="779"/>
      <c r="O12" s="292">
        <v>2020</v>
      </c>
      <c r="P12" s="292">
        <v>2021</v>
      </c>
      <c r="Q12" s="292">
        <v>2022</v>
      </c>
      <c r="R12" s="292">
        <v>2023</v>
      </c>
      <c r="S12" s="292">
        <v>2024</v>
      </c>
      <c r="T12" s="779"/>
      <c r="U12" s="779"/>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9"/>
      <c r="AW12" s="779"/>
      <c r="AX12" s="779"/>
      <c r="AY12" s="779"/>
    </row>
    <row r="13" spans="1:51" ht="124.5" customHeight="1">
      <c r="A13" s="310"/>
      <c r="B13" s="121"/>
      <c r="C13" s="121"/>
      <c r="D13" s="121"/>
      <c r="E13" s="459" t="s">
        <v>425</v>
      </c>
      <c r="F13" s="121"/>
      <c r="G13" s="383" t="s">
        <v>720</v>
      </c>
      <c r="H13" s="121"/>
      <c r="I13" s="232" t="s">
        <v>721</v>
      </c>
      <c r="J13" s="402" t="s">
        <v>722</v>
      </c>
      <c r="K13" s="384" t="s">
        <v>453</v>
      </c>
      <c r="L13" s="122"/>
      <c r="M13" s="384" t="s">
        <v>431</v>
      </c>
      <c r="N13" s="402" t="s">
        <v>723</v>
      </c>
      <c r="O13" s="123"/>
      <c r="P13" s="123"/>
      <c r="Q13" s="123"/>
      <c r="R13" s="385">
        <v>1</v>
      </c>
      <c r="S13" s="123"/>
      <c r="T13" s="386" t="s">
        <v>433</v>
      </c>
      <c r="U13" s="403" t="s">
        <v>724</v>
      </c>
      <c r="V13" s="124"/>
      <c r="W13" s="124"/>
      <c r="X13" s="307">
        <v>1</v>
      </c>
      <c r="Y13" s="124"/>
      <c r="Z13" s="124"/>
      <c r="AA13" s="307">
        <v>1</v>
      </c>
      <c r="AB13" s="124"/>
      <c r="AC13" s="124"/>
      <c r="AD13" s="307">
        <v>1</v>
      </c>
      <c r="AE13" s="124"/>
      <c r="AF13" s="124"/>
      <c r="AG13" s="307">
        <v>1</v>
      </c>
      <c r="AH13" s="124"/>
      <c r="AI13" s="124"/>
      <c r="AJ13" s="127">
        <v>1</v>
      </c>
      <c r="AK13" s="124"/>
      <c r="AL13" s="124"/>
      <c r="AM13" s="484">
        <v>1</v>
      </c>
      <c r="AN13" s="124"/>
      <c r="AO13" s="124"/>
      <c r="AP13" s="124"/>
      <c r="AQ13" s="124"/>
      <c r="AR13" s="124"/>
      <c r="AS13" s="124"/>
      <c r="AT13" s="127">
        <f aca="true" t="shared" si="0" ref="AT13:AT18">AVERAGE(AH13:AS13)</f>
        <v>1</v>
      </c>
      <c r="AU13" s="379">
        <f aca="true" t="shared" si="1" ref="AU13:AU18">+(SUM(AH13:AS13)/+SUM(V13:AG13))</f>
        <v>0.5</v>
      </c>
      <c r="AV13" s="497"/>
      <c r="AW13" s="497"/>
      <c r="AX13" s="487"/>
      <c r="AY13" s="487"/>
    </row>
    <row r="14" spans="1:51" ht="124.5" customHeight="1">
      <c r="A14" s="310"/>
      <c r="B14" s="121"/>
      <c r="C14" s="121"/>
      <c r="D14" s="121"/>
      <c r="E14" s="459" t="s">
        <v>425</v>
      </c>
      <c r="F14" s="121"/>
      <c r="G14" s="383" t="s">
        <v>720</v>
      </c>
      <c r="H14" s="121"/>
      <c r="I14" s="232" t="s">
        <v>725</v>
      </c>
      <c r="J14" s="402" t="s">
        <v>726</v>
      </c>
      <c r="K14" s="384" t="s">
        <v>453</v>
      </c>
      <c r="L14" s="124"/>
      <c r="M14" s="384" t="s">
        <v>431</v>
      </c>
      <c r="N14" s="402" t="s">
        <v>727</v>
      </c>
      <c r="O14" s="124"/>
      <c r="P14" s="124"/>
      <c r="Q14" s="124"/>
      <c r="R14" s="385">
        <v>1</v>
      </c>
      <c r="S14" s="124"/>
      <c r="T14" s="386" t="s">
        <v>433</v>
      </c>
      <c r="U14" s="402" t="s">
        <v>728</v>
      </c>
      <c r="V14" s="124"/>
      <c r="W14" s="124"/>
      <c r="X14" s="307">
        <v>1</v>
      </c>
      <c r="Y14" s="124"/>
      <c r="Z14" s="124"/>
      <c r="AA14" s="307">
        <v>1</v>
      </c>
      <c r="AB14" s="124"/>
      <c r="AC14" s="124"/>
      <c r="AD14" s="307">
        <v>1</v>
      </c>
      <c r="AE14" s="124"/>
      <c r="AF14" s="124"/>
      <c r="AG14" s="307">
        <v>1</v>
      </c>
      <c r="AH14" s="124"/>
      <c r="AI14" s="124"/>
      <c r="AJ14" s="127">
        <v>1</v>
      </c>
      <c r="AK14" s="124"/>
      <c r="AL14" s="124"/>
      <c r="AM14" s="484">
        <v>1</v>
      </c>
      <c r="AN14" s="124"/>
      <c r="AO14" s="124"/>
      <c r="AP14" s="124"/>
      <c r="AQ14" s="124"/>
      <c r="AR14" s="124"/>
      <c r="AS14" s="124"/>
      <c r="AT14" s="484">
        <f t="shared" si="0"/>
        <v>1</v>
      </c>
      <c r="AU14" s="379">
        <f t="shared" si="1"/>
        <v>0.5</v>
      </c>
      <c r="AV14" s="497"/>
      <c r="AW14" s="497"/>
      <c r="AX14" s="487"/>
      <c r="AY14" s="487"/>
    </row>
    <row r="15" spans="1:51" ht="124.5" customHeight="1">
      <c r="A15" s="310"/>
      <c r="B15" s="121"/>
      <c r="C15" s="121"/>
      <c r="D15" s="121"/>
      <c r="E15" s="459" t="s">
        <v>425</v>
      </c>
      <c r="F15" s="121"/>
      <c r="G15" s="383" t="s">
        <v>720</v>
      </c>
      <c r="H15" s="121"/>
      <c r="I15" s="232" t="s">
        <v>729</v>
      </c>
      <c r="J15" s="402" t="s">
        <v>730</v>
      </c>
      <c r="K15" s="384" t="s">
        <v>453</v>
      </c>
      <c r="L15" s="124"/>
      <c r="M15" s="384" t="s">
        <v>431</v>
      </c>
      <c r="N15" s="402" t="s">
        <v>731</v>
      </c>
      <c r="O15" s="124"/>
      <c r="P15" s="124"/>
      <c r="Q15" s="124"/>
      <c r="R15" s="385">
        <v>1</v>
      </c>
      <c r="S15" s="124"/>
      <c r="T15" s="386" t="s">
        <v>433</v>
      </c>
      <c r="U15" s="402" t="s">
        <v>732</v>
      </c>
      <c r="V15" s="124"/>
      <c r="W15" s="124"/>
      <c r="X15" s="307">
        <v>1</v>
      </c>
      <c r="Y15" s="124"/>
      <c r="Z15" s="124"/>
      <c r="AA15" s="307">
        <v>1</v>
      </c>
      <c r="AB15" s="124"/>
      <c r="AC15" s="124"/>
      <c r="AD15" s="307">
        <v>1</v>
      </c>
      <c r="AE15" s="124"/>
      <c r="AF15" s="124"/>
      <c r="AG15" s="307">
        <v>1</v>
      </c>
      <c r="AH15" s="124"/>
      <c r="AI15" s="124"/>
      <c r="AJ15" s="127">
        <v>1</v>
      </c>
      <c r="AK15" s="124"/>
      <c r="AL15" s="124"/>
      <c r="AM15" s="484">
        <v>1</v>
      </c>
      <c r="AN15" s="124"/>
      <c r="AO15" s="124"/>
      <c r="AP15" s="124"/>
      <c r="AQ15" s="124"/>
      <c r="AR15" s="124"/>
      <c r="AS15" s="124"/>
      <c r="AT15" s="484">
        <f t="shared" si="0"/>
        <v>1</v>
      </c>
      <c r="AU15" s="379">
        <f t="shared" si="1"/>
        <v>0.5</v>
      </c>
      <c r="AV15" s="497"/>
      <c r="AW15" s="497"/>
      <c r="AX15" s="487"/>
      <c r="AY15" s="487"/>
    </row>
    <row r="16" spans="1:51" ht="124.5" customHeight="1">
      <c r="A16" s="310"/>
      <c r="B16" s="121"/>
      <c r="C16" s="121"/>
      <c r="D16" s="121"/>
      <c r="E16" s="459" t="s">
        <v>425</v>
      </c>
      <c r="F16" s="121"/>
      <c r="G16" s="383" t="s">
        <v>720</v>
      </c>
      <c r="H16" s="121"/>
      <c r="I16" s="232" t="s">
        <v>733</v>
      </c>
      <c r="J16" s="402" t="s">
        <v>734</v>
      </c>
      <c r="K16" s="384" t="s">
        <v>735</v>
      </c>
      <c r="L16" s="124"/>
      <c r="M16" s="384" t="s">
        <v>431</v>
      </c>
      <c r="N16" s="402" t="s">
        <v>736</v>
      </c>
      <c r="O16" s="124"/>
      <c r="P16" s="124"/>
      <c r="Q16" s="124"/>
      <c r="R16" s="385">
        <v>1</v>
      </c>
      <c r="S16" s="124"/>
      <c r="T16" s="386" t="s">
        <v>433</v>
      </c>
      <c r="U16" s="402" t="s">
        <v>737</v>
      </c>
      <c r="V16" s="124"/>
      <c r="W16" s="124"/>
      <c r="X16" s="307">
        <v>1</v>
      </c>
      <c r="Y16" s="124"/>
      <c r="Z16" s="124"/>
      <c r="AA16" s="307">
        <v>1</v>
      </c>
      <c r="AB16" s="124"/>
      <c r="AC16" s="124"/>
      <c r="AD16" s="307">
        <v>1</v>
      </c>
      <c r="AE16" s="124"/>
      <c r="AF16" s="124"/>
      <c r="AG16" s="307">
        <v>1</v>
      </c>
      <c r="AH16" s="124"/>
      <c r="AI16" s="124"/>
      <c r="AJ16" s="127">
        <v>1</v>
      </c>
      <c r="AK16" s="124"/>
      <c r="AL16" s="124"/>
      <c r="AM16" s="484">
        <v>1</v>
      </c>
      <c r="AN16" s="124"/>
      <c r="AO16" s="124"/>
      <c r="AP16" s="124"/>
      <c r="AQ16" s="124"/>
      <c r="AR16" s="124"/>
      <c r="AS16" s="124"/>
      <c r="AT16" s="484">
        <f t="shared" si="0"/>
        <v>1</v>
      </c>
      <c r="AU16" s="379">
        <f t="shared" si="1"/>
        <v>0.5</v>
      </c>
      <c r="AV16" s="486"/>
      <c r="AW16" s="486"/>
      <c r="AX16" s="487"/>
      <c r="AY16" s="487"/>
    </row>
    <row r="17" spans="1:51" ht="124.5" customHeight="1">
      <c r="A17" s="310"/>
      <c r="B17" s="121"/>
      <c r="C17" s="121"/>
      <c r="D17" s="121"/>
      <c r="E17" s="459" t="s">
        <v>425</v>
      </c>
      <c r="F17" s="121"/>
      <c r="G17" s="383" t="s">
        <v>720</v>
      </c>
      <c r="H17" s="121"/>
      <c r="I17" s="232" t="s">
        <v>738</v>
      </c>
      <c r="J17" s="402" t="s">
        <v>739</v>
      </c>
      <c r="K17" s="384" t="s">
        <v>735</v>
      </c>
      <c r="L17" s="124"/>
      <c r="M17" s="384" t="s">
        <v>431</v>
      </c>
      <c r="N17" s="402" t="s">
        <v>740</v>
      </c>
      <c r="O17" s="124"/>
      <c r="P17" s="124"/>
      <c r="Q17" s="124"/>
      <c r="R17" s="385">
        <v>1</v>
      </c>
      <c r="S17" s="124"/>
      <c r="T17" s="386" t="s">
        <v>433</v>
      </c>
      <c r="U17" s="402" t="s">
        <v>741</v>
      </c>
      <c r="V17" s="124"/>
      <c r="W17" s="124"/>
      <c r="X17" s="307">
        <v>1</v>
      </c>
      <c r="Y17" s="124"/>
      <c r="Z17" s="124"/>
      <c r="AA17" s="307">
        <v>1</v>
      </c>
      <c r="AB17" s="124"/>
      <c r="AC17" s="124"/>
      <c r="AD17" s="307">
        <v>1</v>
      </c>
      <c r="AE17" s="124"/>
      <c r="AF17" s="124"/>
      <c r="AG17" s="307">
        <v>1</v>
      </c>
      <c r="AH17" s="124"/>
      <c r="AI17" s="124"/>
      <c r="AJ17" s="127">
        <v>1</v>
      </c>
      <c r="AK17" s="124"/>
      <c r="AL17" s="124"/>
      <c r="AM17" s="484">
        <v>1</v>
      </c>
      <c r="AN17" s="124"/>
      <c r="AO17" s="124"/>
      <c r="AP17" s="124"/>
      <c r="AQ17" s="124"/>
      <c r="AR17" s="124"/>
      <c r="AS17" s="124"/>
      <c r="AT17" s="484">
        <f t="shared" si="0"/>
        <v>1</v>
      </c>
      <c r="AU17" s="379">
        <f t="shared" si="1"/>
        <v>0.5</v>
      </c>
      <c r="AV17" s="497"/>
      <c r="AW17" s="497"/>
      <c r="AX17" s="487"/>
      <c r="AY17" s="487"/>
    </row>
    <row r="18" spans="1:51" ht="124.5" customHeight="1">
      <c r="A18" s="310"/>
      <c r="B18" s="121"/>
      <c r="C18" s="121"/>
      <c r="D18" s="121"/>
      <c r="E18" s="459" t="s">
        <v>425</v>
      </c>
      <c r="F18" s="121"/>
      <c r="G18" s="383" t="s">
        <v>720</v>
      </c>
      <c r="H18" s="121"/>
      <c r="I18" s="232" t="s">
        <v>742</v>
      </c>
      <c r="J18" s="402" t="s">
        <v>743</v>
      </c>
      <c r="K18" s="384" t="s">
        <v>735</v>
      </c>
      <c r="L18" s="124"/>
      <c r="M18" s="384" t="s">
        <v>431</v>
      </c>
      <c r="N18" s="402" t="s">
        <v>744</v>
      </c>
      <c r="O18" s="124"/>
      <c r="P18" s="124"/>
      <c r="Q18" s="124"/>
      <c r="R18" s="385">
        <v>1</v>
      </c>
      <c r="S18" s="124"/>
      <c r="T18" s="386" t="s">
        <v>433</v>
      </c>
      <c r="U18" s="402" t="s">
        <v>745</v>
      </c>
      <c r="V18" s="124"/>
      <c r="W18" s="124"/>
      <c r="X18" s="307">
        <v>1</v>
      </c>
      <c r="Y18" s="124"/>
      <c r="Z18" s="124"/>
      <c r="AA18" s="307">
        <v>1</v>
      </c>
      <c r="AB18" s="124"/>
      <c r="AC18" s="124"/>
      <c r="AD18" s="307">
        <v>1</v>
      </c>
      <c r="AE18" s="124"/>
      <c r="AF18" s="124"/>
      <c r="AG18" s="307">
        <v>1</v>
      </c>
      <c r="AH18" s="124"/>
      <c r="AI18" s="124"/>
      <c r="AJ18" s="127">
        <v>1</v>
      </c>
      <c r="AK18" s="124"/>
      <c r="AL18" s="124"/>
      <c r="AM18" s="484">
        <v>1</v>
      </c>
      <c r="AN18" s="124"/>
      <c r="AO18" s="124"/>
      <c r="AP18" s="124"/>
      <c r="AQ18" s="124"/>
      <c r="AR18" s="124"/>
      <c r="AS18" s="124"/>
      <c r="AT18" s="484">
        <f t="shared" si="0"/>
        <v>1</v>
      </c>
      <c r="AU18" s="379">
        <f t="shared" si="1"/>
        <v>0.5</v>
      </c>
      <c r="AV18" s="497"/>
      <c r="AW18" s="497"/>
      <c r="AX18" s="487"/>
      <c r="AY18" s="487"/>
    </row>
    <row r="19" spans="1:51" ht="124.5" customHeight="1">
      <c r="A19" s="310"/>
      <c r="B19" s="121"/>
      <c r="C19" s="121"/>
      <c r="D19" s="121"/>
      <c r="E19" s="459" t="s">
        <v>425</v>
      </c>
      <c r="F19" s="121"/>
      <c r="G19" s="383" t="s">
        <v>720</v>
      </c>
      <c r="H19" s="121"/>
      <c r="I19" s="122" t="s">
        <v>746</v>
      </c>
      <c r="J19" s="402" t="s">
        <v>747</v>
      </c>
      <c r="K19" s="384" t="s">
        <v>430</v>
      </c>
      <c r="L19" s="124"/>
      <c r="M19" s="384" t="s">
        <v>431</v>
      </c>
      <c r="N19" s="402" t="s">
        <v>748</v>
      </c>
      <c r="O19" s="124"/>
      <c r="P19" s="124"/>
      <c r="Q19" s="124"/>
      <c r="R19" s="385">
        <v>1</v>
      </c>
      <c r="S19" s="124"/>
      <c r="T19" s="386" t="s">
        <v>433</v>
      </c>
      <c r="U19" s="402" t="s">
        <v>749</v>
      </c>
      <c r="V19" s="124"/>
      <c r="W19" s="124"/>
      <c r="X19" s="307">
        <v>0.25</v>
      </c>
      <c r="Y19" s="124"/>
      <c r="Z19" s="124"/>
      <c r="AA19" s="307">
        <v>0.25</v>
      </c>
      <c r="AB19" s="124"/>
      <c r="AC19" s="124"/>
      <c r="AD19" s="307">
        <v>0.25</v>
      </c>
      <c r="AE19" s="124"/>
      <c r="AF19" s="124"/>
      <c r="AG19" s="307">
        <v>0.25</v>
      </c>
      <c r="AH19" s="124"/>
      <c r="AI19" s="124"/>
      <c r="AJ19" s="127">
        <v>0.25</v>
      </c>
      <c r="AK19" s="124"/>
      <c r="AL19" s="124"/>
      <c r="AM19" s="484">
        <v>0.25</v>
      </c>
      <c r="AN19" s="124"/>
      <c r="AO19" s="124"/>
      <c r="AP19" s="124"/>
      <c r="AQ19" s="124"/>
      <c r="AR19" s="124"/>
      <c r="AS19" s="124"/>
      <c r="AT19" s="127">
        <f>SUM(AH19:AS19)</f>
        <v>0.5</v>
      </c>
      <c r="AU19" s="379">
        <f>+AT19/R19</f>
        <v>0.5</v>
      </c>
      <c r="AV19" s="497"/>
      <c r="AW19" s="497"/>
      <c r="AX19" s="487"/>
      <c r="AY19" s="487"/>
    </row>
    <row r="20" spans="1:51" ht="54" customHeight="1">
      <c r="A20" s="781" t="s">
        <v>64</v>
      </c>
      <c r="B20" s="781"/>
      <c r="C20" s="781"/>
      <c r="D20" s="777" t="s">
        <v>66</v>
      </c>
      <c r="E20" s="777"/>
      <c r="F20" s="777"/>
      <c r="G20" s="777"/>
      <c r="H20" s="777"/>
      <c r="I20" s="777"/>
      <c r="J20" s="782" t="s">
        <v>300</v>
      </c>
      <c r="K20" s="782"/>
      <c r="L20" s="782"/>
      <c r="M20" s="782"/>
      <c r="N20" s="782"/>
      <c r="O20" s="782"/>
      <c r="P20" s="777" t="s">
        <v>66</v>
      </c>
      <c r="Q20" s="777"/>
      <c r="R20" s="777"/>
      <c r="S20" s="777"/>
      <c r="T20" s="777"/>
      <c r="U20" s="777"/>
      <c r="V20" s="777" t="s">
        <v>66</v>
      </c>
      <c r="W20" s="777"/>
      <c r="X20" s="777"/>
      <c r="Y20" s="777"/>
      <c r="Z20" s="777"/>
      <c r="AA20" s="777"/>
      <c r="AB20" s="777"/>
      <c r="AC20" s="777"/>
      <c r="AD20" s="777" t="s">
        <v>66</v>
      </c>
      <c r="AE20" s="777"/>
      <c r="AF20" s="777"/>
      <c r="AG20" s="777"/>
      <c r="AH20" s="777"/>
      <c r="AI20" s="777"/>
      <c r="AJ20" s="777"/>
      <c r="AK20" s="777"/>
      <c r="AL20" s="777"/>
      <c r="AM20" s="777"/>
      <c r="AN20" s="777"/>
      <c r="AO20" s="777"/>
      <c r="AP20" s="782" t="s">
        <v>318</v>
      </c>
      <c r="AQ20" s="782"/>
      <c r="AR20" s="782"/>
      <c r="AS20" s="782"/>
      <c r="AT20" s="777" t="s">
        <v>13</v>
      </c>
      <c r="AU20" s="777"/>
      <c r="AV20" s="777"/>
      <c r="AW20" s="777"/>
      <c r="AX20" s="777"/>
      <c r="AY20" s="777"/>
    </row>
    <row r="21" spans="1:51" ht="30" customHeight="1">
      <c r="A21" s="781"/>
      <c r="B21" s="781"/>
      <c r="C21" s="781"/>
      <c r="D21" s="777" t="s">
        <v>803</v>
      </c>
      <c r="E21" s="777"/>
      <c r="F21" s="777"/>
      <c r="G21" s="777"/>
      <c r="H21" s="777"/>
      <c r="I21" s="777"/>
      <c r="J21" s="782"/>
      <c r="K21" s="782"/>
      <c r="L21" s="782"/>
      <c r="M21" s="782"/>
      <c r="N21" s="782"/>
      <c r="O21" s="782"/>
      <c r="P21" s="777" t="s">
        <v>805</v>
      </c>
      <c r="Q21" s="777"/>
      <c r="R21" s="777"/>
      <c r="S21" s="777"/>
      <c r="T21" s="777"/>
      <c r="U21" s="777"/>
      <c r="V21" s="777" t="s">
        <v>65</v>
      </c>
      <c r="W21" s="777"/>
      <c r="X21" s="777"/>
      <c r="Y21" s="777"/>
      <c r="Z21" s="777"/>
      <c r="AA21" s="777"/>
      <c r="AB21" s="777"/>
      <c r="AC21" s="777"/>
      <c r="AD21" s="777" t="s">
        <v>65</v>
      </c>
      <c r="AE21" s="777"/>
      <c r="AF21" s="777"/>
      <c r="AG21" s="777"/>
      <c r="AH21" s="777"/>
      <c r="AI21" s="777"/>
      <c r="AJ21" s="777"/>
      <c r="AK21" s="777"/>
      <c r="AL21" s="777"/>
      <c r="AM21" s="777"/>
      <c r="AN21" s="777"/>
      <c r="AO21" s="777"/>
      <c r="AP21" s="782"/>
      <c r="AQ21" s="782"/>
      <c r="AR21" s="782"/>
      <c r="AS21" s="782"/>
      <c r="AT21" s="777" t="s">
        <v>771</v>
      </c>
      <c r="AU21" s="777"/>
      <c r="AV21" s="777"/>
      <c r="AW21" s="777"/>
      <c r="AX21" s="777"/>
      <c r="AY21" s="777"/>
    </row>
    <row r="22" spans="1:51" ht="30" customHeight="1">
      <c r="A22" s="781"/>
      <c r="B22" s="781"/>
      <c r="C22" s="781"/>
      <c r="D22" s="777" t="s">
        <v>804</v>
      </c>
      <c r="E22" s="777"/>
      <c r="F22" s="777"/>
      <c r="G22" s="777"/>
      <c r="H22" s="777"/>
      <c r="I22" s="777"/>
      <c r="J22" s="782"/>
      <c r="K22" s="782"/>
      <c r="L22" s="782"/>
      <c r="M22" s="782"/>
      <c r="N22" s="782"/>
      <c r="O22" s="782"/>
      <c r="P22" s="777" t="s">
        <v>806</v>
      </c>
      <c r="Q22" s="777"/>
      <c r="R22" s="777"/>
      <c r="S22" s="777"/>
      <c r="T22" s="777"/>
      <c r="U22" s="777"/>
      <c r="V22" s="777" t="s">
        <v>297</v>
      </c>
      <c r="W22" s="777"/>
      <c r="X22" s="777"/>
      <c r="Y22" s="777"/>
      <c r="Z22" s="777"/>
      <c r="AA22" s="777"/>
      <c r="AB22" s="777"/>
      <c r="AC22" s="777"/>
      <c r="AD22" s="777" t="s">
        <v>297</v>
      </c>
      <c r="AE22" s="777"/>
      <c r="AF22" s="777"/>
      <c r="AG22" s="777"/>
      <c r="AH22" s="777"/>
      <c r="AI22" s="777"/>
      <c r="AJ22" s="777"/>
      <c r="AK22" s="777"/>
      <c r="AL22" s="777"/>
      <c r="AM22" s="777"/>
      <c r="AN22" s="777"/>
      <c r="AO22" s="777"/>
      <c r="AP22" s="782"/>
      <c r="AQ22" s="782"/>
      <c r="AR22" s="782"/>
      <c r="AS22" s="782"/>
      <c r="AT22" s="777" t="s">
        <v>75</v>
      </c>
      <c r="AU22" s="777"/>
      <c r="AV22" s="777"/>
      <c r="AW22" s="777"/>
      <c r="AX22" s="777"/>
      <c r="AY22" s="777"/>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paperSize="5" scale="24" r:id="rId3"/>
  <legacyDrawing r:id="rId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148" t="s">
        <v>20</v>
      </c>
      <c r="D1" s="1148"/>
      <c r="E1" s="1148"/>
      <c r="F1" s="1148"/>
      <c r="G1" s="1149" t="s">
        <v>22</v>
      </c>
      <c r="H1" s="1150"/>
      <c r="I1" s="1150"/>
      <c r="J1" s="1151"/>
      <c r="K1" s="1147" t="s">
        <v>23</v>
      </c>
      <c r="L1" s="1147"/>
      <c r="M1" s="1147"/>
      <c r="N1" s="1147"/>
    </row>
    <row r="2" spans="3:14" ht="15">
      <c r="C2" s="5"/>
      <c r="D2" s="5"/>
      <c r="E2" s="5"/>
      <c r="F2" s="5" t="s">
        <v>21</v>
      </c>
      <c r="G2" s="31"/>
      <c r="H2" s="5"/>
      <c r="I2" s="5"/>
      <c r="J2" s="32" t="s">
        <v>21</v>
      </c>
      <c r="K2" s="5"/>
      <c r="L2" s="5"/>
      <c r="M2" s="5"/>
      <c r="N2" s="5" t="s">
        <v>21</v>
      </c>
    </row>
    <row r="3" spans="1:14" ht="15">
      <c r="A3" s="1146"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146"/>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146"/>
      <c r="B5" s="6">
        <v>3</v>
      </c>
      <c r="C5" s="7">
        <v>0.05</v>
      </c>
      <c r="D5" s="7">
        <v>0.05</v>
      </c>
      <c r="E5" s="7">
        <v>0.1</v>
      </c>
      <c r="F5" s="8">
        <f>(C5+D5+E5)</f>
        <v>0.2</v>
      </c>
      <c r="G5" s="33">
        <v>0.1</v>
      </c>
      <c r="H5" s="7">
        <v>0.1</v>
      </c>
      <c r="I5" s="7">
        <v>0.1</v>
      </c>
      <c r="J5" s="34">
        <f>(G5+H5+I5)</f>
        <v>0.30000000000000004</v>
      </c>
      <c r="K5" s="25"/>
      <c r="L5" s="6"/>
      <c r="M5" s="6"/>
      <c r="N5" s="6"/>
    </row>
    <row r="6" spans="1:14" ht="15">
      <c r="A6" s="1146"/>
      <c r="B6" s="6">
        <v>4</v>
      </c>
      <c r="C6" s="7">
        <v>0.1</v>
      </c>
      <c r="D6" s="7">
        <v>0.1</v>
      </c>
      <c r="E6" s="7">
        <v>0.2</v>
      </c>
      <c r="F6" s="8">
        <f>(C6+D6+E6)</f>
        <v>0.4</v>
      </c>
      <c r="G6" s="33">
        <v>0</v>
      </c>
      <c r="H6" s="7">
        <v>0</v>
      </c>
      <c r="I6" s="7">
        <v>0.1</v>
      </c>
      <c r="J6" s="34">
        <f>(G6+H6+I6)</f>
        <v>0.1</v>
      </c>
      <c r="K6" s="25"/>
      <c r="L6" s="6"/>
      <c r="M6" s="6"/>
      <c r="N6" s="6"/>
    </row>
    <row r="7" spans="1:14" ht="15">
      <c r="A7" s="1146"/>
      <c r="B7" s="6">
        <v>5</v>
      </c>
      <c r="C7" s="7">
        <v>0</v>
      </c>
      <c r="D7" s="7">
        <v>0</v>
      </c>
      <c r="E7" s="7">
        <v>0</v>
      </c>
      <c r="F7" s="8">
        <f>(C7+D7+E7)</f>
        <v>0</v>
      </c>
      <c r="G7" s="33">
        <v>0</v>
      </c>
      <c r="H7" s="7">
        <v>0</v>
      </c>
      <c r="I7" s="7">
        <v>0</v>
      </c>
      <c r="J7" s="34">
        <f>(G7+H7+I7)</f>
        <v>0</v>
      </c>
      <c r="K7" s="25"/>
      <c r="L7" s="6"/>
      <c r="M7" s="6"/>
      <c r="N7" s="6"/>
    </row>
    <row r="8" spans="1:14" ht="15">
      <c r="A8" s="1146" t="s">
        <v>25</v>
      </c>
      <c r="B8" s="10">
        <v>6</v>
      </c>
      <c r="C8" s="11">
        <v>0.1</v>
      </c>
      <c r="D8" s="11">
        <v>0.1</v>
      </c>
      <c r="E8" s="11">
        <v>0.1</v>
      </c>
      <c r="F8" s="12">
        <f>C8+D8+E8</f>
        <v>0.30000000000000004</v>
      </c>
      <c r="G8" s="35"/>
      <c r="H8" s="10"/>
      <c r="I8" s="10"/>
      <c r="J8" s="36"/>
      <c r="K8" s="26"/>
      <c r="L8" s="10"/>
      <c r="M8" s="10"/>
      <c r="N8" s="10"/>
    </row>
    <row r="9" spans="1:14" ht="15">
      <c r="A9" s="1146"/>
      <c r="B9" s="10">
        <v>7</v>
      </c>
      <c r="C9" s="10"/>
      <c r="D9" s="10"/>
      <c r="E9" s="10"/>
      <c r="F9" s="20"/>
      <c r="G9" s="37"/>
      <c r="H9" s="10"/>
      <c r="I9" s="10"/>
      <c r="J9" s="36"/>
      <c r="K9" s="26"/>
      <c r="L9" s="10"/>
      <c r="M9" s="10"/>
      <c r="N9" s="10"/>
    </row>
    <row r="10" spans="1:14" ht="15">
      <c r="A10" s="1146"/>
      <c r="B10" s="10">
        <v>8</v>
      </c>
      <c r="C10" s="10"/>
      <c r="D10" s="10"/>
      <c r="E10" s="10"/>
      <c r="F10" s="20"/>
      <c r="G10" s="37"/>
      <c r="H10" s="10"/>
      <c r="I10" s="10"/>
      <c r="J10" s="36"/>
      <c r="K10" s="26"/>
      <c r="L10" s="10"/>
      <c r="M10" s="10"/>
      <c r="N10" s="10"/>
    </row>
    <row r="11" spans="1:14" ht="15">
      <c r="A11" s="1146"/>
      <c r="B11" s="10">
        <v>9</v>
      </c>
      <c r="C11" s="10"/>
      <c r="D11" s="10"/>
      <c r="E11" s="10"/>
      <c r="F11" s="20"/>
      <c r="G11" s="37"/>
      <c r="H11" s="10"/>
      <c r="I11" s="10"/>
      <c r="J11" s="36"/>
      <c r="K11" s="26"/>
      <c r="L11" s="10"/>
      <c r="M11" s="10"/>
      <c r="N11" s="10"/>
    </row>
    <row r="12" spans="1:14" ht="15">
      <c r="A12" s="1146" t="s">
        <v>26</v>
      </c>
      <c r="B12" s="15">
        <v>10</v>
      </c>
      <c r="C12" s="15"/>
      <c r="D12" s="15"/>
      <c r="E12" s="15"/>
      <c r="F12" s="21"/>
      <c r="G12" s="38"/>
      <c r="H12" s="15"/>
      <c r="I12" s="15"/>
      <c r="J12" s="39"/>
      <c r="K12" s="27"/>
      <c r="L12" s="15"/>
      <c r="M12" s="15"/>
      <c r="N12" s="15"/>
    </row>
    <row r="13" spans="1:14" ht="15">
      <c r="A13" s="1146"/>
      <c r="B13" s="15">
        <v>11</v>
      </c>
      <c r="C13" s="15"/>
      <c r="D13" s="15"/>
      <c r="E13" s="15"/>
      <c r="F13" s="21"/>
      <c r="G13" s="38"/>
      <c r="H13" s="15"/>
      <c r="I13" s="15"/>
      <c r="J13" s="39"/>
      <c r="K13" s="27"/>
      <c r="L13" s="15"/>
      <c r="M13" s="15"/>
      <c r="N13" s="15"/>
    </row>
    <row r="14" spans="1:14" ht="15">
      <c r="A14" s="1146"/>
      <c r="B14" s="15">
        <v>12</v>
      </c>
      <c r="C14" s="15"/>
      <c r="D14" s="15"/>
      <c r="E14" s="15"/>
      <c r="F14" s="21"/>
      <c r="G14" s="38"/>
      <c r="H14" s="15"/>
      <c r="I14" s="15"/>
      <c r="J14" s="39"/>
      <c r="K14" s="27"/>
      <c r="L14" s="15"/>
      <c r="M14" s="15"/>
      <c r="N14" s="15"/>
    </row>
    <row r="15" spans="1:14" ht="15">
      <c r="A15" s="1146"/>
      <c r="B15" s="15">
        <v>13</v>
      </c>
      <c r="C15" s="15"/>
      <c r="D15" s="15"/>
      <c r="E15" s="15"/>
      <c r="F15" s="21"/>
      <c r="G15" s="38"/>
      <c r="H15" s="15"/>
      <c r="I15" s="15"/>
      <c r="J15" s="39"/>
      <c r="K15" s="27"/>
      <c r="L15" s="15"/>
      <c r="M15" s="15"/>
      <c r="N15" s="15"/>
    </row>
    <row r="16" spans="1:14" ht="15">
      <c r="A16" s="1146" t="s">
        <v>27</v>
      </c>
      <c r="B16" s="16">
        <v>14</v>
      </c>
      <c r="C16" s="16"/>
      <c r="D16" s="16"/>
      <c r="E16" s="16"/>
      <c r="F16" s="22"/>
      <c r="G16" s="40"/>
      <c r="H16" s="16"/>
      <c r="I16" s="16"/>
      <c r="J16" s="41"/>
      <c r="K16" s="28"/>
      <c r="L16" s="16"/>
      <c r="M16" s="16"/>
      <c r="N16" s="16"/>
    </row>
    <row r="17" spans="1:14" ht="15">
      <c r="A17" s="1146"/>
      <c r="B17" s="16">
        <v>15</v>
      </c>
      <c r="C17" s="16"/>
      <c r="D17" s="16"/>
      <c r="E17" s="16"/>
      <c r="F17" s="22"/>
      <c r="G17" s="40"/>
      <c r="H17" s="16"/>
      <c r="I17" s="16"/>
      <c r="J17" s="41"/>
      <c r="K17" s="28"/>
      <c r="L17" s="16"/>
      <c r="M17" s="16"/>
      <c r="N17" s="16"/>
    </row>
    <row r="18" spans="1:14" ht="15">
      <c r="A18" s="1146"/>
      <c r="B18" s="16">
        <v>16</v>
      </c>
      <c r="C18" s="16"/>
      <c r="D18" s="16"/>
      <c r="E18" s="16"/>
      <c r="F18" s="22"/>
      <c r="G18" s="40"/>
      <c r="H18" s="16"/>
      <c r="I18" s="16"/>
      <c r="J18" s="41"/>
      <c r="K18" s="28"/>
      <c r="L18" s="16"/>
      <c r="M18" s="16"/>
      <c r="N18" s="16"/>
    </row>
    <row r="19" spans="1:14" ht="15">
      <c r="A19" s="1146" t="s">
        <v>28</v>
      </c>
      <c r="B19" s="19">
        <v>17</v>
      </c>
      <c r="C19" s="19"/>
      <c r="D19" s="19"/>
      <c r="E19" s="19"/>
      <c r="F19" s="23"/>
      <c r="G19" s="42"/>
      <c r="H19" s="19"/>
      <c r="I19" s="19"/>
      <c r="J19" s="43"/>
      <c r="K19" s="29"/>
      <c r="L19" s="19"/>
      <c r="M19" s="19"/>
      <c r="N19" s="19"/>
    </row>
    <row r="20" spans="1:14" ht="15">
      <c r="A20" s="1146"/>
      <c r="B20" s="19">
        <v>18</v>
      </c>
      <c r="C20" s="19"/>
      <c r="D20" s="19"/>
      <c r="E20" s="19"/>
      <c r="F20" s="23"/>
      <c r="G20" s="42"/>
      <c r="H20" s="19"/>
      <c r="I20" s="19"/>
      <c r="J20" s="43"/>
      <c r="K20" s="29"/>
      <c r="L20" s="19"/>
      <c r="M20" s="19"/>
      <c r="N20" s="19"/>
    </row>
    <row r="21" spans="1:14" ht="15">
      <c r="A21" s="1146"/>
      <c r="B21" s="19">
        <v>19</v>
      </c>
      <c r="C21" s="19"/>
      <c r="D21" s="19"/>
      <c r="E21" s="19"/>
      <c r="F21" s="23"/>
      <c r="G21" s="42"/>
      <c r="H21" s="19"/>
      <c r="I21" s="19"/>
      <c r="J21" s="43"/>
      <c r="K21" s="29"/>
      <c r="L21" s="19"/>
      <c r="M21" s="19"/>
      <c r="N21" s="19"/>
    </row>
    <row r="22" spans="1:14" ht="15">
      <c r="A22" s="1146"/>
      <c r="B22" s="19">
        <v>20</v>
      </c>
      <c r="C22" s="19"/>
      <c r="D22" s="19"/>
      <c r="E22" s="19"/>
      <c r="F22" s="23"/>
      <c r="G22" s="42"/>
      <c r="H22" s="19"/>
      <c r="I22" s="19"/>
      <c r="J22" s="43"/>
      <c r="K22" s="29"/>
      <c r="L22" s="19"/>
      <c r="M22" s="19"/>
      <c r="N22" s="19"/>
    </row>
    <row r="23" spans="1:14" ht="15">
      <c r="A23" s="1146" t="s">
        <v>29</v>
      </c>
      <c r="B23" s="14">
        <v>21</v>
      </c>
      <c r="C23" s="14"/>
      <c r="D23" s="14"/>
      <c r="E23" s="14"/>
      <c r="F23" s="24"/>
      <c r="G23" s="44"/>
      <c r="H23" s="14"/>
      <c r="I23" s="14"/>
      <c r="J23" s="45"/>
      <c r="K23" s="30"/>
      <c r="L23" s="14"/>
      <c r="M23" s="14"/>
      <c r="N23" s="14"/>
    </row>
    <row r="24" spans="1:14" ht="15">
      <c r="A24" s="1146"/>
      <c r="B24" s="14">
        <v>22</v>
      </c>
      <c r="C24" s="14"/>
      <c r="D24" s="14"/>
      <c r="E24" s="14"/>
      <c r="F24" s="24"/>
      <c r="G24" s="44"/>
      <c r="H24" s="14"/>
      <c r="I24" s="14"/>
      <c r="J24" s="45"/>
      <c r="K24" s="30"/>
      <c r="L24" s="14"/>
      <c r="M24" s="14"/>
      <c r="N24" s="14"/>
    </row>
    <row r="25" spans="1:14" ht="15">
      <c r="A25" s="1146"/>
      <c r="B25" s="14">
        <v>23</v>
      </c>
      <c r="C25" s="14"/>
      <c r="D25" s="14"/>
      <c r="E25" s="14"/>
      <c r="F25" s="24"/>
      <c r="G25" s="44"/>
      <c r="H25" s="14"/>
      <c r="I25" s="14"/>
      <c r="J25" s="45"/>
      <c r="K25" s="30"/>
      <c r="L25" s="14"/>
      <c r="M25" s="14"/>
      <c r="N25" s="14"/>
    </row>
    <row r="26" spans="1:14" ht="15">
      <c r="A26" s="1146"/>
      <c r="B26" s="14">
        <v>24</v>
      </c>
      <c r="C26" s="14"/>
      <c r="D26" s="14"/>
      <c r="E26" s="14"/>
      <c r="F26" s="24"/>
      <c r="G26" s="44"/>
      <c r="H26" s="14"/>
      <c r="I26" s="14"/>
      <c r="J26" s="45"/>
      <c r="K26" s="30"/>
      <c r="L26" s="14"/>
      <c r="M26" s="14"/>
      <c r="N26" s="14"/>
    </row>
    <row r="27" spans="1:14" ht="15">
      <c r="A27" s="1146" t="s">
        <v>30</v>
      </c>
      <c r="B27" s="10">
        <v>25</v>
      </c>
      <c r="C27" s="10"/>
      <c r="D27" s="10"/>
      <c r="E27" s="10"/>
      <c r="F27" s="10"/>
      <c r="G27" s="10"/>
      <c r="H27" s="10"/>
      <c r="I27" s="10"/>
      <c r="J27" s="10"/>
      <c r="K27" s="10"/>
      <c r="L27" s="10"/>
      <c r="M27" s="10"/>
      <c r="N27" s="10"/>
    </row>
    <row r="28" spans="1:14" ht="15">
      <c r="A28" s="1146"/>
      <c r="B28" s="10">
        <v>26</v>
      </c>
      <c r="C28" s="10"/>
      <c r="D28" s="10"/>
      <c r="E28" s="10"/>
      <c r="F28" s="10"/>
      <c r="G28" s="10"/>
      <c r="H28" s="10"/>
      <c r="I28" s="10"/>
      <c r="J28" s="10"/>
      <c r="K28" s="10"/>
      <c r="L28" s="10"/>
      <c r="M28" s="10"/>
      <c r="N28" s="10"/>
    </row>
    <row r="29" spans="1:14" ht="15">
      <c r="A29" s="1146"/>
      <c r="B29" s="10">
        <v>27</v>
      </c>
      <c r="C29" s="10"/>
      <c r="D29" s="10"/>
      <c r="E29" s="10"/>
      <c r="F29" s="10"/>
      <c r="G29" s="10"/>
      <c r="H29" s="10"/>
      <c r="I29" s="10"/>
      <c r="J29" s="10"/>
      <c r="K29" s="10"/>
      <c r="L29" s="10"/>
      <c r="M29" s="10"/>
      <c r="N29" s="10"/>
    </row>
    <row r="30" spans="1:14" ht="15">
      <c r="A30" s="1146"/>
      <c r="B30" s="10">
        <v>28</v>
      </c>
      <c r="C30" s="10"/>
      <c r="D30" s="10"/>
      <c r="E30" s="10"/>
      <c r="F30" s="10"/>
      <c r="G30" s="10"/>
      <c r="H30" s="10"/>
      <c r="I30" s="10"/>
      <c r="J30" s="10"/>
      <c r="K30" s="10"/>
      <c r="L30" s="10"/>
      <c r="M30" s="10"/>
      <c r="N30" s="10"/>
    </row>
    <row r="31" spans="1:14" ht="15">
      <c r="A31" s="1146"/>
      <c r="B31" s="10">
        <v>29</v>
      </c>
      <c r="C31" s="10"/>
      <c r="D31" s="10"/>
      <c r="E31" s="10"/>
      <c r="F31" s="10"/>
      <c r="G31" s="10"/>
      <c r="H31" s="10"/>
      <c r="I31" s="10"/>
      <c r="J31" s="10"/>
      <c r="K31" s="10"/>
      <c r="L31" s="10"/>
      <c r="M31" s="10"/>
      <c r="N31" s="10"/>
    </row>
    <row r="32" spans="1:14" ht="15">
      <c r="A32" s="1146" t="s">
        <v>31</v>
      </c>
      <c r="B32" s="17">
        <v>30</v>
      </c>
      <c r="C32" s="17"/>
      <c r="D32" s="17"/>
      <c r="E32" s="17"/>
      <c r="F32" s="17"/>
      <c r="G32" s="17"/>
      <c r="H32" s="17"/>
      <c r="I32" s="17"/>
      <c r="J32" s="17"/>
      <c r="K32" s="17"/>
      <c r="L32" s="17"/>
      <c r="M32" s="17"/>
      <c r="N32" s="17"/>
    </row>
    <row r="33" spans="1:14" ht="15">
      <c r="A33" s="1146"/>
      <c r="B33" s="17">
        <v>31</v>
      </c>
      <c r="C33" s="17"/>
      <c r="D33" s="17"/>
      <c r="E33" s="17"/>
      <c r="F33" s="17"/>
      <c r="G33" s="17"/>
      <c r="H33" s="17"/>
      <c r="I33" s="17"/>
      <c r="J33" s="17"/>
      <c r="K33" s="17"/>
      <c r="L33" s="17"/>
      <c r="M33" s="17"/>
      <c r="N33" s="17"/>
    </row>
    <row r="34" spans="1:14" ht="15">
      <c r="A34" s="1146"/>
      <c r="B34" s="17">
        <v>32</v>
      </c>
      <c r="C34" s="17"/>
      <c r="D34" s="17"/>
      <c r="E34" s="17"/>
      <c r="F34" s="17"/>
      <c r="G34" s="17"/>
      <c r="H34" s="17"/>
      <c r="I34" s="17"/>
      <c r="J34" s="17"/>
      <c r="K34" s="17"/>
      <c r="L34" s="17"/>
      <c r="M34" s="17"/>
      <c r="N34" s="17"/>
    </row>
    <row r="35" spans="1:14" ht="15">
      <c r="A35" s="1146" t="s">
        <v>32</v>
      </c>
      <c r="B35" s="18">
        <v>33</v>
      </c>
      <c r="C35" s="15"/>
      <c r="D35" s="15"/>
      <c r="E35" s="15"/>
      <c r="F35" s="15"/>
      <c r="G35" s="15"/>
      <c r="H35" s="15"/>
      <c r="I35" s="15"/>
      <c r="J35" s="15"/>
      <c r="K35" s="15"/>
      <c r="L35" s="15"/>
      <c r="M35" s="15"/>
      <c r="N35" s="15"/>
    </row>
    <row r="36" spans="1:14" ht="15">
      <c r="A36" s="1146"/>
      <c r="B36" s="15">
        <v>34</v>
      </c>
      <c r="C36" s="15"/>
      <c r="D36" s="15"/>
      <c r="E36" s="15"/>
      <c r="F36" s="15"/>
      <c r="G36" s="15"/>
      <c r="H36" s="15"/>
      <c r="I36" s="15"/>
      <c r="J36" s="15"/>
      <c r="K36" s="15"/>
      <c r="L36" s="15"/>
      <c r="M36" s="15"/>
      <c r="N36" s="15"/>
    </row>
    <row r="37" spans="1:14" ht="15">
      <c r="A37" s="1146"/>
      <c r="B37" s="46">
        <v>35</v>
      </c>
      <c r="C37" s="15"/>
      <c r="D37" s="15"/>
      <c r="E37" s="15"/>
      <c r="F37" s="15"/>
      <c r="G37" s="15"/>
      <c r="H37" s="15"/>
      <c r="I37" s="15"/>
      <c r="J37" s="15"/>
      <c r="K37" s="15"/>
      <c r="L37" s="15"/>
      <c r="M37" s="15"/>
      <c r="N37" s="15"/>
    </row>
    <row r="38" spans="1:14" ht="15">
      <c r="A38" s="1146" t="s">
        <v>33</v>
      </c>
      <c r="B38" s="9">
        <v>36</v>
      </c>
      <c r="C38" s="9"/>
      <c r="D38" s="9"/>
      <c r="E38" s="9"/>
      <c r="F38" s="9"/>
      <c r="G38" s="9"/>
      <c r="H38" s="9"/>
      <c r="I38" s="9"/>
      <c r="J38" s="9"/>
      <c r="K38" s="9"/>
      <c r="L38" s="9"/>
      <c r="M38" s="9"/>
      <c r="N38" s="9"/>
    </row>
    <row r="39" spans="1:14" ht="15">
      <c r="A39" s="1146"/>
      <c r="B39" s="9">
        <v>37</v>
      </c>
      <c r="C39" s="9"/>
      <c r="D39" s="9"/>
      <c r="E39" s="9"/>
      <c r="F39" s="9"/>
      <c r="G39" s="9"/>
      <c r="H39" s="9"/>
      <c r="I39" s="9"/>
      <c r="J39" s="9"/>
      <c r="K39" s="9"/>
      <c r="L39" s="9"/>
      <c r="M39" s="9"/>
      <c r="N39" s="9"/>
    </row>
    <row r="40" spans="1:14" ht="15">
      <c r="A40" s="1146"/>
      <c r="B40" s="9">
        <v>38</v>
      </c>
      <c r="C40" s="9"/>
      <c r="D40" s="9"/>
      <c r="E40" s="9"/>
      <c r="F40" s="9"/>
      <c r="G40" s="9"/>
      <c r="H40" s="9"/>
      <c r="I40" s="9"/>
      <c r="J40" s="9"/>
      <c r="K40" s="9"/>
      <c r="L40" s="9"/>
      <c r="M40" s="9"/>
      <c r="N40" s="9"/>
    </row>
    <row r="41" spans="1:14" ht="15">
      <c r="A41" s="1152" t="s">
        <v>34</v>
      </c>
      <c r="B41" s="47">
        <v>39</v>
      </c>
      <c r="C41" s="48"/>
      <c r="D41" s="48"/>
      <c r="E41" s="48"/>
      <c r="F41" s="48"/>
      <c r="G41" s="48"/>
      <c r="H41" s="48"/>
      <c r="I41" s="48"/>
      <c r="J41" s="48"/>
      <c r="K41" s="48"/>
      <c r="L41" s="48"/>
      <c r="M41" s="48"/>
      <c r="N41" s="48"/>
    </row>
    <row r="42" spans="1:14" ht="15">
      <c r="A42" s="1152"/>
      <c r="B42" s="48">
        <v>40</v>
      </c>
      <c r="C42" s="48"/>
      <c r="D42" s="48"/>
      <c r="E42" s="48"/>
      <c r="F42" s="48"/>
      <c r="G42" s="48"/>
      <c r="H42" s="48"/>
      <c r="I42" s="48"/>
      <c r="J42" s="48"/>
      <c r="K42" s="48"/>
      <c r="L42" s="48"/>
      <c r="M42" s="48"/>
      <c r="N42" s="48"/>
    </row>
    <row r="43" spans="1:14" ht="15">
      <c r="A43" s="1152"/>
      <c r="B43" s="48">
        <v>41</v>
      </c>
      <c r="C43" s="48"/>
      <c r="D43" s="48"/>
      <c r="E43" s="48"/>
      <c r="F43" s="48"/>
      <c r="G43" s="48"/>
      <c r="H43" s="48"/>
      <c r="I43" s="48"/>
      <c r="J43" s="48"/>
      <c r="K43" s="48"/>
      <c r="L43" s="48"/>
      <c r="M43" s="48"/>
      <c r="N43" s="48"/>
    </row>
    <row r="44" spans="1:14" ht="15">
      <c r="A44" s="1152"/>
      <c r="B44" s="49">
        <v>42</v>
      </c>
      <c r="C44" s="48"/>
      <c r="D44" s="48"/>
      <c r="E44" s="48"/>
      <c r="F44" s="48"/>
      <c r="G44" s="48"/>
      <c r="H44" s="48"/>
      <c r="I44" s="48"/>
      <c r="J44" s="48"/>
      <c r="K44" s="48"/>
      <c r="L44" s="48"/>
      <c r="M44" s="48"/>
      <c r="N44" s="48"/>
    </row>
    <row r="45" spans="1:14" ht="15">
      <c r="A45" s="1153" t="s">
        <v>35</v>
      </c>
      <c r="B45" s="13">
        <v>43</v>
      </c>
      <c r="C45" s="13"/>
      <c r="D45" s="13"/>
      <c r="E45" s="13"/>
      <c r="F45" s="13"/>
      <c r="G45" s="13"/>
      <c r="H45" s="13"/>
      <c r="I45" s="13"/>
      <c r="J45" s="13"/>
      <c r="K45" s="13"/>
      <c r="L45" s="13"/>
      <c r="M45" s="13"/>
      <c r="N45" s="13"/>
    </row>
    <row r="46" spans="1:14" ht="15">
      <c r="A46" s="1153"/>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760" t="s">
        <v>16</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2"/>
      <c r="AX1" s="709" t="s">
        <v>423</v>
      </c>
      <c r="AY1" s="710"/>
    </row>
    <row r="2" spans="1:51" ht="15.75" customHeight="1">
      <c r="A2" s="769" t="s">
        <v>17</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1"/>
      <c r="AX2" s="757" t="s">
        <v>418</v>
      </c>
      <c r="AY2" s="758"/>
    </row>
    <row r="3" spans="1:51" ht="15" customHeight="1">
      <c r="A3" s="772" t="s">
        <v>195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4"/>
      <c r="AX3" s="757" t="s">
        <v>424</v>
      </c>
      <c r="AY3" s="758"/>
    </row>
    <row r="4" spans="1:51" ht="15.75" customHeight="1">
      <c r="A4" s="760"/>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2"/>
      <c r="AX4" s="759" t="s">
        <v>176</v>
      </c>
      <c r="AY4" s="759"/>
    </row>
    <row r="5" spans="1:51" ht="15" customHeight="1">
      <c r="A5" s="763" t="s">
        <v>174</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5"/>
      <c r="AH5" s="788" t="s">
        <v>69</v>
      </c>
      <c r="AI5" s="789"/>
      <c r="AJ5" s="789"/>
      <c r="AK5" s="789"/>
      <c r="AL5" s="789"/>
      <c r="AM5" s="789"/>
      <c r="AN5" s="789"/>
      <c r="AO5" s="789"/>
      <c r="AP5" s="789"/>
      <c r="AQ5" s="789"/>
      <c r="AR5" s="789"/>
      <c r="AS5" s="789"/>
      <c r="AT5" s="789"/>
      <c r="AU5" s="790"/>
      <c r="AV5" s="778" t="s">
        <v>409</v>
      </c>
      <c r="AW5" s="778" t="s">
        <v>410</v>
      </c>
      <c r="AX5" s="778" t="s">
        <v>298</v>
      </c>
      <c r="AY5" s="778" t="s">
        <v>299</v>
      </c>
    </row>
    <row r="6" spans="1:51" ht="15" customHeight="1">
      <c r="A6" s="797" t="s">
        <v>71</v>
      </c>
      <c r="B6" s="797"/>
      <c r="C6" s="797"/>
      <c r="D6" s="798" t="s">
        <v>74</v>
      </c>
      <c r="E6" s="798"/>
      <c r="F6" s="788" t="s">
        <v>67</v>
      </c>
      <c r="G6" s="790"/>
      <c r="H6" s="787" t="s">
        <v>70</v>
      </c>
      <c r="I6" s="787"/>
      <c r="J6" s="128"/>
      <c r="K6" s="788"/>
      <c r="L6" s="789"/>
      <c r="M6" s="789"/>
      <c r="N6" s="789"/>
      <c r="O6" s="789"/>
      <c r="P6" s="789"/>
      <c r="Q6" s="789"/>
      <c r="R6" s="789"/>
      <c r="S6" s="789"/>
      <c r="T6" s="789"/>
      <c r="U6" s="789"/>
      <c r="V6" s="114"/>
      <c r="W6" s="114"/>
      <c r="X6" s="114"/>
      <c r="Y6" s="114"/>
      <c r="Z6" s="114"/>
      <c r="AA6" s="114"/>
      <c r="AB6" s="114"/>
      <c r="AC6" s="114"/>
      <c r="AD6" s="114"/>
      <c r="AE6" s="114"/>
      <c r="AF6" s="114"/>
      <c r="AG6" s="115"/>
      <c r="AH6" s="791"/>
      <c r="AI6" s="792"/>
      <c r="AJ6" s="792"/>
      <c r="AK6" s="792"/>
      <c r="AL6" s="792"/>
      <c r="AM6" s="792"/>
      <c r="AN6" s="792"/>
      <c r="AO6" s="792"/>
      <c r="AP6" s="792"/>
      <c r="AQ6" s="792"/>
      <c r="AR6" s="792"/>
      <c r="AS6" s="792"/>
      <c r="AT6" s="792"/>
      <c r="AU6" s="793"/>
      <c r="AV6" s="786"/>
      <c r="AW6" s="786"/>
      <c r="AX6" s="786"/>
      <c r="AY6" s="786"/>
    </row>
    <row r="7" spans="1:51" ht="15" customHeight="1">
      <c r="A7" s="797"/>
      <c r="B7" s="797"/>
      <c r="C7" s="797"/>
      <c r="D7" s="798"/>
      <c r="E7" s="798"/>
      <c r="F7" s="791"/>
      <c r="G7" s="793"/>
      <c r="H7" s="787" t="s">
        <v>68</v>
      </c>
      <c r="I7" s="787"/>
      <c r="J7" s="128"/>
      <c r="K7" s="791"/>
      <c r="L7" s="792"/>
      <c r="M7" s="792"/>
      <c r="N7" s="792"/>
      <c r="O7" s="792"/>
      <c r="P7" s="792"/>
      <c r="Q7" s="792"/>
      <c r="R7" s="792"/>
      <c r="S7" s="792"/>
      <c r="T7" s="792"/>
      <c r="U7" s="792"/>
      <c r="V7" s="116"/>
      <c r="W7" s="116"/>
      <c r="X7" s="116"/>
      <c r="Y7" s="116"/>
      <c r="Z7" s="116"/>
      <c r="AA7" s="116"/>
      <c r="AB7" s="116"/>
      <c r="AC7" s="116"/>
      <c r="AD7" s="116"/>
      <c r="AE7" s="116"/>
      <c r="AF7" s="116"/>
      <c r="AG7" s="117"/>
      <c r="AH7" s="791"/>
      <c r="AI7" s="792"/>
      <c r="AJ7" s="792"/>
      <c r="AK7" s="792"/>
      <c r="AL7" s="792"/>
      <c r="AM7" s="792"/>
      <c r="AN7" s="792"/>
      <c r="AO7" s="792"/>
      <c r="AP7" s="792"/>
      <c r="AQ7" s="792"/>
      <c r="AR7" s="792"/>
      <c r="AS7" s="792"/>
      <c r="AT7" s="792"/>
      <c r="AU7" s="793"/>
      <c r="AV7" s="786"/>
      <c r="AW7" s="786"/>
      <c r="AX7" s="786"/>
      <c r="AY7" s="786"/>
    </row>
    <row r="8" spans="1:51" ht="15" customHeight="1">
      <c r="A8" s="797"/>
      <c r="B8" s="797"/>
      <c r="C8" s="797"/>
      <c r="D8" s="798"/>
      <c r="E8" s="798"/>
      <c r="F8" s="794"/>
      <c r="G8" s="796"/>
      <c r="H8" s="787" t="s">
        <v>69</v>
      </c>
      <c r="I8" s="787"/>
      <c r="J8" s="128"/>
      <c r="K8" s="794"/>
      <c r="L8" s="795"/>
      <c r="M8" s="795"/>
      <c r="N8" s="795"/>
      <c r="O8" s="795"/>
      <c r="P8" s="795"/>
      <c r="Q8" s="795"/>
      <c r="R8" s="795"/>
      <c r="S8" s="795"/>
      <c r="T8" s="795"/>
      <c r="U8" s="795"/>
      <c r="V8" s="118"/>
      <c r="W8" s="118"/>
      <c r="X8" s="118"/>
      <c r="Y8" s="118"/>
      <c r="Z8" s="118"/>
      <c r="AA8" s="118"/>
      <c r="AB8" s="118"/>
      <c r="AC8" s="118"/>
      <c r="AD8" s="118"/>
      <c r="AE8" s="118"/>
      <c r="AF8" s="118"/>
      <c r="AG8" s="119"/>
      <c r="AH8" s="791"/>
      <c r="AI8" s="792"/>
      <c r="AJ8" s="792"/>
      <c r="AK8" s="792"/>
      <c r="AL8" s="792"/>
      <c r="AM8" s="792"/>
      <c r="AN8" s="792"/>
      <c r="AO8" s="792"/>
      <c r="AP8" s="792"/>
      <c r="AQ8" s="792"/>
      <c r="AR8" s="792"/>
      <c r="AS8" s="792"/>
      <c r="AT8" s="792"/>
      <c r="AU8" s="793"/>
      <c r="AV8" s="786"/>
      <c r="AW8" s="786"/>
      <c r="AX8" s="786"/>
      <c r="AY8" s="786"/>
    </row>
    <row r="9" spans="1:51" ht="15" customHeight="1">
      <c r="A9" s="766" t="s">
        <v>399</v>
      </c>
      <c r="B9" s="767"/>
      <c r="C9" s="768"/>
      <c r="D9" s="802"/>
      <c r="E9" s="803"/>
      <c r="F9" s="803"/>
      <c r="G9" s="803"/>
      <c r="H9" s="803"/>
      <c r="I9" s="803"/>
      <c r="J9" s="803"/>
      <c r="K9" s="804"/>
      <c r="L9" s="804"/>
      <c r="M9" s="804"/>
      <c r="N9" s="804"/>
      <c r="O9" s="804"/>
      <c r="P9" s="804"/>
      <c r="Q9" s="804"/>
      <c r="R9" s="804"/>
      <c r="S9" s="804"/>
      <c r="T9" s="804"/>
      <c r="U9" s="804"/>
      <c r="V9" s="804"/>
      <c r="W9" s="804"/>
      <c r="X9" s="804"/>
      <c r="Y9" s="804"/>
      <c r="Z9" s="804"/>
      <c r="AA9" s="804"/>
      <c r="AB9" s="804"/>
      <c r="AC9" s="804"/>
      <c r="AD9" s="804"/>
      <c r="AE9" s="804"/>
      <c r="AF9" s="804"/>
      <c r="AG9" s="805"/>
      <c r="AH9" s="791"/>
      <c r="AI9" s="792"/>
      <c r="AJ9" s="792"/>
      <c r="AK9" s="792"/>
      <c r="AL9" s="792"/>
      <c r="AM9" s="792"/>
      <c r="AN9" s="792"/>
      <c r="AO9" s="792"/>
      <c r="AP9" s="792"/>
      <c r="AQ9" s="792"/>
      <c r="AR9" s="792"/>
      <c r="AS9" s="792"/>
      <c r="AT9" s="792"/>
      <c r="AU9" s="793"/>
      <c r="AV9" s="786"/>
      <c r="AW9" s="786"/>
      <c r="AX9" s="786"/>
      <c r="AY9" s="786"/>
    </row>
    <row r="10" spans="1:51" ht="15" customHeight="1">
      <c r="A10" s="799" t="s">
        <v>287</v>
      </c>
      <c r="B10" s="800"/>
      <c r="C10" s="801"/>
      <c r="D10" s="806"/>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5"/>
      <c r="AH10" s="794"/>
      <c r="AI10" s="795"/>
      <c r="AJ10" s="795"/>
      <c r="AK10" s="795"/>
      <c r="AL10" s="795"/>
      <c r="AM10" s="795"/>
      <c r="AN10" s="795"/>
      <c r="AO10" s="795"/>
      <c r="AP10" s="795"/>
      <c r="AQ10" s="795"/>
      <c r="AR10" s="795"/>
      <c r="AS10" s="795"/>
      <c r="AT10" s="795"/>
      <c r="AU10" s="796"/>
      <c r="AV10" s="786"/>
      <c r="AW10" s="786"/>
      <c r="AX10" s="786"/>
      <c r="AY10" s="786"/>
    </row>
    <row r="11" spans="1:51" ht="39.75" customHeight="1">
      <c r="A11" s="775" t="s">
        <v>168</v>
      </c>
      <c r="B11" s="780"/>
      <c r="C11" s="780"/>
      <c r="D11" s="780"/>
      <c r="E11" s="780"/>
      <c r="F11" s="776"/>
      <c r="G11" s="775" t="s">
        <v>278</v>
      </c>
      <c r="H11" s="776"/>
      <c r="I11" s="778" t="s">
        <v>179</v>
      </c>
      <c r="J11" s="778" t="s">
        <v>279</v>
      </c>
      <c r="K11" s="778" t="s">
        <v>323</v>
      </c>
      <c r="L11" s="778" t="s">
        <v>363</v>
      </c>
      <c r="M11" s="778" t="s">
        <v>167</v>
      </c>
      <c r="N11" s="778" t="s">
        <v>182</v>
      </c>
      <c r="O11" s="775" t="s">
        <v>284</v>
      </c>
      <c r="P11" s="780"/>
      <c r="Q11" s="780"/>
      <c r="R11" s="780"/>
      <c r="S11" s="776"/>
      <c r="T11" s="778" t="s">
        <v>173</v>
      </c>
      <c r="U11" s="778" t="s">
        <v>285</v>
      </c>
      <c r="V11" s="763" t="s">
        <v>370</v>
      </c>
      <c r="W11" s="764"/>
      <c r="X11" s="764"/>
      <c r="Y11" s="764"/>
      <c r="Z11" s="764"/>
      <c r="AA11" s="764"/>
      <c r="AB11" s="764"/>
      <c r="AC11" s="764"/>
      <c r="AD11" s="764"/>
      <c r="AE11" s="764"/>
      <c r="AF11" s="764"/>
      <c r="AG11" s="765"/>
      <c r="AH11" s="763" t="s">
        <v>87</v>
      </c>
      <c r="AI11" s="764"/>
      <c r="AJ11" s="764"/>
      <c r="AK11" s="764"/>
      <c r="AL11" s="764"/>
      <c r="AM11" s="764"/>
      <c r="AN11" s="764"/>
      <c r="AO11" s="764"/>
      <c r="AP11" s="764"/>
      <c r="AQ11" s="764"/>
      <c r="AR11" s="764"/>
      <c r="AS11" s="765"/>
      <c r="AT11" s="775" t="s">
        <v>8</v>
      </c>
      <c r="AU11" s="776"/>
      <c r="AV11" s="786"/>
      <c r="AW11" s="786"/>
      <c r="AX11" s="786"/>
      <c r="AY11" s="786"/>
    </row>
    <row r="12" spans="1:51" ht="42.75">
      <c r="A12" s="120" t="s">
        <v>169</v>
      </c>
      <c r="B12" s="120" t="s">
        <v>170</v>
      </c>
      <c r="C12" s="120" t="s">
        <v>171</v>
      </c>
      <c r="D12" s="120" t="s">
        <v>178</v>
      </c>
      <c r="E12" s="120" t="s">
        <v>185</v>
      </c>
      <c r="F12" s="120" t="s">
        <v>186</v>
      </c>
      <c r="G12" s="120" t="s">
        <v>277</v>
      </c>
      <c r="H12" s="120" t="s">
        <v>184</v>
      </c>
      <c r="I12" s="779"/>
      <c r="J12" s="779"/>
      <c r="K12" s="779"/>
      <c r="L12" s="779"/>
      <c r="M12" s="779"/>
      <c r="N12" s="779"/>
      <c r="O12" s="120">
        <v>2020</v>
      </c>
      <c r="P12" s="120">
        <v>2021</v>
      </c>
      <c r="Q12" s="120">
        <v>2022</v>
      </c>
      <c r="R12" s="120">
        <v>2023</v>
      </c>
      <c r="S12" s="120">
        <v>2024</v>
      </c>
      <c r="T12" s="779"/>
      <c r="U12" s="779"/>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79"/>
      <c r="AW12" s="779"/>
      <c r="AX12" s="779"/>
      <c r="AY12" s="779"/>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783" t="s">
        <v>294</v>
      </c>
      <c r="B28" s="784"/>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5"/>
    </row>
    <row r="29" spans="1:51" ht="15">
      <c r="A29" s="781" t="s">
        <v>64</v>
      </c>
      <c r="B29" s="781"/>
      <c r="C29" s="781"/>
      <c r="D29" s="777" t="s">
        <v>66</v>
      </c>
      <c r="E29" s="777"/>
      <c r="F29" s="777"/>
      <c r="G29" s="777"/>
      <c r="H29" s="777"/>
      <c r="I29" s="777"/>
      <c r="J29" s="782" t="s">
        <v>300</v>
      </c>
      <c r="K29" s="782"/>
      <c r="L29" s="782"/>
      <c r="M29" s="782"/>
      <c r="N29" s="782"/>
      <c r="O29" s="782"/>
      <c r="P29" s="777" t="s">
        <v>66</v>
      </c>
      <c r="Q29" s="777"/>
      <c r="R29" s="777"/>
      <c r="S29" s="777"/>
      <c r="T29" s="777"/>
      <c r="U29" s="777"/>
      <c r="V29" s="777" t="s">
        <v>66</v>
      </c>
      <c r="W29" s="777"/>
      <c r="X29" s="777"/>
      <c r="Y29" s="777"/>
      <c r="Z29" s="777"/>
      <c r="AA29" s="777"/>
      <c r="AB29" s="777"/>
      <c r="AC29" s="777"/>
      <c r="AD29" s="777" t="s">
        <v>66</v>
      </c>
      <c r="AE29" s="777"/>
      <c r="AF29" s="777"/>
      <c r="AG29" s="777"/>
      <c r="AH29" s="777"/>
      <c r="AI29" s="777"/>
      <c r="AJ29" s="777"/>
      <c r="AK29" s="777"/>
      <c r="AL29" s="777"/>
      <c r="AM29" s="777"/>
      <c r="AN29" s="777"/>
      <c r="AO29" s="777"/>
      <c r="AP29" s="782" t="s">
        <v>318</v>
      </c>
      <c r="AQ29" s="782"/>
      <c r="AR29" s="782"/>
      <c r="AS29" s="782"/>
      <c r="AT29" s="777" t="s">
        <v>13</v>
      </c>
      <c r="AU29" s="777"/>
      <c r="AV29" s="777"/>
      <c r="AW29" s="777"/>
      <c r="AX29" s="777"/>
      <c r="AY29" s="777"/>
    </row>
    <row r="30" spans="1:51" ht="15">
      <c r="A30" s="781"/>
      <c r="B30" s="781"/>
      <c r="C30" s="781"/>
      <c r="D30" s="777" t="s">
        <v>65</v>
      </c>
      <c r="E30" s="777"/>
      <c r="F30" s="777"/>
      <c r="G30" s="777"/>
      <c r="H30" s="777"/>
      <c r="I30" s="777"/>
      <c r="J30" s="782"/>
      <c r="K30" s="782"/>
      <c r="L30" s="782"/>
      <c r="M30" s="782"/>
      <c r="N30" s="782"/>
      <c r="O30" s="782"/>
      <c r="P30" s="777" t="s">
        <v>65</v>
      </c>
      <c r="Q30" s="777"/>
      <c r="R30" s="777"/>
      <c r="S30" s="777"/>
      <c r="T30" s="777"/>
      <c r="U30" s="777"/>
      <c r="V30" s="777" t="s">
        <v>65</v>
      </c>
      <c r="W30" s="777"/>
      <c r="X30" s="777"/>
      <c r="Y30" s="777"/>
      <c r="Z30" s="777"/>
      <c r="AA30" s="777"/>
      <c r="AB30" s="777"/>
      <c r="AC30" s="777"/>
      <c r="AD30" s="777" t="s">
        <v>65</v>
      </c>
      <c r="AE30" s="777"/>
      <c r="AF30" s="777"/>
      <c r="AG30" s="777"/>
      <c r="AH30" s="777"/>
      <c r="AI30" s="777"/>
      <c r="AJ30" s="777"/>
      <c r="AK30" s="777"/>
      <c r="AL30" s="777"/>
      <c r="AM30" s="777"/>
      <c r="AN30" s="777"/>
      <c r="AO30" s="777"/>
      <c r="AP30" s="782"/>
      <c r="AQ30" s="782"/>
      <c r="AR30" s="782"/>
      <c r="AS30" s="782"/>
      <c r="AT30" s="777" t="s">
        <v>65</v>
      </c>
      <c r="AU30" s="777"/>
      <c r="AV30" s="777"/>
      <c r="AW30" s="777"/>
      <c r="AX30" s="777"/>
      <c r="AY30" s="777"/>
    </row>
    <row r="31" spans="1:51" ht="15.75" customHeight="1">
      <c r="A31" s="781"/>
      <c r="B31" s="781"/>
      <c r="C31" s="781"/>
      <c r="D31" s="777" t="s">
        <v>297</v>
      </c>
      <c r="E31" s="777"/>
      <c r="F31" s="777"/>
      <c r="G31" s="777"/>
      <c r="H31" s="777"/>
      <c r="I31" s="777"/>
      <c r="J31" s="782"/>
      <c r="K31" s="782"/>
      <c r="L31" s="782"/>
      <c r="M31" s="782"/>
      <c r="N31" s="782"/>
      <c r="O31" s="782"/>
      <c r="P31" s="777" t="s">
        <v>297</v>
      </c>
      <c r="Q31" s="777"/>
      <c r="R31" s="777"/>
      <c r="S31" s="777"/>
      <c r="T31" s="777"/>
      <c r="U31" s="777"/>
      <c r="V31" s="777" t="s">
        <v>297</v>
      </c>
      <c r="W31" s="777"/>
      <c r="X31" s="777"/>
      <c r="Y31" s="777"/>
      <c r="Z31" s="777"/>
      <c r="AA31" s="777"/>
      <c r="AB31" s="777"/>
      <c r="AC31" s="777"/>
      <c r="AD31" s="777" t="s">
        <v>297</v>
      </c>
      <c r="AE31" s="777"/>
      <c r="AF31" s="777"/>
      <c r="AG31" s="777"/>
      <c r="AH31" s="777"/>
      <c r="AI31" s="777"/>
      <c r="AJ31" s="777"/>
      <c r="AK31" s="777"/>
      <c r="AL31" s="777"/>
      <c r="AM31" s="777"/>
      <c r="AN31" s="777"/>
      <c r="AO31" s="777"/>
      <c r="AP31" s="782"/>
      <c r="AQ31" s="782"/>
      <c r="AR31" s="782"/>
      <c r="AS31" s="782"/>
      <c r="AT31" s="777" t="s">
        <v>75</v>
      </c>
      <c r="AU31" s="777"/>
      <c r="AV31" s="777"/>
      <c r="AW31" s="777"/>
      <c r="AX31" s="777"/>
      <c r="AY31" s="777"/>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10" t="s">
        <v>16</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c r="AY1" s="810"/>
      <c r="AZ1" s="810"/>
      <c r="BA1" s="810"/>
      <c r="BB1" s="810"/>
      <c r="BC1" s="810"/>
      <c r="BD1" s="810"/>
      <c r="BE1" s="810"/>
      <c r="BF1" s="810"/>
      <c r="BG1" s="810"/>
      <c r="BH1" s="810"/>
      <c r="BI1" s="811" t="s">
        <v>18</v>
      </c>
      <c r="BJ1" s="811"/>
      <c r="BK1" s="811"/>
    </row>
    <row r="2" spans="1:63" ht="15.75" customHeight="1">
      <c r="A2" s="810" t="s">
        <v>17</v>
      </c>
      <c r="B2" s="810"/>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c r="AI2" s="810"/>
      <c r="AJ2" s="810"/>
      <c r="AK2" s="810"/>
      <c r="AL2" s="810"/>
      <c r="AM2" s="810"/>
      <c r="AN2" s="810"/>
      <c r="AO2" s="810"/>
      <c r="AP2" s="810"/>
      <c r="AQ2" s="810"/>
      <c r="AR2" s="810"/>
      <c r="AS2" s="810"/>
      <c r="AT2" s="810"/>
      <c r="AU2" s="810"/>
      <c r="AV2" s="810"/>
      <c r="AW2" s="810"/>
      <c r="AX2" s="810"/>
      <c r="AY2" s="810"/>
      <c r="AZ2" s="810"/>
      <c r="BA2" s="810"/>
      <c r="BB2" s="810"/>
      <c r="BC2" s="810"/>
      <c r="BD2" s="810"/>
      <c r="BE2" s="810"/>
      <c r="BF2" s="810"/>
      <c r="BG2" s="810"/>
      <c r="BH2" s="810"/>
      <c r="BI2" s="812" t="s">
        <v>418</v>
      </c>
      <c r="BJ2" s="812"/>
      <c r="BK2" s="812"/>
    </row>
    <row r="3" spans="1:63" ht="25.5" customHeight="1">
      <c r="A3" s="810" t="s">
        <v>187</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c r="BD3" s="810"/>
      <c r="BE3" s="810"/>
      <c r="BF3" s="810"/>
      <c r="BG3" s="810"/>
      <c r="BH3" s="810"/>
      <c r="BI3" s="812" t="s">
        <v>424</v>
      </c>
      <c r="BJ3" s="812"/>
      <c r="BK3" s="812"/>
    </row>
    <row r="4" spans="1:63" ht="15.75" customHeight="1">
      <c r="A4" s="810" t="s">
        <v>172</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c r="BC4" s="810"/>
      <c r="BD4" s="810"/>
      <c r="BE4" s="810"/>
      <c r="BF4" s="810"/>
      <c r="BG4" s="810"/>
      <c r="BH4" s="810"/>
      <c r="BI4" s="807" t="s">
        <v>183</v>
      </c>
      <c r="BJ4" s="808"/>
      <c r="BK4" s="809"/>
    </row>
    <row r="5" spans="1:63" ht="25.5" customHeight="1">
      <c r="A5" s="813" t="s">
        <v>319</v>
      </c>
      <c r="B5" s="813"/>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G5" s="813" t="s">
        <v>320</v>
      </c>
      <c r="AH5" s="813"/>
      <c r="AI5" s="813"/>
      <c r="AJ5" s="813"/>
      <c r="AK5" s="813"/>
      <c r="AL5" s="813"/>
      <c r="AM5" s="813"/>
      <c r="AN5" s="813"/>
      <c r="AO5" s="813"/>
      <c r="AP5" s="813"/>
      <c r="AQ5" s="813"/>
      <c r="AR5" s="813"/>
      <c r="AS5" s="813"/>
      <c r="AT5" s="813"/>
      <c r="AU5" s="813"/>
      <c r="AV5" s="813"/>
      <c r="AW5" s="813"/>
      <c r="AX5" s="813"/>
      <c r="AY5" s="813"/>
      <c r="AZ5" s="813"/>
      <c r="BA5" s="813"/>
      <c r="BB5" s="813"/>
      <c r="BC5" s="813"/>
      <c r="BD5" s="813"/>
      <c r="BE5" s="813"/>
      <c r="BF5" s="813"/>
      <c r="BG5" s="813"/>
      <c r="BH5" s="813"/>
      <c r="BI5" s="814"/>
      <c r="BJ5" s="814"/>
      <c r="BK5" s="814"/>
    </row>
    <row r="6" spans="1:63" ht="31.5" customHeight="1">
      <c r="A6" s="169" t="s">
        <v>290</v>
      </c>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19"/>
      <c r="AY6" s="819"/>
      <c r="AZ6" s="819"/>
      <c r="BA6" s="819"/>
      <c r="BB6" s="819"/>
      <c r="BC6" s="819"/>
      <c r="BD6" s="819"/>
      <c r="BE6" s="819"/>
      <c r="BF6" s="819"/>
      <c r="BG6" s="819"/>
      <c r="BH6" s="819"/>
      <c r="BI6" s="819"/>
      <c r="BJ6" s="819"/>
      <c r="BK6" s="819"/>
    </row>
    <row r="7" spans="1:63" ht="31.5" customHeight="1">
      <c r="A7" s="170" t="s">
        <v>177</v>
      </c>
      <c r="B7" s="817"/>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0"/>
      <c r="AY7" s="820"/>
      <c r="AZ7" s="820"/>
      <c r="BA7" s="820"/>
      <c r="BB7" s="820"/>
      <c r="BC7" s="820"/>
      <c r="BD7" s="820"/>
      <c r="BE7" s="820"/>
      <c r="BF7" s="820"/>
      <c r="BG7" s="820"/>
      <c r="BH7" s="820"/>
      <c r="BI7" s="820"/>
      <c r="BJ7" s="820"/>
      <c r="BK7" s="818"/>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815" t="s">
        <v>90</v>
      </c>
      <c r="B9" s="213" t="s">
        <v>39</v>
      </c>
      <c r="C9" s="213" t="s">
        <v>40</v>
      </c>
      <c r="D9" s="817" t="s">
        <v>41</v>
      </c>
      <c r="E9" s="818"/>
      <c r="F9" s="213" t="s">
        <v>42</v>
      </c>
      <c r="G9" s="213" t="s">
        <v>43</v>
      </c>
      <c r="H9" s="817" t="s">
        <v>44</v>
      </c>
      <c r="I9" s="818"/>
      <c r="J9" s="213" t="s">
        <v>45</v>
      </c>
      <c r="K9" s="213" t="s">
        <v>46</v>
      </c>
      <c r="L9" s="817" t="s">
        <v>47</v>
      </c>
      <c r="M9" s="818"/>
      <c r="N9" s="213" t="s">
        <v>48</v>
      </c>
      <c r="O9" s="213" t="s">
        <v>49</v>
      </c>
      <c r="P9" s="817" t="s">
        <v>50</v>
      </c>
      <c r="Q9" s="818"/>
      <c r="R9" s="817" t="s">
        <v>91</v>
      </c>
      <c r="S9" s="818"/>
      <c r="T9" s="817" t="s">
        <v>289</v>
      </c>
      <c r="U9" s="820"/>
      <c r="V9" s="820"/>
      <c r="W9" s="820"/>
      <c r="X9" s="820"/>
      <c r="Y9" s="818"/>
      <c r="Z9" s="817" t="s">
        <v>288</v>
      </c>
      <c r="AA9" s="820"/>
      <c r="AB9" s="820"/>
      <c r="AC9" s="820"/>
      <c r="AD9" s="820"/>
      <c r="AE9" s="818"/>
      <c r="AG9" s="815" t="s">
        <v>90</v>
      </c>
      <c r="AH9" s="213" t="s">
        <v>39</v>
      </c>
      <c r="AI9" s="213" t="s">
        <v>40</v>
      </c>
      <c r="AJ9" s="817" t="s">
        <v>41</v>
      </c>
      <c r="AK9" s="818"/>
      <c r="AL9" s="213" t="s">
        <v>42</v>
      </c>
      <c r="AM9" s="213" t="s">
        <v>43</v>
      </c>
      <c r="AN9" s="817" t="s">
        <v>44</v>
      </c>
      <c r="AO9" s="818"/>
      <c r="AP9" s="213" t="s">
        <v>45</v>
      </c>
      <c r="AQ9" s="213" t="s">
        <v>46</v>
      </c>
      <c r="AR9" s="817" t="s">
        <v>47</v>
      </c>
      <c r="AS9" s="818"/>
      <c r="AT9" s="213" t="s">
        <v>48</v>
      </c>
      <c r="AU9" s="213" t="s">
        <v>49</v>
      </c>
      <c r="AV9" s="817" t="s">
        <v>50</v>
      </c>
      <c r="AW9" s="818"/>
      <c r="AX9" s="817" t="s">
        <v>91</v>
      </c>
      <c r="AY9" s="818"/>
      <c r="AZ9" s="817" t="s">
        <v>289</v>
      </c>
      <c r="BA9" s="820"/>
      <c r="BB9" s="820"/>
      <c r="BC9" s="820"/>
      <c r="BD9" s="820"/>
      <c r="BE9" s="818"/>
      <c r="BF9" s="817" t="s">
        <v>288</v>
      </c>
      <c r="BG9" s="820"/>
      <c r="BH9" s="820"/>
      <c r="BI9" s="820"/>
      <c r="BJ9" s="820"/>
      <c r="BK9" s="818"/>
    </row>
    <row r="10" spans="1:63" ht="36" customHeight="1">
      <c r="A10" s="816"/>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816"/>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815" t="s">
        <v>90</v>
      </c>
      <c r="B35" s="213" t="s">
        <v>39</v>
      </c>
      <c r="C35" s="213" t="s">
        <v>40</v>
      </c>
      <c r="D35" s="817" t="s">
        <v>41</v>
      </c>
      <c r="E35" s="818"/>
      <c r="F35" s="213" t="s">
        <v>42</v>
      </c>
      <c r="G35" s="213" t="s">
        <v>43</v>
      </c>
      <c r="H35" s="817" t="s">
        <v>44</v>
      </c>
      <c r="I35" s="818"/>
      <c r="J35" s="213" t="s">
        <v>45</v>
      </c>
      <c r="K35" s="213" t="s">
        <v>46</v>
      </c>
      <c r="L35" s="817" t="s">
        <v>47</v>
      </c>
      <c r="M35" s="818"/>
      <c r="N35" s="213" t="s">
        <v>48</v>
      </c>
      <c r="O35" s="213" t="s">
        <v>49</v>
      </c>
      <c r="P35" s="817" t="s">
        <v>50</v>
      </c>
      <c r="Q35" s="818"/>
      <c r="R35" s="817" t="s">
        <v>91</v>
      </c>
      <c r="S35" s="818"/>
      <c r="T35" s="817" t="s">
        <v>289</v>
      </c>
      <c r="U35" s="820"/>
      <c r="V35" s="820"/>
      <c r="W35" s="820"/>
      <c r="X35" s="820"/>
      <c r="Y35" s="818"/>
      <c r="Z35" s="817" t="s">
        <v>288</v>
      </c>
      <c r="AA35" s="820"/>
      <c r="AB35" s="820"/>
      <c r="AC35" s="820"/>
      <c r="AD35" s="820"/>
      <c r="AE35" s="818"/>
      <c r="AG35" s="815" t="s">
        <v>90</v>
      </c>
      <c r="AH35" s="213" t="s">
        <v>39</v>
      </c>
      <c r="AI35" s="213" t="s">
        <v>40</v>
      </c>
      <c r="AJ35" s="817" t="s">
        <v>41</v>
      </c>
      <c r="AK35" s="818"/>
      <c r="AL35" s="213" t="s">
        <v>42</v>
      </c>
      <c r="AM35" s="213" t="s">
        <v>43</v>
      </c>
      <c r="AN35" s="817" t="s">
        <v>44</v>
      </c>
      <c r="AO35" s="818"/>
      <c r="AP35" s="213" t="s">
        <v>45</v>
      </c>
      <c r="AQ35" s="213" t="s">
        <v>46</v>
      </c>
      <c r="AR35" s="817" t="s">
        <v>47</v>
      </c>
      <c r="AS35" s="818"/>
      <c r="AT35" s="213" t="s">
        <v>48</v>
      </c>
      <c r="AU35" s="213" t="s">
        <v>49</v>
      </c>
      <c r="AV35" s="817" t="s">
        <v>50</v>
      </c>
      <c r="AW35" s="818"/>
      <c r="AX35" s="817" t="s">
        <v>91</v>
      </c>
      <c r="AY35" s="818"/>
      <c r="AZ35" s="817" t="s">
        <v>289</v>
      </c>
      <c r="BA35" s="820"/>
      <c r="BB35" s="820"/>
      <c r="BC35" s="820"/>
      <c r="BD35" s="820"/>
      <c r="BE35" s="818"/>
      <c r="BF35" s="817" t="s">
        <v>288</v>
      </c>
      <c r="BG35" s="820"/>
      <c r="BH35" s="820"/>
      <c r="BI35" s="820"/>
      <c r="BJ35" s="820"/>
      <c r="BK35" s="818"/>
    </row>
    <row r="36" spans="1:63" ht="36" customHeight="1">
      <c r="A36" s="816"/>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816"/>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823" t="s">
        <v>195</v>
      </c>
      <c r="B1" s="824"/>
    </row>
    <row r="2" spans="1:2" ht="25.5" customHeight="1">
      <c r="A2" s="825" t="s">
        <v>400</v>
      </c>
      <c r="B2" s="826"/>
    </row>
    <row r="3" spans="1:2" ht="15">
      <c r="A3" s="218" t="s">
        <v>324</v>
      </c>
      <c r="B3" s="147" t="s">
        <v>325</v>
      </c>
    </row>
    <row r="4" spans="1:2" ht="15">
      <c r="A4" s="219" t="s">
        <v>71</v>
      </c>
      <c r="B4" s="155" t="s">
        <v>357</v>
      </c>
    </row>
    <row r="5" spans="1:2" ht="105">
      <c r="A5" s="219" t="s">
        <v>67</v>
      </c>
      <c r="B5" s="223" t="s">
        <v>422</v>
      </c>
    </row>
    <row r="6" spans="1:2" s="146" customFormat="1" ht="15">
      <c r="A6" s="219" t="s">
        <v>0</v>
      </c>
      <c r="B6" s="827" t="s">
        <v>352</v>
      </c>
    </row>
    <row r="7" spans="1:2" s="146" customFormat="1" ht="15">
      <c r="A7" s="219" t="s">
        <v>77</v>
      </c>
      <c r="B7" s="828"/>
    </row>
    <row r="8" spans="1:2" s="146" customFormat="1" ht="15">
      <c r="A8" s="219" t="s">
        <v>73</v>
      </c>
      <c r="B8" s="828"/>
    </row>
    <row r="9" spans="1:2" s="146" customFormat="1" ht="15">
      <c r="A9" s="219" t="s">
        <v>333</v>
      </c>
      <c r="B9" s="829"/>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825" t="s">
        <v>401</v>
      </c>
      <c r="B17" s="826"/>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45">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825" t="s">
        <v>350</v>
      </c>
      <c r="B41" s="826"/>
    </row>
    <row r="42" spans="1:2" ht="15">
      <c r="A42" s="823" t="s">
        <v>351</v>
      </c>
      <c r="B42" s="824"/>
    </row>
    <row r="43" spans="1:2" ht="72" customHeight="1">
      <c r="A43" s="821" t="s">
        <v>397</v>
      </c>
      <c r="B43" s="822"/>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830" t="s">
        <v>222</v>
      </c>
      <c r="E27" s="134" t="s">
        <v>223</v>
      </c>
    </row>
    <row r="28" spans="4:5" ht="15">
      <c r="D28" s="831"/>
      <c r="E28" s="134" t="s">
        <v>224</v>
      </c>
    </row>
    <row r="29" spans="4:5" ht="15">
      <c r="D29" s="831"/>
      <c r="E29" s="134" t="s">
        <v>225</v>
      </c>
    </row>
    <row r="30" spans="4:5" ht="15">
      <c r="D30" s="832"/>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P6">
      <selection activeCell="AB25" sqref="AB25"/>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14" width="15.28125" style="0" bestFit="1" customWidth="1"/>
    <col min="15" max="15" width="13.00390625" style="0" bestFit="1" customWidth="1"/>
    <col min="16" max="16" width="15.28125" style="0" bestFit="1" customWidth="1"/>
    <col min="17" max="17" width="13.00390625" style="0" bestFit="1" customWidth="1"/>
    <col min="18"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750</v>
      </c>
      <c r="C2" s="388">
        <v>44927</v>
      </c>
    </row>
    <row r="4" spans="2:3" ht="15">
      <c r="B4" t="s">
        <v>751</v>
      </c>
      <c r="C4" s="387" t="s">
        <v>752</v>
      </c>
    </row>
    <row r="5" spans="2:6" ht="15">
      <c r="B5" t="s">
        <v>753</v>
      </c>
      <c r="C5" s="387">
        <v>78887973</v>
      </c>
      <c r="D5" s="389">
        <f>+C5/$C$9</f>
        <v>0.2651661426887374</v>
      </c>
      <c r="F5" s="387">
        <v>78887973</v>
      </c>
    </row>
    <row r="6" spans="2:6" ht="15">
      <c r="B6" t="s">
        <v>754</v>
      </c>
      <c r="C6" s="387">
        <v>148248728</v>
      </c>
      <c r="D6" s="389">
        <f>+C6/$C$9</f>
        <v>0.49830844762954957</v>
      </c>
      <c r="F6" s="387">
        <v>135888728</v>
      </c>
    </row>
    <row r="7" spans="2:6" ht="15">
      <c r="B7" t="s">
        <v>755</v>
      </c>
      <c r="C7" s="387">
        <v>49583934</v>
      </c>
      <c r="D7" s="389">
        <f>+C7/$C$9</f>
        <v>0.16666647675321736</v>
      </c>
      <c r="F7" s="387">
        <v>11205600</v>
      </c>
    </row>
    <row r="8" spans="2:6" ht="15">
      <c r="B8" t="s">
        <v>756</v>
      </c>
      <c r="C8" s="387">
        <v>20783308</v>
      </c>
      <c r="D8" s="389">
        <f>+C8/$C$9</f>
        <v>0.06985893292849567</v>
      </c>
      <c r="F8" s="387">
        <v>20760985</v>
      </c>
    </row>
    <row r="9" spans="2:3" ht="15">
      <c r="B9" t="s">
        <v>757</v>
      </c>
      <c r="C9" s="387">
        <v>297503943</v>
      </c>
    </row>
    <row r="11" spans="4:30" s="387" customFormat="1" ht="15">
      <c r="D11" s="834" t="s">
        <v>819</v>
      </c>
      <c r="E11" s="834"/>
      <c r="F11" s="834" t="s">
        <v>820</v>
      </c>
      <c r="G11" s="834"/>
      <c r="H11" s="834" t="s">
        <v>821</v>
      </c>
      <c r="I11" s="834"/>
      <c r="J11" s="834" t="s">
        <v>822</v>
      </c>
      <c r="K11" s="834"/>
      <c r="L11" s="834" t="s">
        <v>823</v>
      </c>
      <c r="M11" s="834"/>
      <c r="N11" s="834" t="s">
        <v>824</v>
      </c>
      <c r="O11" s="834"/>
      <c r="P11" s="834" t="s">
        <v>825</v>
      </c>
      <c r="Q11" s="834"/>
      <c r="R11" s="834" t="s">
        <v>826</v>
      </c>
      <c r="S11" s="834"/>
      <c r="T11" s="834" t="s">
        <v>827</v>
      </c>
      <c r="U11" s="834"/>
      <c r="V11" s="834" t="s">
        <v>828</v>
      </c>
      <c r="W11" s="834"/>
      <c r="X11" s="834" t="s">
        <v>829</v>
      </c>
      <c r="Y11" s="834"/>
      <c r="Z11" s="834" t="s">
        <v>830</v>
      </c>
      <c r="AA11" s="834"/>
      <c r="AB11" s="835" t="s">
        <v>63</v>
      </c>
      <c r="AC11" s="836"/>
      <c r="AD11" s="837"/>
    </row>
    <row r="12" spans="2:30" s="387" customFormat="1" ht="15">
      <c r="B12" s="427"/>
      <c r="C12" s="428" t="s">
        <v>831</v>
      </c>
      <c r="D12" s="428" t="s">
        <v>832</v>
      </c>
      <c r="E12" s="429" t="s">
        <v>381</v>
      </c>
      <c r="F12" s="428" t="s">
        <v>832</v>
      </c>
      <c r="G12" s="429" t="s">
        <v>381</v>
      </c>
      <c r="H12" s="428" t="s">
        <v>832</v>
      </c>
      <c r="I12" s="429" t="s">
        <v>381</v>
      </c>
      <c r="J12" s="428" t="s">
        <v>832</v>
      </c>
      <c r="K12" s="429" t="s">
        <v>381</v>
      </c>
      <c r="L12" s="428" t="s">
        <v>832</v>
      </c>
      <c r="M12" s="429" t="s">
        <v>381</v>
      </c>
      <c r="N12" s="428" t="s">
        <v>832</v>
      </c>
      <c r="O12" s="429" t="s">
        <v>381</v>
      </c>
      <c r="P12" s="428" t="s">
        <v>832</v>
      </c>
      <c r="Q12" s="429" t="s">
        <v>381</v>
      </c>
      <c r="R12" s="428" t="s">
        <v>832</v>
      </c>
      <c r="S12" s="429" t="s">
        <v>381</v>
      </c>
      <c r="T12" s="428" t="s">
        <v>832</v>
      </c>
      <c r="U12" s="429" t="s">
        <v>381</v>
      </c>
      <c r="V12" s="428" t="s">
        <v>832</v>
      </c>
      <c r="W12" s="429" t="s">
        <v>381</v>
      </c>
      <c r="X12" s="428" t="s">
        <v>832</v>
      </c>
      <c r="Y12" s="429" t="s">
        <v>381</v>
      </c>
      <c r="Z12" s="428" t="s">
        <v>832</v>
      </c>
      <c r="AA12" s="429" t="s">
        <v>381</v>
      </c>
      <c r="AB12" s="429" t="s">
        <v>832</v>
      </c>
      <c r="AC12" s="428" t="s">
        <v>831</v>
      </c>
      <c r="AD12" s="429" t="s">
        <v>381</v>
      </c>
    </row>
    <row r="13" spans="1:31" s="387" customFormat="1" ht="15">
      <c r="A13" s="833" t="s">
        <v>833</v>
      </c>
      <c r="B13" s="427" t="s">
        <v>24</v>
      </c>
      <c r="C13" s="427">
        <f>+C5</f>
        <v>78887973</v>
      </c>
      <c r="D13" s="427">
        <v>0</v>
      </c>
      <c r="E13" s="427">
        <v>10197469</v>
      </c>
      <c r="F13" s="427">
        <v>0</v>
      </c>
      <c r="G13" s="427">
        <v>10197468</v>
      </c>
      <c r="H13" s="427">
        <f>0-D13-F13</f>
        <v>0</v>
      </c>
      <c r="I13" s="427">
        <f>30592405-E13-G13</f>
        <v>10197468</v>
      </c>
      <c r="J13" s="427">
        <f>0-D13-F13-H13</f>
        <v>0</v>
      </c>
      <c r="K13" s="427">
        <f>30592405-E13-G13-I13</f>
        <v>0</v>
      </c>
      <c r="L13" s="427">
        <f>9782202-D13-F13-H13-J13</f>
        <v>9782202</v>
      </c>
      <c r="M13" s="427">
        <f>36486058-E13-G13-I13-K13</f>
        <v>5893653</v>
      </c>
      <c r="N13" s="427">
        <f>9782202-D13-F13-H13-J13-L13</f>
        <v>0</v>
      </c>
      <c r="O13" s="427">
        <f>36486058-E13-G13-I13-K13-M13</f>
        <v>0</v>
      </c>
      <c r="P13" s="427">
        <f>9782202-D13-F13-H13-J13-L13-N13</f>
        <v>0</v>
      </c>
      <c r="Q13" s="427">
        <f>40674894-E13-G13-I13-K13-M13-O13</f>
        <v>4188836</v>
      </c>
      <c r="R13" s="427"/>
      <c r="S13" s="427"/>
      <c r="T13" s="427"/>
      <c r="U13" s="427"/>
      <c r="V13" s="427"/>
      <c r="W13" s="427"/>
      <c r="X13" s="427"/>
      <c r="Y13" s="427"/>
      <c r="Z13" s="427"/>
      <c r="AA13" s="427"/>
      <c r="AB13" s="427">
        <f>+D13+F13+H13+J13+L13+N13+P13</f>
        <v>9782202</v>
      </c>
      <c r="AC13" s="427">
        <f>+C13-D13-F13-H13-J13-L13-N13-P13</f>
        <v>69105771</v>
      </c>
      <c r="AD13" s="427">
        <f>+E13+G13+I13+K13+M13+O13+Q13</f>
        <v>40674894</v>
      </c>
      <c r="AE13" s="387">
        <v>36486058</v>
      </c>
    </row>
    <row r="14" spans="1:31" s="387" customFormat="1" ht="15">
      <c r="A14" s="833"/>
      <c r="B14" s="427" t="s">
        <v>25</v>
      </c>
      <c r="C14" s="427">
        <f>+C6</f>
        <v>148248728</v>
      </c>
      <c r="D14" s="427">
        <v>12360000</v>
      </c>
      <c r="E14" s="427">
        <v>613145</v>
      </c>
      <c r="F14" s="427">
        <v>0</v>
      </c>
      <c r="G14" s="427">
        <v>450994</v>
      </c>
      <c r="H14" s="427">
        <f>12360000-D14-F14</f>
        <v>0</v>
      </c>
      <c r="I14" s="427">
        <f>1698219-E14-G14</f>
        <v>634080</v>
      </c>
      <c r="J14" s="427">
        <f>12360000-D14-F14-H14</f>
        <v>0</v>
      </c>
      <c r="K14" s="427">
        <f>2213447-E14-G14-I14</f>
        <v>515228</v>
      </c>
      <c r="L14" s="427">
        <f>13013334-D14-F14-H14-J14</f>
        <v>653334</v>
      </c>
      <c r="M14" s="427">
        <f>3831685-E14-G14-I14-K14</f>
        <v>1618238</v>
      </c>
      <c r="N14" s="427">
        <f>36413334-D14-F14-H14-J14-L14</f>
        <v>23400000</v>
      </c>
      <c r="O14" s="427">
        <f>6706689-E14-G14-I14-K14-M14</f>
        <v>2875004</v>
      </c>
      <c r="P14" s="427">
        <f>36449334-D14-F14-H14-J14-L14-N14</f>
        <v>36000</v>
      </c>
      <c r="Q14" s="427">
        <f>7512535-E14-G14-I14-K14-M14-O14</f>
        <v>805846</v>
      </c>
      <c r="R14" s="427"/>
      <c r="S14" s="427"/>
      <c r="T14" s="427"/>
      <c r="U14" s="427"/>
      <c r="V14" s="427"/>
      <c r="W14" s="427"/>
      <c r="X14" s="427"/>
      <c r="Y14" s="427"/>
      <c r="Z14" s="427"/>
      <c r="AA14" s="427"/>
      <c r="AB14" s="427">
        <f>+D14+F14+H14+J14+L14+N14+P14</f>
        <v>36449334</v>
      </c>
      <c r="AC14" s="427">
        <f>+C14-D14-F14-H14-J14-L14-N14-P14</f>
        <v>111799394</v>
      </c>
      <c r="AD14" s="427">
        <f>+E14+G14+I14+K14+M14+O14+Q14</f>
        <v>7512535</v>
      </c>
      <c r="AE14" s="387">
        <v>6706689</v>
      </c>
    </row>
    <row r="15" spans="1:31" s="387" customFormat="1" ht="15">
      <c r="A15" s="833"/>
      <c r="B15" s="427" t="s">
        <v>26</v>
      </c>
      <c r="C15" s="427">
        <f>+C7</f>
        <v>49583934</v>
      </c>
      <c r="D15" s="427">
        <v>25434667</v>
      </c>
      <c r="E15" s="427">
        <v>8240000</v>
      </c>
      <c r="F15" s="427">
        <v>12943667</v>
      </c>
      <c r="G15" s="427">
        <v>0</v>
      </c>
      <c r="H15" s="427">
        <f>38378334-D15-F15</f>
        <v>0</v>
      </c>
      <c r="I15" s="427">
        <f>8240000-E15-G15</f>
        <v>0</v>
      </c>
      <c r="J15" s="427">
        <f>38378334-D15-F15-H15</f>
        <v>0</v>
      </c>
      <c r="K15" s="427">
        <f>8240000-E15-G15-I15</f>
        <v>0</v>
      </c>
      <c r="L15" s="427">
        <f>38378334-D15-F15-H15-J15</f>
        <v>0</v>
      </c>
      <c r="M15" s="427">
        <f>8240000-E15-G15-I15-K15</f>
        <v>0</v>
      </c>
      <c r="N15" s="427">
        <f>38378334-D15-F15-H15-J15-L15</f>
        <v>0</v>
      </c>
      <c r="O15" s="427">
        <f>8240000-E15-G15-I15-K15-M15</f>
        <v>0</v>
      </c>
      <c r="P15" s="427">
        <f>38378334-D15-F15-H15-J15-L15-N15</f>
        <v>0</v>
      </c>
      <c r="Q15" s="427">
        <f>8240000-E15-G15-I15-K15-M15-O15</f>
        <v>0</v>
      </c>
      <c r="R15" s="427"/>
      <c r="S15" s="427"/>
      <c r="T15" s="427"/>
      <c r="U15" s="427"/>
      <c r="V15" s="427"/>
      <c r="W15" s="427"/>
      <c r="X15" s="427"/>
      <c r="Y15" s="427"/>
      <c r="Z15" s="427"/>
      <c r="AA15" s="427"/>
      <c r="AB15" s="427">
        <f>+D15+F15+H15+J15+L15+N15+P15</f>
        <v>38378334</v>
      </c>
      <c r="AC15" s="427">
        <f>+C15-D15-F15-H15-J15-L15-N15-P15</f>
        <v>11205600</v>
      </c>
      <c r="AD15" s="427">
        <f>+E15+G15+I15+K15+M15+O15+Q15</f>
        <v>8240000</v>
      </c>
      <c r="AE15" s="387">
        <v>8240000</v>
      </c>
    </row>
    <row r="16" spans="1:31" s="387" customFormat="1" ht="15">
      <c r="A16" s="833"/>
      <c r="B16" s="427" t="s">
        <v>27</v>
      </c>
      <c r="C16" s="427">
        <f>+C8</f>
        <v>20783308</v>
      </c>
      <c r="D16" s="427">
        <v>0</v>
      </c>
      <c r="E16" s="427">
        <v>10423312</v>
      </c>
      <c r="F16" s="427">
        <v>22323</v>
      </c>
      <c r="G16" s="427">
        <v>0</v>
      </c>
      <c r="H16" s="427">
        <f>22323-D16-F16</f>
        <v>0</v>
      </c>
      <c r="I16" s="427">
        <f>10423312-E16-G16</f>
        <v>0</v>
      </c>
      <c r="J16" s="427">
        <f>22323-D16-F16-H16</f>
        <v>0</v>
      </c>
      <c r="K16" s="427">
        <f>10423312-E16-G16-I16</f>
        <v>0</v>
      </c>
      <c r="L16" s="427">
        <f>22323-D16-F16-H16-J16</f>
        <v>0</v>
      </c>
      <c r="M16" s="427">
        <f>16912312-E16-G16-I16-K16</f>
        <v>6489000</v>
      </c>
      <c r="N16" s="427">
        <f>1744323-D16-F16-H16-J16-L16</f>
        <v>1722000</v>
      </c>
      <c r="O16" s="427">
        <f>16912312-E16-G16-I16-K16-M16</f>
        <v>0</v>
      </c>
      <c r="P16" s="427">
        <f>1744323-D16-F16-H16-J16-L16-N16</f>
        <v>0</v>
      </c>
      <c r="Q16" s="427">
        <f>16912312-E16-G16-I16-K16-M16-O16</f>
        <v>0</v>
      </c>
      <c r="R16" s="427"/>
      <c r="S16" s="427"/>
      <c r="T16" s="427"/>
      <c r="U16" s="427"/>
      <c r="V16" s="427"/>
      <c r="W16" s="427"/>
      <c r="X16" s="427"/>
      <c r="Y16" s="427"/>
      <c r="Z16" s="427"/>
      <c r="AA16" s="427"/>
      <c r="AB16" s="427">
        <f>+D16+F16+H16+J16+L16+N16+P16</f>
        <v>1744323</v>
      </c>
      <c r="AC16" s="427">
        <f>+C16-D16-F16-H16-J16-L16-N16-P16</f>
        <v>19038985</v>
      </c>
      <c r="AD16" s="427">
        <f>+E16+G16+I16+K16+M16+O16+Q16</f>
        <v>16912312</v>
      </c>
      <c r="AE16" s="387">
        <v>16912312</v>
      </c>
    </row>
    <row r="17" spans="1:30" s="387" customFormat="1" ht="15">
      <c r="A17" s="833"/>
      <c r="B17" s="428" t="s">
        <v>8</v>
      </c>
      <c r="C17" s="428">
        <f aca="true" t="shared" si="0" ref="C17:Q17">SUM(C13:C16)</f>
        <v>297503943</v>
      </c>
      <c r="D17" s="428">
        <f t="shared" si="0"/>
        <v>37794667</v>
      </c>
      <c r="E17" s="428">
        <f t="shared" si="0"/>
        <v>29473926</v>
      </c>
      <c r="F17" s="428">
        <f t="shared" si="0"/>
        <v>12965990</v>
      </c>
      <c r="G17" s="428">
        <f t="shared" si="0"/>
        <v>10648462</v>
      </c>
      <c r="H17" s="428">
        <f t="shared" si="0"/>
        <v>0</v>
      </c>
      <c r="I17" s="428">
        <f t="shared" si="0"/>
        <v>10831548</v>
      </c>
      <c r="J17" s="428">
        <f t="shared" si="0"/>
        <v>0</v>
      </c>
      <c r="K17" s="428">
        <f t="shared" si="0"/>
        <v>515228</v>
      </c>
      <c r="L17" s="428">
        <f t="shared" si="0"/>
        <v>10435536</v>
      </c>
      <c r="M17" s="428">
        <f t="shared" si="0"/>
        <v>14000891</v>
      </c>
      <c r="N17" s="428">
        <f t="shared" si="0"/>
        <v>25122000</v>
      </c>
      <c r="O17" s="428">
        <f t="shared" si="0"/>
        <v>2875004</v>
      </c>
      <c r="P17" s="428">
        <f t="shared" si="0"/>
        <v>36000</v>
      </c>
      <c r="Q17" s="428">
        <f t="shared" si="0"/>
        <v>4994682</v>
      </c>
      <c r="R17" s="427"/>
      <c r="S17" s="428"/>
      <c r="T17" s="427"/>
      <c r="U17" s="428"/>
      <c r="V17" s="427"/>
      <c r="W17" s="428"/>
      <c r="X17" s="427"/>
      <c r="Y17" s="428"/>
      <c r="Z17" s="427"/>
      <c r="AA17" s="428"/>
      <c r="AB17" s="428">
        <f>SUM(AB13:AB16)</f>
        <v>86354193</v>
      </c>
      <c r="AC17" s="428">
        <f>SUM(AC13:AC16)</f>
        <v>211149750</v>
      </c>
      <c r="AD17" s="428">
        <f>SUM(AD13:AD16)</f>
        <v>73339741</v>
      </c>
    </row>
    <row r="18" spans="3:31" ht="15">
      <c r="C18" s="434">
        <v>297503943</v>
      </c>
      <c r="AB18" s="463">
        <v>86354193</v>
      </c>
      <c r="AC18" s="464">
        <v>211149750</v>
      </c>
      <c r="AD18" s="435">
        <v>73339741</v>
      </c>
      <c r="AE18" s="448">
        <f>+AD18/AC18</f>
        <v>0.34733520167558807</v>
      </c>
    </row>
    <row r="19" spans="28:30" ht="15">
      <c r="AB19" s="442">
        <f>+AB17-AB18</f>
        <v>0</v>
      </c>
      <c r="AC19" s="442">
        <f>+AC17-AC18</f>
        <v>0</v>
      </c>
      <c r="AD19" s="442">
        <f>+AD17-AD18</f>
        <v>0</v>
      </c>
    </row>
    <row r="20" spans="2:3" ht="15">
      <c r="B20" t="s">
        <v>24</v>
      </c>
      <c r="C20" s="387">
        <f>+'Meta 1'!O24</f>
        <v>69105771</v>
      </c>
    </row>
    <row r="21" spans="2:29" ht="15">
      <c r="B21" t="s">
        <v>25</v>
      </c>
      <c r="C21" s="387">
        <f>+'Metas 2'!O24</f>
        <v>111799394</v>
      </c>
      <c r="AC21" s="450">
        <v>69105771</v>
      </c>
    </row>
    <row r="22" spans="2:29" ht="15">
      <c r="B22" t="s">
        <v>26</v>
      </c>
      <c r="C22" s="387">
        <f>+'Meta 3'!O24</f>
        <v>11205600</v>
      </c>
      <c r="AC22" s="450">
        <v>111835394</v>
      </c>
    </row>
    <row r="23" spans="2:29" ht="15">
      <c r="B23" t="s">
        <v>27</v>
      </c>
      <c r="C23" s="387">
        <f>+'Meta 4'!O24</f>
        <v>19038985</v>
      </c>
      <c r="AC23" s="450">
        <v>11205600</v>
      </c>
    </row>
    <row r="24" spans="2:29" ht="15">
      <c r="B24" t="s">
        <v>8</v>
      </c>
      <c r="AC24" s="450">
        <v>19038985</v>
      </c>
    </row>
    <row r="25" ht="15">
      <c r="C25" s="387">
        <f>+C13-C20</f>
        <v>9782202</v>
      </c>
    </row>
    <row r="26" ht="15">
      <c r="C26" s="450">
        <f>+C14-C21</f>
        <v>36449334</v>
      </c>
    </row>
    <row r="27" ht="15">
      <c r="C27" s="450">
        <f>+C15-C22</f>
        <v>38378334</v>
      </c>
    </row>
    <row r="28" ht="15">
      <c r="C28" s="450">
        <f>+C16-C23</f>
        <v>1744323</v>
      </c>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1"/>
  <sheetViews>
    <sheetView zoomScalePageLayoutView="0" workbookViewId="0" topLeftCell="L1">
      <selection activeCell="AD18" sqref="AD18"/>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customWidth="1"/>
    <col min="7" max="7" width="14.00390625" style="0" customWidth="1"/>
    <col min="8" max="8" width="16.57421875" style="0" customWidth="1"/>
    <col min="9" max="9" width="16.421875" style="0" customWidth="1"/>
    <col min="10" max="10" width="16.57421875" style="0" customWidth="1"/>
    <col min="11" max="11" width="15.8515625" style="0" customWidth="1"/>
    <col min="12" max="12" width="16.7109375" style="0" customWidth="1"/>
    <col min="13" max="13" width="19.421875" style="0" customWidth="1"/>
    <col min="14" max="14" width="16.7109375" style="0" customWidth="1"/>
    <col min="15" max="15" width="15.57421875" style="0" customWidth="1"/>
    <col min="16" max="16" width="16.7109375" style="0" customWidth="1"/>
    <col min="17" max="17" width="15.57421875" style="0" customWidth="1"/>
    <col min="18"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759</v>
      </c>
    </row>
    <row r="5" spans="2:6" ht="15">
      <c r="B5" t="s">
        <v>751</v>
      </c>
      <c r="C5" s="387" t="s">
        <v>758</v>
      </c>
      <c r="E5" t="s">
        <v>835</v>
      </c>
      <c r="F5" t="s">
        <v>836</v>
      </c>
    </row>
    <row r="6" spans="2:6" ht="15">
      <c r="B6" t="s">
        <v>753</v>
      </c>
      <c r="C6" s="387">
        <v>2430523029</v>
      </c>
      <c r="D6" s="389">
        <f>+C6/$C$10</f>
        <v>0.20969674359270574</v>
      </c>
      <c r="E6" s="430">
        <f>+'Meta 1'!AC22</f>
        <v>2430523029</v>
      </c>
      <c r="F6" s="431">
        <f>+C6-E6</f>
        <v>0</v>
      </c>
    </row>
    <row r="7" spans="2:6" ht="15">
      <c r="B7" t="s">
        <v>754</v>
      </c>
      <c r="C7" s="387">
        <v>6698541216</v>
      </c>
      <c r="D7" s="389">
        <f>+C7/$C$10</f>
        <v>0.5779259291341293</v>
      </c>
      <c r="E7" s="430">
        <f>+'Metas 2'!AC22</f>
        <v>6698541216</v>
      </c>
      <c r="F7" s="431">
        <f>+C7-E7</f>
        <v>0</v>
      </c>
    </row>
    <row r="8" spans="2:6" ht="15">
      <c r="B8" t="s">
        <v>755</v>
      </c>
      <c r="C8" s="387">
        <v>1523808689</v>
      </c>
      <c r="D8" s="389">
        <f>+C8/$C$10</f>
        <v>0.1314687069939176</v>
      </c>
      <c r="E8" s="430">
        <f>+'Meta 3'!AC22</f>
        <v>1523808689</v>
      </c>
      <c r="F8" s="431">
        <f>+C8-E8</f>
        <v>0</v>
      </c>
    </row>
    <row r="9" spans="2:6" ht="15">
      <c r="B9" t="s">
        <v>756</v>
      </c>
      <c r="C9" s="387">
        <v>937784066</v>
      </c>
      <c r="D9" s="389">
        <f>+C9/$C$10</f>
        <v>0.08090862027924733</v>
      </c>
      <c r="E9" s="430">
        <f>+'Meta 4'!AC22</f>
        <v>937784066</v>
      </c>
      <c r="F9" s="431">
        <f>+C9-E9</f>
        <v>0</v>
      </c>
    </row>
    <row r="10" spans="2:5" ht="15">
      <c r="B10" t="s">
        <v>757</v>
      </c>
      <c r="C10" s="387">
        <v>11590657000</v>
      </c>
      <c r="E10" s="431">
        <f>SUM(E6:E9)</f>
        <v>11590657000</v>
      </c>
    </row>
    <row r="13" spans="4:29" s="387" customFormat="1" ht="15">
      <c r="D13" s="834" t="s">
        <v>819</v>
      </c>
      <c r="E13" s="834"/>
      <c r="F13" s="834" t="s">
        <v>820</v>
      </c>
      <c r="G13" s="834"/>
      <c r="H13" s="834" t="s">
        <v>821</v>
      </c>
      <c r="I13" s="834"/>
      <c r="J13" s="834" t="s">
        <v>822</v>
      </c>
      <c r="K13" s="834"/>
      <c r="L13" s="834" t="s">
        <v>823</v>
      </c>
      <c r="M13" s="834"/>
      <c r="N13" s="834" t="s">
        <v>824</v>
      </c>
      <c r="O13" s="834"/>
      <c r="P13" s="834" t="s">
        <v>825</v>
      </c>
      <c r="Q13" s="834"/>
      <c r="R13" s="834" t="s">
        <v>826</v>
      </c>
      <c r="S13" s="834"/>
      <c r="T13" s="834" t="s">
        <v>827</v>
      </c>
      <c r="U13" s="834"/>
      <c r="V13" s="834" t="s">
        <v>828</v>
      </c>
      <c r="W13" s="834"/>
      <c r="X13" s="834" t="s">
        <v>829</v>
      </c>
      <c r="Y13" s="834"/>
      <c r="Z13" s="834" t="s">
        <v>830</v>
      </c>
      <c r="AA13" s="834"/>
      <c r="AB13" s="834" t="s">
        <v>63</v>
      </c>
      <c r="AC13" s="834"/>
    </row>
    <row r="14" spans="2:29" s="387" customFormat="1" ht="15">
      <c r="B14" s="427"/>
      <c r="C14" s="428" t="s">
        <v>834</v>
      </c>
      <c r="D14" s="428" t="s">
        <v>379</v>
      </c>
      <c r="E14" s="429" t="s">
        <v>381</v>
      </c>
      <c r="F14" s="428" t="s">
        <v>379</v>
      </c>
      <c r="G14" s="429" t="s">
        <v>381</v>
      </c>
      <c r="H14" s="428" t="s">
        <v>379</v>
      </c>
      <c r="I14" s="429" t="s">
        <v>381</v>
      </c>
      <c r="J14" s="428" t="s">
        <v>379</v>
      </c>
      <c r="K14" s="429" t="s">
        <v>381</v>
      </c>
      <c r="L14" s="428" t="s">
        <v>379</v>
      </c>
      <c r="M14" s="429" t="s">
        <v>381</v>
      </c>
      <c r="N14" s="428" t="s">
        <v>379</v>
      </c>
      <c r="O14" s="429" t="s">
        <v>381</v>
      </c>
      <c r="P14" s="428" t="s">
        <v>379</v>
      </c>
      <c r="Q14" s="429" t="s">
        <v>381</v>
      </c>
      <c r="R14" s="428" t="s">
        <v>379</v>
      </c>
      <c r="S14" s="429" t="s">
        <v>381</v>
      </c>
      <c r="T14" s="428" t="s">
        <v>379</v>
      </c>
      <c r="U14" s="429" t="s">
        <v>381</v>
      </c>
      <c r="V14" s="428" t="s">
        <v>379</v>
      </c>
      <c r="W14" s="429" t="s">
        <v>381</v>
      </c>
      <c r="X14" s="428" t="s">
        <v>379</v>
      </c>
      <c r="Y14" s="429" t="s">
        <v>381</v>
      </c>
      <c r="Z14" s="428" t="s">
        <v>379</v>
      </c>
      <c r="AA14" s="429" t="s">
        <v>381</v>
      </c>
      <c r="AB14" s="428" t="s">
        <v>379</v>
      </c>
      <c r="AC14" s="429" t="s">
        <v>381</v>
      </c>
    </row>
    <row r="15" spans="1:33" s="387" customFormat="1" ht="15">
      <c r="A15" s="833" t="s">
        <v>833</v>
      </c>
      <c r="B15" s="427" t="s">
        <v>24</v>
      </c>
      <c r="C15" s="427">
        <f>+C6</f>
        <v>2430523029</v>
      </c>
      <c r="D15" s="427">
        <v>525838496</v>
      </c>
      <c r="E15" s="427">
        <v>0</v>
      </c>
      <c r="F15" s="427">
        <v>142212061</v>
      </c>
      <c r="G15" s="427">
        <v>12534268</v>
      </c>
      <c r="H15" s="427">
        <f>649450759-D15-F15</f>
        <v>-18599798</v>
      </c>
      <c r="I15" s="427">
        <f>59840731-E15-G15</f>
        <v>47306463</v>
      </c>
      <c r="J15" s="427">
        <f>930184092-D15-F15-H15</f>
        <v>280733333</v>
      </c>
      <c r="K15" s="427">
        <f>114813861-E15-G15-I15</f>
        <v>54973130</v>
      </c>
      <c r="L15" s="427">
        <f>1739755706-D15-F15-H15-J15</f>
        <v>809571614</v>
      </c>
      <c r="M15" s="427">
        <f>482499236-E15-G15-I15-K15</f>
        <v>367685375</v>
      </c>
      <c r="N15" s="427">
        <f>2043191375-D15-F15-H15-J15-L15</f>
        <v>303435669</v>
      </c>
      <c r="O15" s="427">
        <f>537472366-E15-G15-I15-K15-M15</f>
        <v>54973130</v>
      </c>
      <c r="P15" s="427">
        <f>2120333880-D15-F15-H15-J15-L15-N15</f>
        <v>77142505</v>
      </c>
      <c r="Q15" s="427">
        <f>1415742392-E15-G15-I15-K15-M15-O15</f>
        <v>878270026</v>
      </c>
      <c r="R15" s="427"/>
      <c r="S15" s="427"/>
      <c r="T15" s="427"/>
      <c r="U15" s="427"/>
      <c r="V15" s="427"/>
      <c r="W15" s="427"/>
      <c r="X15" s="427"/>
      <c r="Y15" s="427"/>
      <c r="Z15" s="427"/>
      <c r="AA15" s="427"/>
      <c r="AB15" s="427">
        <f>+D15+F15+H15+J15+L15+N15+P15</f>
        <v>2120333880</v>
      </c>
      <c r="AC15" s="427">
        <f>+E15+G15+I15+K15+M15+O15+Q15</f>
        <v>1415742392</v>
      </c>
      <c r="AD15" s="387">
        <v>1415742392</v>
      </c>
      <c r="AE15" s="445">
        <f>+AC15/AB15</f>
        <v>0.6676978589805865</v>
      </c>
      <c r="AG15" s="387">
        <v>649450759</v>
      </c>
    </row>
    <row r="16" spans="1:33" s="387" customFormat="1" ht="15">
      <c r="A16" s="833"/>
      <c r="B16" s="427" t="s">
        <v>25</v>
      </c>
      <c r="C16" s="427">
        <f>+C7</f>
        <v>6698541216</v>
      </c>
      <c r="D16" s="427">
        <v>6153982761</v>
      </c>
      <c r="E16" s="427">
        <v>7763070</v>
      </c>
      <c r="F16" s="427">
        <v>187249867</v>
      </c>
      <c r="G16" s="427">
        <v>354001805</v>
      </c>
      <c r="H16" s="427">
        <f>6353623948-D16-F16</f>
        <v>12391320</v>
      </c>
      <c r="I16" s="427">
        <f>887313432-E16-G16</f>
        <v>525548557</v>
      </c>
      <c r="J16" s="427">
        <f>6430070848-D16-F16-H16</f>
        <v>76446900</v>
      </c>
      <c r="K16" s="427">
        <f>1434537815-E16-G16-I16</f>
        <v>547224383</v>
      </c>
      <c r="L16" s="427">
        <f>6410965201-D16-F16-H16-J16</f>
        <v>-19105647</v>
      </c>
      <c r="M16" s="427">
        <f>1992466214-E16-G16-I16-K16</f>
        <v>557928399</v>
      </c>
      <c r="N16" s="427">
        <f>6479279201-D16-F16-H16-J16-L16</f>
        <v>68314000</v>
      </c>
      <c r="O16" s="427">
        <f>2529061280-E16-G16-I16-K16-M16</f>
        <v>536595066</v>
      </c>
      <c r="P16" s="427">
        <f>6473884534-D16-F16-H16-J16-L16-N16</f>
        <v>-5394667</v>
      </c>
      <c r="Q16" s="427">
        <f>3088833679-E16-G16-I16-K16-M16-O16</f>
        <v>559772399</v>
      </c>
      <c r="R16" s="427"/>
      <c r="S16" s="427"/>
      <c r="T16" s="427"/>
      <c r="U16" s="427"/>
      <c r="V16" s="427"/>
      <c r="W16" s="427"/>
      <c r="X16" s="427"/>
      <c r="Y16" s="427"/>
      <c r="Z16" s="427"/>
      <c r="AA16" s="427"/>
      <c r="AB16" s="427">
        <f>+D16+F16+H16+J16+L16+N16+P16</f>
        <v>6473884534</v>
      </c>
      <c r="AC16" s="427">
        <f>+E16+G16+I16+K16+M16+O16+Q16</f>
        <v>3088833679</v>
      </c>
      <c r="AD16" s="387">
        <v>3088833679</v>
      </c>
      <c r="AE16" s="445">
        <f>+AC16/AB16</f>
        <v>0.47712214556466787</v>
      </c>
      <c r="AG16" s="430">
        <v>6353623948</v>
      </c>
    </row>
    <row r="17" spans="1:33" s="387" customFormat="1" ht="15">
      <c r="A17" s="833"/>
      <c r="B17" s="427" t="s">
        <v>26</v>
      </c>
      <c r="C17" s="427">
        <f>+C8</f>
        <v>1523808689</v>
      </c>
      <c r="D17" s="427">
        <v>1112475156</v>
      </c>
      <c r="E17" s="427">
        <v>0</v>
      </c>
      <c r="F17" s="427">
        <v>308525999</v>
      </c>
      <c r="G17" s="427">
        <v>45917998</v>
      </c>
      <c r="H17" s="427">
        <f>1500080199-D17-F17</f>
        <v>79079044</v>
      </c>
      <c r="I17" s="427">
        <f>155918395-E17-G17</f>
        <v>110000397</v>
      </c>
      <c r="J17" s="427">
        <f>1465602433-D17-F17-H17</f>
        <v>-34477766</v>
      </c>
      <c r="K17" s="427">
        <f>280178392-E17-G17-I17</f>
        <v>124259997</v>
      </c>
      <c r="L17" s="427">
        <f>1445311434-D17-F17-H17-J17</f>
        <v>-20290999</v>
      </c>
      <c r="M17" s="427">
        <f>410481056-E17-G17-I17-K17</f>
        <v>130302664</v>
      </c>
      <c r="N17" s="427">
        <f>1472091434-D17-F17-H17-J17-L17</f>
        <v>26780000</v>
      </c>
      <c r="O17" s="427">
        <f>540783720-E17-G17-I17-K17-M17</f>
        <v>130302664</v>
      </c>
      <c r="P17" s="427">
        <f>1472091434-D17-F17-H17-J17-L17-N17</f>
        <v>0</v>
      </c>
      <c r="Q17" s="427">
        <f>677781384-E17-G17-I17-K17-M17-O17</f>
        <v>136997664</v>
      </c>
      <c r="R17" s="427"/>
      <c r="S17" s="427"/>
      <c r="T17" s="427"/>
      <c r="U17" s="427"/>
      <c r="V17" s="427"/>
      <c r="W17" s="427"/>
      <c r="X17" s="427"/>
      <c r="Y17" s="427"/>
      <c r="Z17" s="427"/>
      <c r="AA17" s="427"/>
      <c r="AB17" s="427">
        <f>+D17+F17+H17+J17+L17+N17+P17</f>
        <v>1472091434</v>
      </c>
      <c r="AC17" s="427">
        <f>+E17+G17+I17+K17+M17+O17+Q17</f>
        <v>677781384</v>
      </c>
      <c r="AD17" s="387">
        <v>677781384</v>
      </c>
      <c r="AE17" s="445">
        <f>+AC17/AB17</f>
        <v>0.46042071052496863</v>
      </c>
      <c r="AG17" s="430">
        <v>1500080199</v>
      </c>
    </row>
    <row r="18" spans="1:33" s="387" customFormat="1" ht="15">
      <c r="A18" s="833"/>
      <c r="B18" s="427" t="s">
        <v>27</v>
      </c>
      <c r="C18" s="427">
        <f>+C9</f>
        <v>937784066</v>
      </c>
      <c r="D18" s="427">
        <v>582044581</v>
      </c>
      <c r="E18" s="427">
        <v>0</v>
      </c>
      <c r="F18" s="427">
        <v>67850000</v>
      </c>
      <c r="G18" s="427">
        <v>24978180</v>
      </c>
      <c r="H18" s="427">
        <f>715793783-D18-F18</f>
        <v>65899202</v>
      </c>
      <c r="I18" s="427">
        <f>85150492-E18-G18</f>
        <v>60172312</v>
      </c>
      <c r="J18" s="427">
        <f>711713783-D18-F18-H18</f>
        <v>-4080000</v>
      </c>
      <c r="K18" s="427">
        <f>150902804-E18-G18-I18</f>
        <v>65752312</v>
      </c>
      <c r="L18" s="427">
        <f>696027116-D18-F18-H18-J18</f>
        <v>-15686667</v>
      </c>
      <c r="M18" s="427">
        <f>221535116-E18-G18-I18-K18</f>
        <v>70632312</v>
      </c>
      <c r="N18" s="427">
        <f>769387116-D18-F18-H18-J18-L18</f>
        <v>73360000</v>
      </c>
      <c r="O18" s="427">
        <f>289324116-E18-G18-I18-K18-M18</f>
        <v>67789000</v>
      </c>
      <c r="P18" s="427">
        <f>769387116-D18-F18-H18-J18-L18-N18</f>
        <v>0</v>
      </c>
      <c r="Q18" s="427">
        <f>357113116-E18-G18-I18-K18-M18-O18</f>
        <v>67789000</v>
      </c>
      <c r="R18" s="427"/>
      <c r="S18" s="427"/>
      <c r="T18" s="427"/>
      <c r="U18" s="427"/>
      <c r="V18" s="427"/>
      <c r="W18" s="427"/>
      <c r="X18" s="427"/>
      <c r="Y18" s="427"/>
      <c r="Z18" s="427"/>
      <c r="AA18" s="427"/>
      <c r="AB18" s="427">
        <f>+D18+F18+H18+J18+L18+N18+P18</f>
        <v>769387116</v>
      </c>
      <c r="AC18" s="427">
        <f>+E18+G18+I18+K18+M18+O18+Q18</f>
        <v>357113116</v>
      </c>
      <c r="AD18" s="387">
        <v>357113116</v>
      </c>
      <c r="AE18" s="445">
        <f>+AC18/AB18</f>
        <v>0.4641527113900878</v>
      </c>
      <c r="AG18" s="430">
        <v>715793783</v>
      </c>
    </row>
    <row r="19" spans="1:33" s="387" customFormat="1" ht="15">
      <c r="A19" s="833"/>
      <c r="B19" s="427"/>
      <c r="C19" s="428">
        <f>SUM(C15:C18)</f>
        <v>11590657000</v>
      </c>
      <c r="D19" s="428">
        <f>SUM(D15:D18)</f>
        <v>8374340994</v>
      </c>
      <c r="E19" s="428">
        <f>SUM(E15:E18)</f>
        <v>7763070</v>
      </c>
      <c r="F19" s="428">
        <f>SUM(F15:F18)</f>
        <v>705837927</v>
      </c>
      <c r="G19" s="428">
        <f>SUM(G15:G18)</f>
        <v>437432251</v>
      </c>
      <c r="H19" s="428">
        <f aca="true" t="shared" si="0" ref="H19:AA19">SUM(H15:H18)</f>
        <v>138769768</v>
      </c>
      <c r="I19" s="428">
        <f t="shared" si="0"/>
        <v>743027729</v>
      </c>
      <c r="J19" s="428">
        <f>SUM(J15:J18)</f>
        <v>318622467</v>
      </c>
      <c r="K19" s="428">
        <f t="shared" si="0"/>
        <v>792209822</v>
      </c>
      <c r="L19" s="428">
        <f t="shared" si="0"/>
        <v>754488301</v>
      </c>
      <c r="M19" s="428">
        <f t="shared" si="0"/>
        <v>1126548750</v>
      </c>
      <c r="N19" s="428">
        <f t="shared" si="0"/>
        <v>471889669</v>
      </c>
      <c r="O19" s="428">
        <f t="shared" si="0"/>
        <v>789659860</v>
      </c>
      <c r="P19" s="428">
        <f t="shared" si="0"/>
        <v>71747838</v>
      </c>
      <c r="Q19" s="428">
        <f t="shared" si="0"/>
        <v>1642829089</v>
      </c>
      <c r="R19" s="428">
        <f t="shared" si="0"/>
        <v>0</v>
      </c>
      <c r="S19" s="428">
        <f t="shared" si="0"/>
        <v>0</v>
      </c>
      <c r="T19" s="428">
        <f t="shared" si="0"/>
        <v>0</v>
      </c>
      <c r="U19" s="428">
        <f t="shared" si="0"/>
        <v>0</v>
      </c>
      <c r="V19" s="428">
        <f t="shared" si="0"/>
        <v>0</v>
      </c>
      <c r="W19" s="428">
        <f t="shared" si="0"/>
        <v>0</v>
      </c>
      <c r="X19" s="428">
        <f t="shared" si="0"/>
        <v>0</v>
      </c>
      <c r="Y19" s="428">
        <f t="shared" si="0"/>
        <v>0</v>
      </c>
      <c r="Z19" s="428">
        <f t="shared" si="0"/>
        <v>0</v>
      </c>
      <c r="AA19" s="428">
        <f t="shared" si="0"/>
        <v>0</v>
      </c>
      <c r="AB19" s="428">
        <f>SUM(AB15:AB18)</f>
        <v>10835696964</v>
      </c>
      <c r="AC19" s="428">
        <f>SUM(AC15:AC18)</f>
        <v>5539470571</v>
      </c>
      <c r="AG19" s="430"/>
    </row>
    <row r="20" spans="28:30" ht="15">
      <c r="AB20" s="435">
        <v>10835696964</v>
      </c>
      <c r="AC20" s="435">
        <v>5539470571</v>
      </c>
      <c r="AD20" s="436">
        <f>+AC20/AB20</f>
        <v>0.511224205457579</v>
      </c>
    </row>
    <row r="22" ht="15">
      <c r="AD22" s="446" t="s">
        <v>839</v>
      </c>
    </row>
    <row r="26" spans="3:6" ht="15">
      <c r="C26">
        <v>2020</v>
      </c>
      <c r="D26">
        <v>2021</v>
      </c>
      <c r="E26">
        <v>2022</v>
      </c>
      <c r="F26">
        <v>2023</v>
      </c>
    </row>
    <row r="27" spans="2:28" ht="15">
      <c r="B27" s="437" t="s">
        <v>835</v>
      </c>
      <c r="C27" s="438">
        <v>0.1</v>
      </c>
      <c r="D27" s="438">
        <v>0.35</v>
      </c>
      <c r="E27" s="438">
        <v>0.6</v>
      </c>
      <c r="F27" s="438">
        <v>0.85</v>
      </c>
      <c r="AB27" s="431"/>
    </row>
    <row r="28" spans="3:28" ht="15">
      <c r="C28" s="439">
        <v>0.1</v>
      </c>
      <c r="D28" s="439">
        <v>0.35</v>
      </c>
      <c r="E28" s="439">
        <v>0.6</v>
      </c>
      <c r="F28" s="439">
        <v>0.85</v>
      </c>
      <c r="AB28" s="431"/>
    </row>
    <row r="29" spans="2:28" ht="15">
      <c r="B29" s="440" t="s">
        <v>837</v>
      </c>
      <c r="C29" s="441">
        <f>+C28</f>
        <v>0.1</v>
      </c>
      <c r="D29" s="442">
        <f>+D28-C28</f>
        <v>0.24999999999999997</v>
      </c>
      <c r="E29" s="442">
        <f>+E28-D28</f>
        <v>0.25</v>
      </c>
      <c r="F29" s="442">
        <f>+F28-E28</f>
        <v>0.25</v>
      </c>
      <c r="AB29" s="431"/>
    </row>
    <row r="30" spans="2:28" ht="15">
      <c r="B30" s="437"/>
      <c r="C30" s="437"/>
      <c r="D30" s="437"/>
      <c r="F30" s="443">
        <f>+'Meta 4'!P35</f>
        <v>0.7374999999999999</v>
      </c>
      <c r="G30" t="s">
        <v>838</v>
      </c>
      <c r="AB30" s="431"/>
    </row>
    <row r="31" spans="2:7" ht="15">
      <c r="B31" s="437"/>
      <c r="C31" s="437"/>
      <c r="D31" s="437"/>
      <c r="F31" s="444">
        <f>+F30-E27</f>
        <v>0.13749999999999996</v>
      </c>
      <c r="G31" t="s">
        <v>837</v>
      </c>
    </row>
  </sheetData>
  <sheetProtection/>
  <mergeCells count="14">
    <mergeCell ref="AB13:AC13"/>
    <mergeCell ref="A15:A19"/>
    <mergeCell ref="P13:Q13"/>
    <mergeCell ref="R13:S13"/>
    <mergeCell ref="T13:U13"/>
    <mergeCell ref="V13:W13"/>
    <mergeCell ref="X13:Y13"/>
    <mergeCell ref="Z13:AA13"/>
    <mergeCell ref="D13:E13"/>
    <mergeCell ref="F13:G13"/>
    <mergeCell ref="H13:I13"/>
    <mergeCell ref="J13:K13"/>
    <mergeCell ref="L13:M13"/>
    <mergeCell ref="N13:O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O43"/>
  <sheetViews>
    <sheetView showGridLines="0" zoomScale="70" zoomScaleNormal="70" workbookViewId="0" topLeftCell="H34">
      <selection activeCell="K35" sqref="K35"/>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46"/>
      <c r="B1" s="849" t="s">
        <v>16</v>
      </c>
      <c r="C1" s="850"/>
      <c r="D1" s="850"/>
      <c r="E1" s="850"/>
      <c r="F1" s="850"/>
      <c r="G1" s="850"/>
      <c r="H1" s="850"/>
      <c r="I1" s="850"/>
      <c r="J1" s="850"/>
      <c r="K1" s="850"/>
      <c r="L1" s="850"/>
      <c r="M1" s="850"/>
      <c r="N1" s="850"/>
      <c r="O1" s="850"/>
      <c r="P1" s="850"/>
      <c r="Q1" s="850"/>
      <c r="R1" s="850"/>
      <c r="S1" s="850"/>
      <c r="T1" s="850"/>
      <c r="U1" s="850"/>
      <c r="V1" s="850"/>
      <c r="W1" s="850"/>
      <c r="X1" s="850"/>
      <c r="Y1" s="850"/>
      <c r="Z1" s="850"/>
      <c r="AA1" s="851"/>
      <c r="AB1" s="852" t="s">
        <v>423</v>
      </c>
      <c r="AC1" s="853"/>
      <c r="AD1" s="854"/>
    </row>
    <row r="2" spans="1:30" ht="30.75" customHeight="1" thickBot="1">
      <c r="A2" s="847"/>
      <c r="B2" s="849" t="s">
        <v>17</v>
      </c>
      <c r="C2" s="850"/>
      <c r="D2" s="850"/>
      <c r="E2" s="850"/>
      <c r="F2" s="850"/>
      <c r="G2" s="850"/>
      <c r="H2" s="850"/>
      <c r="I2" s="850"/>
      <c r="J2" s="850"/>
      <c r="K2" s="850"/>
      <c r="L2" s="850"/>
      <c r="M2" s="850"/>
      <c r="N2" s="850"/>
      <c r="O2" s="850"/>
      <c r="P2" s="850"/>
      <c r="Q2" s="850"/>
      <c r="R2" s="850"/>
      <c r="S2" s="850"/>
      <c r="T2" s="850"/>
      <c r="U2" s="850"/>
      <c r="V2" s="850"/>
      <c r="W2" s="850"/>
      <c r="X2" s="850"/>
      <c r="Y2" s="850"/>
      <c r="Z2" s="850"/>
      <c r="AA2" s="851"/>
      <c r="AB2" s="855" t="s">
        <v>418</v>
      </c>
      <c r="AC2" s="856"/>
      <c r="AD2" s="857"/>
    </row>
    <row r="3" spans="1:30" ht="24" customHeight="1">
      <c r="A3" s="847"/>
      <c r="B3" s="858" t="s">
        <v>295</v>
      </c>
      <c r="C3" s="859"/>
      <c r="D3" s="859"/>
      <c r="E3" s="859"/>
      <c r="F3" s="859"/>
      <c r="G3" s="859"/>
      <c r="H3" s="859"/>
      <c r="I3" s="859"/>
      <c r="J3" s="859"/>
      <c r="K3" s="859"/>
      <c r="L3" s="859"/>
      <c r="M3" s="859"/>
      <c r="N3" s="859"/>
      <c r="O3" s="859"/>
      <c r="P3" s="859"/>
      <c r="Q3" s="859"/>
      <c r="R3" s="859"/>
      <c r="S3" s="859"/>
      <c r="T3" s="859"/>
      <c r="U3" s="859"/>
      <c r="V3" s="859"/>
      <c r="W3" s="859"/>
      <c r="X3" s="859"/>
      <c r="Y3" s="859"/>
      <c r="Z3" s="859"/>
      <c r="AA3" s="860"/>
      <c r="AB3" s="855" t="s">
        <v>424</v>
      </c>
      <c r="AC3" s="856"/>
      <c r="AD3" s="857"/>
    </row>
    <row r="4" spans="1:30" ht="21.75" customHeight="1" thickBot="1">
      <c r="A4" s="848"/>
      <c r="B4" s="861"/>
      <c r="C4" s="862"/>
      <c r="D4" s="862"/>
      <c r="E4" s="862"/>
      <c r="F4" s="862"/>
      <c r="G4" s="862"/>
      <c r="H4" s="862"/>
      <c r="I4" s="862"/>
      <c r="J4" s="862"/>
      <c r="K4" s="862"/>
      <c r="L4" s="862"/>
      <c r="M4" s="862"/>
      <c r="N4" s="862"/>
      <c r="O4" s="862"/>
      <c r="P4" s="862"/>
      <c r="Q4" s="862"/>
      <c r="R4" s="862"/>
      <c r="S4" s="862"/>
      <c r="T4" s="862"/>
      <c r="U4" s="862"/>
      <c r="V4" s="862"/>
      <c r="W4" s="862"/>
      <c r="X4" s="862"/>
      <c r="Y4" s="862"/>
      <c r="Z4" s="862"/>
      <c r="AA4" s="863"/>
      <c r="AB4" s="627" t="s">
        <v>776</v>
      </c>
      <c r="AC4" s="628"/>
      <c r="AD4" s="629"/>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30" t="s">
        <v>293</v>
      </c>
      <c r="B7" s="631"/>
      <c r="C7" s="883" t="s">
        <v>45</v>
      </c>
      <c r="D7" s="630" t="s">
        <v>71</v>
      </c>
      <c r="E7" s="636"/>
      <c r="F7" s="636"/>
      <c r="G7" s="636"/>
      <c r="H7" s="631"/>
      <c r="I7" s="838">
        <v>45146</v>
      </c>
      <c r="J7" s="839"/>
      <c r="K7" s="630" t="s">
        <v>67</v>
      </c>
      <c r="L7" s="631"/>
      <c r="M7" s="844" t="s">
        <v>70</v>
      </c>
      <c r="N7" s="845"/>
      <c r="O7" s="864"/>
      <c r="P7" s="865"/>
      <c r="Q7" s="252"/>
      <c r="R7" s="252"/>
      <c r="S7" s="252"/>
      <c r="T7" s="252"/>
      <c r="U7" s="252"/>
      <c r="V7" s="252"/>
      <c r="W7" s="252"/>
      <c r="X7" s="252"/>
      <c r="Y7" s="252"/>
      <c r="Z7" s="253"/>
      <c r="AA7" s="252"/>
      <c r="AB7" s="252"/>
      <c r="AC7" s="258"/>
      <c r="AD7" s="259"/>
    </row>
    <row r="8" spans="1:30" ht="15" customHeight="1">
      <c r="A8" s="632"/>
      <c r="B8" s="633"/>
      <c r="C8" s="884"/>
      <c r="D8" s="632"/>
      <c r="E8" s="886"/>
      <c r="F8" s="886"/>
      <c r="G8" s="886"/>
      <c r="H8" s="633"/>
      <c r="I8" s="840"/>
      <c r="J8" s="841"/>
      <c r="K8" s="632"/>
      <c r="L8" s="633"/>
      <c r="M8" s="866" t="s">
        <v>68</v>
      </c>
      <c r="N8" s="867"/>
      <c r="O8" s="868"/>
      <c r="P8" s="869"/>
      <c r="Q8" s="252"/>
      <c r="R8" s="252"/>
      <c r="S8" s="252"/>
      <c r="T8" s="252"/>
      <c r="U8" s="252"/>
      <c r="V8" s="252"/>
      <c r="W8" s="252"/>
      <c r="X8" s="252"/>
      <c r="Y8" s="252"/>
      <c r="Z8" s="253"/>
      <c r="AA8" s="252"/>
      <c r="AB8" s="252"/>
      <c r="AC8" s="258"/>
      <c r="AD8" s="259"/>
    </row>
    <row r="9" spans="1:30" ht="15.75" customHeight="1" thickBot="1">
      <c r="A9" s="634"/>
      <c r="B9" s="635"/>
      <c r="C9" s="885"/>
      <c r="D9" s="634"/>
      <c r="E9" s="638"/>
      <c r="F9" s="638"/>
      <c r="G9" s="638"/>
      <c r="H9" s="635"/>
      <c r="I9" s="842"/>
      <c r="J9" s="843"/>
      <c r="K9" s="634"/>
      <c r="L9" s="635"/>
      <c r="M9" s="870" t="s">
        <v>69</v>
      </c>
      <c r="N9" s="871"/>
      <c r="O9" s="872" t="s">
        <v>425</v>
      </c>
      <c r="P9" s="873"/>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30" t="s">
        <v>0</v>
      </c>
      <c r="B11" s="631"/>
      <c r="C11" s="874" t="s">
        <v>497</v>
      </c>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6"/>
    </row>
    <row r="12" spans="1:30" ht="15" customHeight="1">
      <c r="A12" s="632"/>
      <c r="B12" s="633"/>
      <c r="C12" s="877"/>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9"/>
    </row>
    <row r="13" spans="1:30" ht="15" customHeight="1" thickBot="1">
      <c r="A13" s="634"/>
      <c r="B13" s="635"/>
      <c r="C13" s="880"/>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2"/>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600" t="s">
        <v>77</v>
      </c>
      <c r="B15" s="601"/>
      <c r="C15" s="887" t="s">
        <v>426</v>
      </c>
      <c r="D15" s="888"/>
      <c r="E15" s="888"/>
      <c r="F15" s="888"/>
      <c r="G15" s="888"/>
      <c r="H15" s="888"/>
      <c r="I15" s="888"/>
      <c r="J15" s="888"/>
      <c r="K15" s="889"/>
      <c r="L15" s="594" t="s">
        <v>73</v>
      </c>
      <c r="M15" s="670"/>
      <c r="N15" s="670"/>
      <c r="O15" s="670"/>
      <c r="P15" s="670"/>
      <c r="Q15" s="595"/>
      <c r="R15" s="890" t="s">
        <v>622</v>
      </c>
      <c r="S15" s="891"/>
      <c r="T15" s="891"/>
      <c r="U15" s="891"/>
      <c r="V15" s="891"/>
      <c r="W15" s="891"/>
      <c r="X15" s="892"/>
      <c r="Y15" s="594" t="s">
        <v>72</v>
      </c>
      <c r="Z15" s="595"/>
      <c r="AA15" s="887" t="s">
        <v>623</v>
      </c>
      <c r="AB15" s="888"/>
      <c r="AC15" s="888"/>
      <c r="AD15" s="889"/>
    </row>
    <row r="16" spans="1:30" ht="9" customHeight="1" thickBot="1">
      <c r="A16" s="257"/>
      <c r="B16" s="252"/>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271"/>
      <c r="AD16" s="272"/>
    </row>
    <row r="17" spans="1:30" s="273" customFormat="1" ht="37.5" customHeight="1" thickBot="1">
      <c r="A17" s="600" t="s">
        <v>79</v>
      </c>
      <c r="B17" s="601"/>
      <c r="C17" s="894" t="s">
        <v>624</v>
      </c>
      <c r="D17" s="895"/>
      <c r="E17" s="895"/>
      <c r="F17" s="895"/>
      <c r="G17" s="895"/>
      <c r="H17" s="895"/>
      <c r="I17" s="895"/>
      <c r="J17" s="895"/>
      <c r="K17" s="895"/>
      <c r="L17" s="895"/>
      <c r="M17" s="895"/>
      <c r="N17" s="895"/>
      <c r="O17" s="895"/>
      <c r="P17" s="895"/>
      <c r="Q17" s="896"/>
      <c r="R17" s="594" t="s">
        <v>374</v>
      </c>
      <c r="S17" s="670"/>
      <c r="T17" s="670"/>
      <c r="U17" s="670"/>
      <c r="V17" s="595"/>
      <c r="W17" s="596">
        <v>0.16</v>
      </c>
      <c r="X17" s="597"/>
      <c r="Y17" s="670" t="s">
        <v>15</v>
      </c>
      <c r="Z17" s="670"/>
      <c r="AA17" s="670"/>
      <c r="AB17" s="595"/>
      <c r="AC17" s="897">
        <f>+VIGENCIA!D6</f>
        <v>0.20969674359270574</v>
      </c>
      <c r="AD17" s="898"/>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4" t="s">
        <v>1</v>
      </c>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595"/>
      <c r="AE19" s="275"/>
      <c r="AF19" s="275"/>
    </row>
    <row r="20" spans="1:32" ht="31.5" customHeight="1" thickBot="1">
      <c r="A20" s="276"/>
      <c r="B20" s="258"/>
      <c r="C20" s="698" t="s">
        <v>376</v>
      </c>
      <c r="D20" s="746"/>
      <c r="E20" s="746"/>
      <c r="F20" s="746"/>
      <c r="G20" s="746"/>
      <c r="H20" s="746"/>
      <c r="I20" s="746"/>
      <c r="J20" s="746"/>
      <c r="K20" s="746"/>
      <c r="L20" s="746"/>
      <c r="M20" s="746"/>
      <c r="N20" s="746"/>
      <c r="O20" s="746"/>
      <c r="P20" s="699"/>
      <c r="Q20" s="696" t="s">
        <v>377</v>
      </c>
      <c r="R20" s="899"/>
      <c r="S20" s="899"/>
      <c r="T20" s="899"/>
      <c r="U20" s="899"/>
      <c r="V20" s="899"/>
      <c r="W20" s="899"/>
      <c r="X20" s="899"/>
      <c r="Y20" s="899"/>
      <c r="Z20" s="899"/>
      <c r="AA20" s="899"/>
      <c r="AB20" s="899"/>
      <c r="AC20" s="899"/>
      <c r="AD20" s="697"/>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900" t="s">
        <v>378</v>
      </c>
      <c r="B22" s="901"/>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902" t="s">
        <v>379</v>
      </c>
      <c r="B23" s="903"/>
      <c r="C23" s="192"/>
      <c r="D23" s="191"/>
      <c r="E23" s="191"/>
      <c r="F23" s="191"/>
      <c r="G23" s="191"/>
      <c r="H23" s="191"/>
      <c r="I23" s="191"/>
      <c r="J23" s="191"/>
      <c r="K23" s="191"/>
      <c r="L23" s="191"/>
      <c r="M23" s="191"/>
      <c r="N23" s="191"/>
      <c r="O23" s="191"/>
      <c r="P23" s="211"/>
      <c r="Q23" s="192">
        <f>+VIGENCIA!D15</f>
        <v>525838496</v>
      </c>
      <c r="R23" s="191">
        <f>+VIGENCIA!F15</f>
        <v>142212061</v>
      </c>
      <c r="S23" s="191">
        <f>+VIGENCIA!H15</f>
        <v>-18599798</v>
      </c>
      <c r="T23" s="191">
        <f>+VIGENCIA!J15</f>
        <v>280733333</v>
      </c>
      <c r="U23" s="191">
        <f>+VIGENCIA!L15</f>
        <v>809571614</v>
      </c>
      <c r="V23" s="191">
        <f>+VIGENCIA!N15</f>
        <v>303435669</v>
      </c>
      <c r="W23" s="191">
        <f>+VIGENCIA!P15</f>
        <v>77142505</v>
      </c>
      <c r="X23" s="191"/>
      <c r="Y23" s="191"/>
      <c r="Z23" s="191"/>
      <c r="AA23" s="191"/>
      <c r="AB23" s="191"/>
      <c r="AC23" s="191">
        <f>SUM(Q23:AB23)</f>
        <v>2120333880</v>
      </c>
      <c r="AD23" s="456">
        <f>+AC23/AC22</f>
        <v>0.872377613666297</v>
      </c>
      <c r="AE23" s="4"/>
      <c r="AF23" s="4"/>
    </row>
    <row r="24" spans="1:32" ht="31.5" customHeight="1">
      <c r="A24" s="902" t="s">
        <v>380</v>
      </c>
      <c r="B24" s="903"/>
      <c r="C24" s="404">
        <v>10197469</v>
      </c>
      <c r="D24" s="344">
        <v>10197469</v>
      </c>
      <c r="E24" s="344">
        <v>10197466</v>
      </c>
      <c r="F24" s="344">
        <f>3380352+19782203</f>
        <v>23162555</v>
      </c>
      <c r="G24" s="191">
        <f>+-RESERVA!L13</f>
        <v>-9782202</v>
      </c>
      <c r="H24" s="191">
        <v>25133014</v>
      </c>
      <c r="I24" s="191"/>
      <c r="J24" s="191"/>
      <c r="K24" s="191"/>
      <c r="L24" s="191"/>
      <c r="M24" s="191"/>
      <c r="N24" s="191"/>
      <c r="O24" s="191">
        <f>SUM(C24:N24)</f>
        <v>69105771</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56"/>
      <c r="AE24" s="4"/>
      <c r="AF24" s="4"/>
    </row>
    <row r="25" spans="1:32" ht="31.5" customHeight="1" thickBot="1">
      <c r="A25" s="904" t="s">
        <v>381</v>
      </c>
      <c r="B25" s="905"/>
      <c r="C25" s="193">
        <f>+RESERVA!E13</f>
        <v>10197469</v>
      </c>
      <c r="D25" s="194">
        <f>+RESERVA!G13</f>
        <v>10197468</v>
      </c>
      <c r="E25" s="194">
        <f>+RESERVA!I13</f>
        <v>10197468</v>
      </c>
      <c r="F25" s="194"/>
      <c r="G25" s="194">
        <f>+RESERVA!M13</f>
        <v>5893653</v>
      </c>
      <c r="H25" s="194">
        <f>+RESERVA!O13</f>
        <v>0</v>
      </c>
      <c r="I25" s="194">
        <f>+RESERVA!Q13</f>
        <v>4188836</v>
      </c>
      <c r="J25" s="194"/>
      <c r="K25" s="194"/>
      <c r="L25" s="194"/>
      <c r="M25" s="194"/>
      <c r="N25" s="194"/>
      <c r="O25" s="194">
        <f>SUM(C25:N25)</f>
        <v>40674894</v>
      </c>
      <c r="P25" s="455">
        <f>+O25/O24</f>
        <v>0.5885889616946752</v>
      </c>
      <c r="Q25" s="193">
        <f>+VIGENCIA!E15</f>
        <v>0</v>
      </c>
      <c r="R25" s="194">
        <f>+VIGENCIA!G15</f>
        <v>12534268</v>
      </c>
      <c r="S25" s="194">
        <f>+VIGENCIA!I15</f>
        <v>47306463</v>
      </c>
      <c r="T25" s="194">
        <f>+VIGENCIA!K15</f>
        <v>54973130</v>
      </c>
      <c r="U25" s="194">
        <f>+VIGENCIA!M15</f>
        <v>367685375</v>
      </c>
      <c r="V25" s="194">
        <f>+VIGENCIA!O15</f>
        <v>54973130</v>
      </c>
      <c r="W25" s="194">
        <f>+VIGENCIA!Q15</f>
        <v>878270026</v>
      </c>
      <c r="X25" s="194"/>
      <c r="Y25" s="194"/>
      <c r="Z25" s="194"/>
      <c r="AA25" s="194"/>
      <c r="AB25" s="194"/>
      <c r="AC25" s="194">
        <f>SUM(Q25:AB25)</f>
        <v>1415742392</v>
      </c>
      <c r="AD25" s="457">
        <f>+AC25/AC24</f>
        <v>0.5824846648675798</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6" t="s">
        <v>76</v>
      </c>
      <c r="B27" s="907"/>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9"/>
    </row>
    <row r="28" spans="1:30" ht="15" customHeight="1">
      <c r="A28" s="910" t="s">
        <v>189</v>
      </c>
      <c r="B28" s="912" t="s">
        <v>6</v>
      </c>
      <c r="C28" s="913"/>
      <c r="D28" s="903" t="s">
        <v>398</v>
      </c>
      <c r="E28" s="916"/>
      <c r="F28" s="916"/>
      <c r="G28" s="916"/>
      <c r="H28" s="916"/>
      <c r="I28" s="916"/>
      <c r="J28" s="916"/>
      <c r="K28" s="916"/>
      <c r="L28" s="916"/>
      <c r="M28" s="916"/>
      <c r="N28" s="916"/>
      <c r="O28" s="917"/>
      <c r="P28" s="918" t="s">
        <v>8</v>
      </c>
      <c r="Q28" s="918" t="s">
        <v>84</v>
      </c>
      <c r="R28" s="918"/>
      <c r="S28" s="918"/>
      <c r="T28" s="918"/>
      <c r="U28" s="918"/>
      <c r="V28" s="918"/>
      <c r="W28" s="918"/>
      <c r="X28" s="918"/>
      <c r="Y28" s="918"/>
      <c r="Z28" s="918"/>
      <c r="AA28" s="918"/>
      <c r="AB28" s="918"/>
      <c r="AC28" s="918"/>
      <c r="AD28" s="919"/>
    </row>
    <row r="29" spans="1:30" ht="27" customHeight="1">
      <c r="A29" s="911"/>
      <c r="B29" s="914"/>
      <c r="C29" s="915"/>
      <c r="D29" s="281" t="s">
        <v>39</v>
      </c>
      <c r="E29" s="281" t="s">
        <v>40</v>
      </c>
      <c r="F29" s="281" t="s">
        <v>41</v>
      </c>
      <c r="G29" s="281" t="s">
        <v>42</v>
      </c>
      <c r="H29" s="281" t="s">
        <v>43</v>
      </c>
      <c r="I29" s="281" t="s">
        <v>44</v>
      </c>
      <c r="J29" s="281" t="s">
        <v>45</v>
      </c>
      <c r="K29" s="281" t="s">
        <v>46</v>
      </c>
      <c r="L29" s="281" t="s">
        <v>47</v>
      </c>
      <c r="M29" s="281" t="s">
        <v>48</v>
      </c>
      <c r="N29" s="281" t="s">
        <v>49</v>
      </c>
      <c r="O29" s="281" t="s">
        <v>50</v>
      </c>
      <c r="P29" s="917"/>
      <c r="Q29" s="918"/>
      <c r="R29" s="918"/>
      <c r="S29" s="918"/>
      <c r="T29" s="918"/>
      <c r="U29" s="918"/>
      <c r="V29" s="918"/>
      <c r="W29" s="918"/>
      <c r="X29" s="918"/>
      <c r="Y29" s="918"/>
      <c r="Z29" s="918"/>
      <c r="AA29" s="918"/>
      <c r="AB29" s="918"/>
      <c r="AC29" s="918"/>
      <c r="AD29" s="919"/>
    </row>
    <row r="30" spans="1:30" ht="65.25" customHeight="1" thickBot="1">
      <c r="A30" s="330" t="str">
        <f>C17</f>
        <v>Avanzar en el 80% en las políticas de Gobierno Digital y Seguridad Digital contenidas en la Dimensión Gestión con valores para Resultados</v>
      </c>
      <c r="B30" s="920" t="s">
        <v>450</v>
      </c>
      <c r="C30" s="921"/>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22"/>
      <c r="R30" s="922"/>
      <c r="S30" s="922"/>
      <c r="T30" s="922"/>
      <c r="U30" s="922"/>
      <c r="V30" s="922"/>
      <c r="W30" s="922"/>
      <c r="X30" s="922"/>
      <c r="Y30" s="922"/>
      <c r="Z30" s="922"/>
      <c r="AA30" s="922"/>
      <c r="AB30" s="922"/>
      <c r="AC30" s="922"/>
      <c r="AD30" s="923"/>
    </row>
    <row r="31" spans="1:30" ht="45" customHeight="1">
      <c r="A31" s="858" t="s">
        <v>292</v>
      </c>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60"/>
    </row>
    <row r="32" spans="1:41" ht="22.5" customHeight="1">
      <c r="A32" s="902" t="s">
        <v>190</v>
      </c>
      <c r="B32" s="918" t="s">
        <v>62</v>
      </c>
      <c r="C32" s="918" t="s">
        <v>6</v>
      </c>
      <c r="D32" s="918" t="s">
        <v>60</v>
      </c>
      <c r="E32" s="918"/>
      <c r="F32" s="918"/>
      <c r="G32" s="918"/>
      <c r="H32" s="918"/>
      <c r="I32" s="918"/>
      <c r="J32" s="918"/>
      <c r="K32" s="918"/>
      <c r="L32" s="918"/>
      <c r="M32" s="918"/>
      <c r="N32" s="918"/>
      <c r="O32" s="918"/>
      <c r="P32" s="918"/>
      <c r="Q32" s="918" t="s">
        <v>85</v>
      </c>
      <c r="R32" s="918"/>
      <c r="S32" s="918"/>
      <c r="T32" s="918"/>
      <c r="U32" s="918"/>
      <c r="V32" s="918"/>
      <c r="W32" s="918"/>
      <c r="X32" s="918"/>
      <c r="Y32" s="918"/>
      <c r="Z32" s="918"/>
      <c r="AA32" s="918"/>
      <c r="AB32" s="918"/>
      <c r="AC32" s="918"/>
      <c r="AD32" s="919"/>
      <c r="AG32" s="90"/>
      <c r="AH32" s="90"/>
      <c r="AI32" s="90"/>
      <c r="AJ32" s="90"/>
      <c r="AK32" s="90"/>
      <c r="AL32" s="90"/>
      <c r="AM32" s="90"/>
      <c r="AN32" s="90"/>
      <c r="AO32" s="90"/>
    </row>
    <row r="33" spans="1:41" ht="27" customHeight="1">
      <c r="A33" s="902"/>
      <c r="B33" s="918"/>
      <c r="C33" s="924"/>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8" t="s">
        <v>403</v>
      </c>
      <c r="R33" s="918"/>
      <c r="S33" s="918"/>
      <c r="T33" s="918" t="s">
        <v>406</v>
      </c>
      <c r="U33" s="918"/>
      <c r="V33" s="918"/>
      <c r="W33" s="914" t="s">
        <v>81</v>
      </c>
      <c r="X33" s="925"/>
      <c r="Y33" s="925"/>
      <c r="Z33" s="915"/>
      <c r="AA33" s="914" t="s">
        <v>82</v>
      </c>
      <c r="AB33" s="925"/>
      <c r="AC33" s="925"/>
      <c r="AD33" s="926"/>
      <c r="AG33" s="90"/>
      <c r="AH33" s="90"/>
      <c r="AI33" s="90"/>
      <c r="AJ33" s="90"/>
      <c r="AK33" s="90"/>
      <c r="AL33" s="90"/>
      <c r="AM33" s="90"/>
      <c r="AN33" s="90"/>
      <c r="AO33" s="90"/>
    </row>
    <row r="34" spans="1:41" ht="174" customHeight="1">
      <c r="A34" s="927" t="s">
        <v>624</v>
      </c>
      <c r="B34" s="929">
        <f>+AC17</f>
        <v>0.20969674359270574</v>
      </c>
      <c r="C34" s="284" t="s">
        <v>9</v>
      </c>
      <c r="D34" s="177">
        <f>((D38*($B$38/$B$34))+(D40*($B$40/$B$34))+(D42*($B$42/$B$34)))*$P$34</f>
        <v>0.013619667864500619</v>
      </c>
      <c r="E34" s="177">
        <f aca="true" t="shared" si="0" ref="E34:O34">((E38*($B$38/$B$34))+(E40*($B$40/$B$34))+(E42*($B$42/$B$34)))*$P$34</f>
        <v>0.013619667864500619</v>
      </c>
      <c r="F34" s="177">
        <f t="shared" si="0"/>
        <v>0.015322126347563195</v>
      </c>
      <c r="G34" s="177">
        <f t="shared" si="0"/>
        <v>0.013619667864500619</v>
      </c>
      <c r="H34" s="177">
        <f t="shared" si="0"/>
        <v>0.013619667864500619</v>
      </c>
      <c r="I34" s="177">
        <f t="shared" si="0"/>
        <v>0.015322126347563195</v>
      </c>
      <c r="J34" s="177">
        <f t="shared" si="0"/>
        <v>0.013619667864500619</v>
      </c>
      <c r="K34" s="177">
        <f t="shared" si="0"/>
        <v>0.013619667864500619</v>
      </c>
      <c r="L34" s="177">
        <f t="shared" si="0"/>
        <v>0.015322126347563195</v>
      </c>
      <c r="M34" s="177">
        <f t="shared" si="0"/>
        <v>0.013619667864500619</v>
      </c>
      <c r="N34" s="177">
        <f t="shared" si="0"/>
        <v>0.013619667864500619</v>
      </c>
      <c r="O34" s="177">
        <f t="shared" si="0"/>
        <v>0.015322126347563195</v>
      </c>
      <c r="P34" s="177">
        <v>0.17</v>
      </c>
      <c r="Q34" s="931" t="s">
        <v>854</v>
      </c>
      <c r="R34" s="932"/>
      <c r="S34" s="933"/>
      <c r="T34" s="931" t="s">
        <v>855</v>
      </c>
      <c r="U34" s="932"/>
      <c r="V34" s="933"/>
      <c r="W34" s="937" t="s">
        <v>856</v>
      </c>
      <c r="X34" s="938"/>
      <c r="Y34" s="938"/>
      <c r="Z34" s="939"/>
      <c r="AA34" s="931" t="s">
        <v>857</v>
      </c>
      <c r="AB34" s="932"/>
      <c r="AC34" s="932"/>
      <c r="AD34" s="943"/>
      <c r="AG34" s="90"/>
      <c r="AH34" s="90"/>
      <c r="AI34" s="90"/>
      <c r="AJ34" s="90"/>
      <c r="AK34" s="90"/>
      <c r="AL34" s="90"/>
      <c r="AM34" s="90"/>
      <c r="AN34" s="90"/>
      <c r="AO34" s="90"/>
    </row>
    <row r="35" spans="1:41" ht="174" customHeight="1" thickBot="1">
      <c r="A35" s="928"/>
      <c r="B35" s="930"/>
      <c r="C35" s="285" t="s">
        <v>10</v>
      </c>
      <c r="D35" s="418">
        <f>((D39*($B$38/$B$34))+(D41*($B$40/$B$34))+(D43*($B$42/$B$34)))*$P$34</f>
        <v>0.013619667864500619</v>
      </c>
      <c r="E35" s="418">
        <f>((E39*($B$38/$B$34))+(E41*($B$40/$B$34))+(E43*($B$42/$B$34)))*$P$34</f>
        <v>0.011025445414119546</v>
      </c>
      <c r="F35" s="418">
        <f>((F39*($B$38/$B$34))+(F41*($B$40/$B$34))+(F43*($B$42/$B$34)))*$P$34</f>
        <v>0.01240362609088449</v>
      </c>
      <c r="G35" s="418">
        <f>((G39*($B$38/$B$34))+(G41*($B$40/$B$34))+(G43*($B$42/$B$34)))*$P$34</f>
        <v>0.011025445414119546</v>
      </c>
      <c r="H35" s="418">
        <f>((H39*($B$38/$B$34))+(H41*($B$40/$B$34))+(H43*($B$42/$B$34)))*$P$34</f>
        <v>0.011025445414119546</v>
      </c>
      <c r="I35" s="496">
        <f>((I39*($B$38/$B$34))+(I41*($B$40/$B$34))+(I43*($B$42/$B$34)))*$P$34</f>
        <v>0.015322126347563195</v>
      </c>
      <c r="J35" s="496">
        <f>((J39*($B$38/$B$34))+(J41*($B$40/$B$34))+(J43*($B$42/$B$34)))*$P$34</f>
        <v>0.013619667864500619</v>
      </c>
      <c r="K35" s="96"/>
      <c r="L35" s="96"/>
      <c r="M35" s="96"/>
      <c r="N35" s="96"/>
      <c r="O35" s="96"/>
      <c r="P35" s="178">
        <f>SUM(D35:O35)</f>
        <v>0.08804142440980756</v>
      </c>
      <c r="Q35" s="934"/>
      <c r="R35" s="935"/>
      <c r="S35" s="936"/>
      <c r="T35" s="934"/>
      <c r="U35" s="935"/>
      <c r="V35" s="936"/>
      <c r="W35" s="940"/>
      <c r="X35" s="941"/>
      <c r="Y35" s="941"/>
      <c r="Z35" s="942"/>
      <c r="AA35" s="934"/>
      <c r="AB35" s="935"/>
      <c r="AC35" s="935"/>
      <c r="AD35" s="944"/>
      <c r="AE35" s="50"/>
      <c r="AG35" s="90"/>
      <c r="AH35" s="90"/>
      <c r="AI35" s="90"/>
      <c r="AJ35" s="90"/>
      <c r="AK35" s="90"/>
      <c r="AL35" s="90"/>
      <c r="AM35" s="90"/>
      <c r="AN35" s="90"/>
      <c r="AO35" s="90"/>
    </row>
    <row r="36" spans="1:41" ht="25.5" customHeight="1">
      <c r="A36" s="1156" t="s">
        <v>191</v>
      </c>
      <c r="B36" s="945" t="s">
        <v>61</v>
      </c>
      <c r="C36" s="901" t="s">
        <v>11</v>
      </c>
      <c r="D36" s="948"/>
      <c r="E36" s="948"/>
      <c r="F36" s="948"/>
      <c r="G36" s="948"/>
      <c r="H36" s="948"/>
      <c r="I36" s="948"/>
      <c r="J36" s="948"/>
      <c r="K36" s="948"/>
      <c r="L36" s="948"/>
      <c r="M36" s="948"/>
      <c r="N36" s="948"/>
      <c r="O36" s="948"/>
      <c r="P36" s="1155"/>
      <c r="Q36" s="901" t="s">
        <v>78</v>
      </c>
      <c r="R36" s="948"/>
      <c r="S36" s="948"/>
      <c r="T36" s="948"/>
      <c r="U36" s="948"/>
      <c r="V36" s="948"/>
      <c r="W36" s="948"/>
      <c r="X36" s="948"/>
      <c r="Y36" s="948"/>
      <c r="Z36" s="948"/>
      <c r="AA36" s="948"/>
      <c r="AB36" s="948"/>
      <c r="AC36" s="948"/>
      <c r="AD36" s="949"/>
      <c r="AG36" s="90"/>
      <c r="AH36" s="90"/>
      <c r="AI36" s="90"/>
      <c r="AJ36" s="90"/>
      <c r="AK36" s="90"/>
      <c r="AL36" s="90"/>
      <c r="AM36" s="90"/>
      <c r="AN36" s="90"/>
      <c r="AO36" s="90"/>
    </row>
    <row r="37" spans="1:41" ht="42.75" customHeight="1">
      <c r="A37" s="1157"/>
      <c r="B37" s="946"/>
      <c r="C37" s="523" t="s">
        <v>12</v>
      </c>
      <c r="D37" s="523" t="s">
        <v>36</v>
      </c>
      <c r="E37" s="523" t="s">
        <v>37</v>
      </c>
      <c r="F37" s="523" t="s">
        <v>38</v>
      </c>
      <c r="G37" s="523" t="s">
        <v>51</v>
      </c>
      <c r="H37" s="523" t="s">
        <v>52</v>
      </c>
      <c r="I37" s="523" t="s">
        <v>53</v>
      </c>
      <c r="J37" s="523" t="s">
        <v>54</v>
      </c>
      <c r="K37" s="523" t="s">
        <v>55</v>
      </c>
      <c r="L37" s="523" t="s">
        <v>56</v>
      </c>
      <c r="M37" s="523" t="s">
        <v>57</v>
      </c>
      <c r="N37" s="523" t="s">
        <v>58</v>
      </c>
      <c r="O37" s="523" t="s">
        <v>59</v>
      </c>
      <c r="P37" s="523" t="s">
        <v>63</v>
      </c>
      <c r="Q37" s="903" t="s">
        <v>83</v>
      </c>
      <c r="R37" s="916"/>
      <c r="S37" s="916"/>
      <c r="T37" s="916"/>
      <c r="U37" s="916"/>
      <c r="V37" s="916"/>
      <c r="W37" s="916"/>
      <c r="X37" s="916"/>
      <c r="Y37" s="916"/>
      <c r="Z37" s="916"/>
      <c r="AA37" s="916"/>
      <c r="AB37" s="916"/>
      <c r="AC37" s="916"/>
      <c r="AD37" s="950"/>
      <c r="AG37" s="98"/>
      <c r="AH37" s="98"/>
      <c r="AI37" s="98"/>
      <c r="AJ37" s="98"/>
      <c r="AK37" s="98"/>
      <c r="AL37" s="98"/>
      <c r="AM37" s="98"/>
      <c r="AN37" s="98"/>
      <c r="AO37" s="98"/>
    </row>
    <row r="38" spans="1:41" ht="74.25" customHeight="1">
      <c r="A38" s="953" t="s">
        <v>625</v>
      </c>
      <c r="B38" s="954">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1" ref="P38:P43">SUM(D38:O38)</f>
        <v>0.9999999999999998</v>
      </c>
      <c r="Q38" s="1154" t="s">
        <v>851</v>
      </c>
      <c r="R38" s="1154"/>
      <c r="S38" s="1154"/>
      <c r="T38" s="1154"/>
      <c r="U38" s="1154"/>
      <c r="V38" s="1154"/>
      <c r="W38" s="1154"/>
      <c r="X38" s="1154"/>
      <c r="Y38" s="1154"/>
      <c r="Z38" s="1154"/>
      <c r="AA38" s="1154"/>
      <c r="AB38" s="1154"/>
      <c r="AC38" s="1154"/>
      <c r="AD38" s="1154"/>
      <c r="AE38" s="287"/>
      <c r="AG38" s="102"/>
      <c r="AH38" s="102"/>
      <c r="AI38" s="102"/>
      <c r="AJ38" s="102"/>
      <c r="AK38" s="102"/>
      <c r="AL38" s="102"/>
      <c r="AM38" s="102"/>
      <c r="AN38" s="102"/>
      <c r="AO38" s="102"/>
    </row>
    <row r="39" spans="1:31" ht="74.25" customHeight="1">
      <c r="A39" s="951"/>
      <c r="B39" s="952"/>
      <c r="C39" s="288" t="s">
        <v>10</v>
      </c>
      <c r="D39" s="104">
        <v>0.08</v>
      </c>
      <c r="E39" s="104">
        <v>0</v>
      </c>
      <c r="F39" s="104">
        <v>0</v>
      </c>
      <c r="G39" s="104">
        <v>0</v>
      </c>
      <c r="H39" s="104">
        <v>0</v>
      </c>
      <c r="I39" s="104">
        <v>0.09</v>
      </c>
      <c r="J39" s="104">
        <v>0.08</v>
      </c>
      <c r="K39" s="104"/>
      <c r="L39" s="104"/>
      <c r="M39" s="104"/>
      <c r="N39" s="104"/>
      <c r="O39" s="104"/>
      <c r="P39" s="289">
        <f t="shared" si="1"/>
        <v>0.25</v>
      </c>
      <c r="Q39" s="1154"/>
      <c r="R39" s="1154"/>
      <c r="S39" s="1154"/>
      <c r="T39" s="1154"/>
      <c r="U39" s="1154"/>
      <c r="V39" s="1154"/>
      <c r="W39" s="1154"/>
      <c r="X39" s="1154"/>
      <c r="Y39" s="1154"/>
      <c r="Z39" s="1154"/>
      <c r="AA39" s="1154"/>
      <c r="AB39" s="1154"/>
      <c r="AC39" s="1154"/>
      <c r="AD39" s="1154"/>
      <c r="AE39" s="287"/>
    </row>
    <row r="40" spans="1:31" ht="124.5" customHeight="1">
      <c r="A40" s="953" t="s">
        <v>626</v>
      </c>
      <c r="B40" s="954">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1"/>
        <v>0.9999999999999998</v>
      </c>
      <c r="Q40" s="956" t="s">
        <v>853</v>
      </c>
      <c r="R40" s="957"/>
      <c r="S40" s="957"/>
      <c r="T40" s="957"/>
      <c r="U40" s="957"/>
      <c r="V40" s="957"/>
      <c r="W40" s="957"/>
      <c r="X40" s="957"/>
      <c r="Y40" s="957"/>
      <c r="Z40" s="957"/>
      <c r="AA40" s="957"/>
      <c r="AB40" s="957"/>
      <c r="AC40" s="957"/>
      <c r="AD40" s="958"/>
      <c r="AE40" s="287"/>
    </row>
    <row r="41" spans="1:31" ht="124.5" customHeight="1">
      <c r="A41" s="951"/>
      <c r="B41" s="952"/>
      <c r="C41" s="288" t="s">
        <v>10</v>
      </c>
      <c r="D41" s="104">
        <v>0.08</v>
      </c>
      <c r="E41" s="104">
        <v>0.08</v>
      </c>
      <c r="F41" s="104">
        <v>0.09</v>
      </c>
      <c r="G41" s="104">
        <v>0.08</v>
      </c>
      <c r="H41" s="104">
        <v>0.08</v>
      </c>
      <c r="I41" s="104">
        <v>0.09</v>
      </c>
      <c r="J41" s="104">
        <v>0.08</v>
      </c>
      <c r="K41" s="104"/>
      <c r="L41" s="108"/>
      <c r="M41" s="108"/>
      <c r="N41" s="108"/>
      <c r="O41" s="108"/>
      <c r="P41" s="289">
        <f t="shared" si="1"/>
        <v>0.58</v>
      </c>
      <c r="Q41" s="1159"/>
      <c r="R41" s="1160"/>
      <c r="S41" s="1160"/>
      <c r="T41" s="1160"/>
      <c r="U41" s="1160"/>
      <c r="V41" s="1160"/>
      <c r="W41" s="1160"/>
      <c r="X41" s="1160"/>
      <c r="Y41" s="1160"/>
      <c r="Z41" s="1160"/>
      <c r="AA41" s="1160"/>
      <c r="AB41" s="1160"/>
      <c r="AC41" s="1160"/>
      <c r="AD41" s="1161"/>
      <c r="AE41" s="287"/>
    </row>
    <row r="42" spans="1:31" ht="114.75" customHeight="1">
      <c r="A42" s="953" t="s">
        <v>627</v>
      </c>
      <c r="B42" s="954">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1"/>
        <v>0.9999999999999998</v>
      </c>
      <c r="Q42" s="956" t="s">
        <v>852</v>
      </c>
      <c r="R42" s="957"/>
      <c r="S42" s="957"/>
      <c r="T42" s="957"/>
      <c r="U42" s="957"/>
      <c r="V42" s="957"/>
      <c r="W42" s="957"/>
      <c r="X42" s="957"/>
      <c r="Y42" s="957"/>
      <c r="Z42" s="957"/>
      <c r="AA42" s="957"/>
      <c r="AB42" s="957"/>
      <c r="AC42" s="957"/>
      <c r="AD42" s="958"/>
      <c r="AE42" s="287"/>
    </row>
    <row r="43" spans="1:31" ht="114.75" customHeight="1" thickBot="1">
      <c r="A43" s="1158"/>
      <c r="B43" s="955"/>
      <c r="C43" s="285" t="s">
        <v>10</v>
      </c>
      <c r="D43" s="110">
        <v>0.08</v>
      </c>
      <c r="E43" s="110">
        <v>0.08</v>
      </c>
      <c r="F43" s="110">
        <v>0.09</v>
      </c>
      <c r="G43" s="110">
        <v>0.08</v>
      </c>
      <c r="H43" s="110">
        <v>0.08</v>
      </c>
      <c r="I43" s="110">
        <v>0.09</v>
      </c>
      <c r="J43" s="110">
        <v>0.08</v>
      </c>
      <c r="K43" s="110"/>
      <c r="L43" s="111"/>
      <c r="M43" s="111"/>
      <c r="N43" s="111"/>
      <c r="O43" s="111"/>
      <c r="P43" s="291">
        <f t="shared" si="1"/>
        <v>0.58</v>
      </c>
      <c r="Q43" s="959"/>
      <c r="R43" s="960"/>
      <c r="S43" s="960"/>
      <c r="T43" s="960"/>
      <c r="U43" s="960"/>
      <c r="V43" s="960"/>
      <c r="W43" s="960"/>
      <c r="X43" s="960"/>
      <c r="Y43" s="960"/>
      <c r="Z43" s="960"/>
      <c r="AA43" s="960"/>
      <c r="AB43" s="960"/>
      <c r="AC43" s="960"/>
      <c r="AD43" s="961"/>
      <c r="AE43" s="287"/>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W34 T34 Q34 AA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2023-07-11T03:40:40Z</cp:lastPrinted>
  <dcterms:created xsi:type="dcterms:W3CDTF">2011-04-26T22:16:52Z</dcterms:created>
  <dcterms:modified xsi:type="dcterms:W3CDTF">2023-08-09T02:41:07Z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