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drawings/drawing1.xml" ContentType="application/vnd.openxmlformats-officedocument.drawing+xml"/>
  <Override PartName="/xl/comments1.xml" ContentType="application/vnd.openxmlformats-officedocument.spreadsheetml.comments+xml"/>
  <Override PartName="/xl/customProperty2.bin" ContentType="application/vnd.openxmlformats-officedocument.spreadsheetml.customProperty"/>
  <Override PartName="/xl/drawings/drawing2.xml" ContentType="application/vnd.openxmlformats-officedocument.drawing+xml"/>
  <Override PartName="/xl/comments2.xml" ContentType="application/vnd.openxmlformats-officedocument.spreadsheetml.comments+xml"/>
  <Override PartName="/xl/customProperty3.bin" ContentType="application/vnd.openxmlformats-officedocument.spreadsheetml.customProperty"/>
  <Override PartName="/xl/drawings/drawing3.xml" ContentType="application/vnd.openxmlformats-officedocument.drawing+xml"/>
  <Override PartName="/xl/comments3.xml" ContentType="application/vnd.openxmlformats-officedocument.spreadsheetml.comments+xml"/>
  <Override PartName="/xl/customProperty4.bin" ContentType="application/vnd.openxmlformats-officedocument.spreadsheetml.customProperty"/>
  <Override PartName="/xl/drawings/drawing4.xml" ContentType="application/vnd.openxmlformats-officedocument.drawing+xml"/>
  <Override PartName="/xl/comments4.xml" ContentType="application/vnd.openxmlformats-officedocument.spreadsheetml.comments+xml"/>
  <Override PartName="/xl/customProperty5.bin" ContentType="application/vnd.openxmlformats-officedocument.spreadsheetml.customProperty"/>
  <Override PartName="/xl/drawings/drawing5.xml" ContentType="application/vnd.openxmlformats-officedocument.drawing+xml"/>
  <Override PartName="/xl/comments5.xml" ContentType="application/vnd.openxmlformats-officedocument.spreadsheetml.comments+xml"/>
  <Override PartName="/xl/customProperty6.bin" ContentType="application/vnd.openxmlformats-officedocument.spreadsheetml.customProperty"/>
  <Override PartName="/xl/drawings/drawing6.xml" ContentType="application/vnd.openxmlformats-officedocument.drawing+xml"/>
  <Override PartName="/xl/comments6.xml" ContentType="application/vnd.openxmlformats-officedocument.spreadsheetml.comments+xml"/>
  <Override PartName="/xl/drawings/drawing7.xml" ContentType="application/vnd.openxmlformats-officedocument.drawing+xml"/>
  <Override PartName="/xl/comments7.xml" ContentType="application/vnd.openxmlformats-officedocument.spreadsheetml.comments+xml"/>
  <Override PartName="/xl/drawings/drawing8.xml" ContentType="application/vnd.openxmlformats-officedocument.drawing+xml"/>
  <Override PartName="/xl/comments8.xml" ContentType="application/vnd.openxmlformats-officedocument.spreadsheetml.comments+xml"/>
  <Override PartName="/xl/customProperty7.bin" ContentType="application/vnd.openxmlformats-officedocument.spreadsheetml.customProperty"/>
  <Override PartName="/xl/drawings/drawing9.xml" ContentType="application/vnd.openxmlformats-officedocument.drawing+xml"/>
  <Override PartName="/xl/comments9.xml" ContentType="application/vnd.openxmlformats-officedocument.spreadsheetml.comments+xml"/>
  <Override PartName="/xl/customProperty8.bin" ContentType="application/vnd.openxmlformats-officedocument.spreadsheetml.customProperty"/>
  <Override PartName="/xl/drawings/drawing10.xml" ContentType="application/vnd.openxmlformats-officedocument.drawing+xml"/>
  <Override PartName="/xl/comments10.xml" ContentType="application/vnd.openxmlformats-officedocument.spreadsheetml.comments+xml"/>
  <Override PartName="/xl/customProperty9.bin" ContentType="application/vnd.openxmlformats-officedocument.spreadsheetml.customProperty"/>
  <Override PartName="/xl/comments11.xml" ContentType="application/vnd.openxmlformats-officedocument.spreadsheetml.comments+xml"/>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customProperty14.bin" ContentType="application/vnd.openxmlformats-officedocument.spreadsheetml.customProperty"/>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defaultThemeVersion="124226"/>
  <mc:AlternateContent xmlns:mc="http://schemas.openxmlformats.org/markup-compatibility/2006">
    <mc:Choice Requires="x15">
      <x15ac:absPath xmlns:x15ac="http://schemas.microsoft.com/office/spreadsheetml/2010/11/ac" url="https://secretariadistritald-my.sharepoint.com/personal/aforero_sdmujer_gov_co/Documents/SDM/SDM 2023/PROYECTO DE INVERSIÓN/7718/PLAN DE ACCIÓN/"/>
    </mc:Choice>
  </mc:AlternateContent>
  <xr:revisionPtr revIDLastSave="12" documentId="8_{DDF188F5-CF71-B34D-B501-ACFCB8A70176}" xr6:coauthVersionLast="47" xr6:coauthVersionMax="47" xr10:uidLastSave="{B97C9825-3415-4DAB-971E-37C5A3089FF9}"/>
  <bookViews>
    <workbookView xWindow="-120" yWindow="-120" windowWidth="20730" windowHeight="11040" tabRatio="810" activeTab="3" xr2:uid="{00000000-000D-0000-FFFF-FFFF00000000}"/>
  </bookViews>
  <sheets>
    <sheet name="Meta 1" sheetId="40" r:id="rId1"/>
    <sheet name="Meta 2" sheetId="41" r:id="rId2"/>
    <sheet name="Meta 3" sheetId="46" r:id="rId3"/>
    <sheet name="Meta 4" sheetId="42" r:id="rId4"/>
    <sheet name="Meta 5" sheetId="43" state="hidden" r:id="rId5"/>
    <sheet name="Meta 6" sheetId="45" state="hidden" r:id="rId6"/>
    <sheet name="Meta 5." sheetId="47" r:id="rId7"/>
    <sheet name="Meta 6." sheetId="48" r:id="rId8"/>
    <sheet name="Meta 7" sheetId="44" r:id="rId9"/>
    <sheet name="Meta 1..n" sheetId="1" state="hidden" r:id="rId10"/>
    <sheet name="Indicadores PA" sheetId="36" r:id="rId11"/>
    <sheet name="Territorialización PA" sheetId="37" r:id="rId12"/>
    <sheet name="Generalidades" sheetId="38" r:id="rId13"/>
    <sheet name="Instructivo" sheetId="39" r:id="rId14"/>
    <sheet name="Hoja13" sheetId="32" state="hidden" r:id="rId15"/>
    <sheet name="Hoja1" sheetId="20" state="hidden" r:id="rId16"/>
  </sheets>
  <definedNames>
    <definedName name="_xlnm._FilterDatabase" localSheetId="10" hidden="1">'Indicadores PA'!$A$12:$AY$12</definedName>
    <definedName name="_xlnm.Print_Area" localSheetId="0">'Meta 1'!$A$1:$AD$41</definedName>
    <definedName name="_xlnm.Print_Area" localSheetId="1">'Meta 2'!$A$1:$AD$43</definedName>
    <definedName name="_xlnm.Print_Area" localSheetId="2">'Meta 3'!$A$1:$AD$43</definedName>
    <definedName name="_xlnm.Print_Area" localSheetId="3">'Meta 4'!$A$1:$AD$43</definedName>
    <definedName name="_xlnm.Print_Area" localSheetId="4">'Meta 5'!$A$1:$AD$39</definedName>
    <definedName name="_xlnm.Print_Area" localSheetId="6">'Meta 5.'!$A$1:$AD$39</definedName>
    <definedName name="_xlnm.Print_Area" localSheetId="5">'Meta 6'!$A$1:$AD$43</definedName>
    <definedName name="_xlnm.Print_Area" localSheetId="7">'Meta 6.'!$A$1:$AD$43</definedName>
    <definedName name="_xlnm.Print_Area" localSheetId="8">'Meta 7'!$A$1:$AD$41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U19" i="36" l="1"/>
  <c r="AT19" i="36"/>
  <c r="AU35" i="36"/>
  <c r="AT35" i="36"/>
  <c r="AT34" i="36"/>
  <c r="P39" i="47"/>
  <c r="AF20" i="40"/>
  <c r="AF19" i="40"/>
  <c r="AF18" i="40"/>
  <c r="P35" i="41" l="1"/>
  <c r="V24" i="44" l="1"/>
  <c r="V22" i="44"/>
  <c r="V24" i="48"/>
  <c r="V22" i="48"/>
  <c r="V24" i="47"/>
  <c r="V22" i="47"/>
  <c r="V24" i="42"/>
  <c r="V22" i="42"/>
  <c r="H24" i="42"/>
  <c r="V24" i="46"/>
  <c r="V22" i="46"/>
  <c r="V24" i="41"/>
  <c r="V22" i="41"/>
  <c r="V24" i="40"/>
  <c r="V22" i="40"/>
  <c r="AC22" i="47"/>
  <c r="AC22" i="41"/>
  <c r="H24" i="46" l="1"/>
  <c r="O25" i="40"/>
  <c r="AL16" i="36"/>
  <c r="AT16" i="36" s="1"/>
  <c r="AU16" i="36" s="1"/>
  <c r="G60" i="37"/>
  <c r="P40" i="46"/>
  <c r="P42" i="48"/>
  <c r="AK16" i="36"/>
  <c r="B61" i="48"/>
  <c r="A61" i="48"/>
  <c r="B59" i="48"/>
  <c r="A59" i="48"/>
  <c r="B57" i="48"/>
  <c r="A57" i="48"/>
  <c r="P43" i="48"/>
  <c r="P41" i="48"/>
  <c r="P40" i="48"/>
  <c r="E59" i="48" s="1"/>
  <c r="P39" i="48"/>
  <c r="P38" i="48"/>
  <c r="H58" i="48" s="1"/>
  <c r="H65" i="48" s="1"/>
  <c r="H66" i="48" s="1"/>
  <c r="M58" i="48"/>
  <c r="P30" i="48"/>
  <c r="AC25" i="48"/>
  <c r="AD25" i="48" s="1"/>
  <c r="O25" i="48"/>
  <c r="AB24" i="48"/>
  <c r="AA24" i="48"/>
  <c r="Z24" i="48"/>
  <c r="Y24" i="48"/>
  <c r="X24" i="48"/>
  <c r="W24" i="48"/>
  <c r="U24" i="48"/>
  <c r="T24" i="48"/>
  <c r="D24" i="48"/>
  <c r="C24" i="48"/>
  <c r="O24" i="48"/>
  <c r="P25" i="48" s="1"/>
  <c r="AC23" i="48"/>
  <c r="O23" i="48"/>
  <c r="T22" i="48"/>
  <c r="AC22" i="48" s="1"/>
  <c r="AD23" i="48" s="1"/>
  <c r="O22" i="48"/>
  <c r="B47" i="47"/>
  <c r="A47" i="47"/>
  <c r="P30" i="47"/>
  <c r="AC25" i="47"/>
  <c r="AD25" i="47" s="1"/>
  <c r="O25" i="47"/>
  <c r="P25" i="47" s="1"/>
  <c r="D24" i="47"/>
  <c r="O24" i="47"/>
  <c r="AA24" i="47"/>
  <c r="U24" i="47"/>
  <c r="AC24" i="47" s="1"/>
  <c r="W24" i="47"/>
  <c r="Y24" i="47"/>
  <c r="AC23" i="47"/>
  <c r="AD23" i="47" s="1"/>
  <c r="O23" i="47"/>
  <c r="O22" i="47"/>
  <c r="X15" i="36"/>
  <c r="Z26" i="36"/>
  <c r="Z28" i="36"/>
  <c r="BA14" i="36"/>
  <c r="O38" i="43"/>
  <c r="P38" i="43" s="1"/>
  <c r="AT18" i="36"/>
  <c r="AU18" i="36" s="1"/>
  <c r="BA19" i="36"/>
  <c r="BA13" i="36"/>
  <c r="BA18" i="36"/>
  <c r="BA17" i="36"/>
  <c r="Z27" i="36"/>
  <c r="O60" i="48"/>
  <c r="H60" i="48"/>
  <c r="G60" i="48"/>
  <c r="N59" i="48"/>
  <c r="M59" i="48"/>
  <c r="F59" i="48"/>
  <c r="O62" i="48"/>
  <c r="I62" i="48"/>
  <c r="H62" i="48"/>
  <c r="O61" i="48"/>
  <c r="N61" i="48"/>
  <c r="G61" i="48"/>
  <c r="F61" i="48"/>
  <c r="J62" i="48"/>
  <c r="L57" i="48"/>
  <c r="F57" i="48"/>
  <c r="N57" i="48"/>
  <c r="N68" i="48" s="1"/>
  <c r="N69" i="48" s="1"/>
  <c r="O59" i="48"/>
  <c r="I60" i="48"/>
  <c r="H61" i="48"/>
  <c r="O57" i="48"/>
  <c r="O68" i="48" s="1"/>
  <c r="O69" i="48" s="1"/>
  <c r="I58" i="48"/>
  <c r="I65" i="48" s="1"/>
  <c r="I66" i="48" s="1"/>
  <c r="H59" i="48"/>
  <c r="J60" i="48"/>
  <c r="I61" i="48"/>
  <c r="K62" i="48"/>
  <c r="H57" i="48"/>
  <c r="H68" i="48" s="1"/>
  <c r="H69" i="48" s="1"/>
  <c r="J58" i="48"/>
  <c r="I59" i="48"/>
  <c r="K60" i="48"/>
  <c r="J59" i="48"/>
  <c r="D60" i="48"/>
  <c r="L60" i="48"/>
  <c r="K61" i="48"/>
  <c r="E62" i="48"/>
  <c r="M62" i="48"/>
  <c r="M57" i="48"/>
  <c r="M68" i="48" s="1"/>
  <c r="M69" i="48" s="1"/>
  <c r="J57" i="48"/>
  <c r="D58" i="48"/>
  <c r="L58" i="48"/>
  <c r="K59" i="48"/>
  <c r="E60" i="48"/>
  <c r="D61" i="48"/>
  <c r="L61" i="48"/>
  <c r="F62" i="48"/>
  <c r="N62" i="48"/>
  <c r="D57" i="48"/>
  <c r="O58" i="48"/>
  <c r="O65" i="48" s="1"/>
  <c r="O66" i="48" s="1"/>
  <c r="J61" i="48"/>
  <c r="D62" i="48"/>
  <c r="L62" i="48"/>
  <c r="D59" i="48"/>
  <c r="L59" i="48"/>
  <c r="F60" i="48"/>
  <c r="E61" i="48"/>
  <c r="M61" i="48"/>
  <c r="G62" i="48"/>
  <c r="O48" i="47"/>
  <c r="O55" i="47"/>
  <c r="O56" i="47"/>
  <c r="O35" i="47" s="1"/>
  <c r="G48" i="47"/>
  <c r="G55" i="47"/>
  <c r="G56" i="47" s="1"/>
  <c r="M47" i="47"/>
  <c r="M58" i="47" s="1"/>
  <c r="M59" i="47" s="1"/>
  <c r="E47" i="47"/>
  <c r="E58" i="47" s="1"/>
  <c r="E59" i="47" s="1"/>
  <c r="D48" i="47"/>
  <c r="D55" i="47" s="1"/>
  <c r="D56" i="47" s="1"/>
  <c r="I48" i="47"/>
  <c r="I55" i="47"/>
  <c r="I56" i="47" s="1"/>
  <c r="H48" i="47"/>
  <c r="F47" i="47"/>
  <c r="F58" i="47" s="1"/>
  <c r="F59" i="47" s="1"/>
  <c r="N48" i="47"/>
  <c r="N55" i="47"/>
  <c r="N56" i="47"/>
  <c r="N35" i="47" s="1"/>
  <c r="F48" i="47"/>
  <c r="F55" i="47"/>
  <c r="F56" i="47" s="1"/>
  <c r="L47" i="47"/>
  <c r="L58" i="47" s="1"/>
  <c r="L59" i="47" s="1"/>
  <c r="D47" i="47"/>
  <c r="D58" i="47" s="1"/>
  <c r="D59" i="47" s="1"/>
  <c r="H47" i="47"/>
  <c r="H58" i="47" s="1"/>
  <c r="H59" i="47" s="1"/>
  <c r="G47" i="47"/>
  <c r="G58" i="47"/>
  <c r="G59" i="47" s="1"/>
  <c r="N47" i="47"/>
  <c r="N58" i="47"/>
  <c r="N59" i="47" s="1"/>
  <c r="M48" i="47"/>
  <c r="M55" i="47"/>
  <c r="M56" i="47" s="1"/>
  <c r="M35" i="47" s="1"/>
  <c r="E48" i="47"/>
  <c r="E55" i="47"/>
  <c r="E56" i="47"/>
  <c r="K47" i="47"/>
  <c r="K58" i="47" s="1"/>
  <c r="K59" i="47" s="1"/>
  <c r="J47" i="47"/>
  <c r="J58" i="47"/>
  <c r="J59" i="47" s="1"/>
  <c r="J48" i="47"/>
  <c r="J55" i="47"/>
  <c r="J56" i="47" s="1"/>
  <c r="J35" i="47" s="1"/>
  <c r="L48" i="47"/>
  <c r="L55" i="47" s="1"/>
  <c r="L56" i="47" s="1"/>
  <c r="L35" i="47" s="1"/>
  <c r="K48" i="47"/>
  <c r="K55" i="47"/>
  <c r="K56" i="47" s="1"/>
  <c r="K35" i="47" s="1"/>
  <c r="I47" i="47"/>
  <c r="I58" i="47" s="1"/>
  <c r="I59" i="47" s="1"/>
  <c r="O47" i="47"/>
  <c r="O58" i="47"/>
  <c r="O59" i="47"/>
  <c r="F68" i="48"/>
  <c r="F69" i="48" s="1"/>
  <c r="L65" i="48"/>
  <c r="L66" i="48" s="1"/>
  <c r="L68" i="48"/>
  <c r="L69" i="48" s="1"/>
  <c r="J68" i="48"/>
  <c r="J69" i="48" s="1"/>
  <c r="P61" i="48"/>
  <c r="R61" i="48" s="1"/>
  <c r="AU13" i="36"/>
  <c r="B59" i="44"/>
  <c r="A59" i="44"/>
  <c r="B57" i="44"/>
  <c r="A57" i="44"/>
  <c r="B61" i="45"/>
  <c r="A61" i="45"/>
  <c r="B59" i="45"/>
  <c r="A59" i="45"/>
  <c r="B57" i="45"/>
  <c r="A57" i="45"/>
  <c r="B57" i="43"/>
  <c r="A57" i="43"/>
  <c r="B61" i="42"/>
  <c r="A61" i="42"/>
  <c r="B59" i="42"/>
  <c r="A59" i="42"/>
  <c r="B57" i="42"/>
  <c r="A57" i="42"/>
  <c r="B61" i="46"/>
  <c r="A61" i="46"/>
  <c r="B59" i="46"/>
  <c r="A59" i="46"/>
  <c r="B57" i="46"/>
  <c r="A57" i="46"/>
  <c r="B59" i="40"/>
  <c r="A59" i="40"/>
  <c r="B57" i="40"/>
  <c r="A57" i="40"/>
  <c r="P42" i="46"/>
  <c r="H62" i="46" s="1"/>
  <c r="C24" i="44"/>
  <c r="C24" i="45"/>
  <c r="O24" i="45" s="1"/>
  <c r="C24" i="42"/>
  <c r="C24" i="46"/>
  <c r="AB24" i="44"/>
  <c r="AA24" i="44"/>
  <c r="Z24" i="44"/>
  <c r="Y24" i="44"/>
  <c r="X24" i="44"/>
  <c r="W24" i="44"/>
  <c r="U24" i="44"/>
  <c r="T24" i="44"/>
  <c r="S24" i="44"/>
  <c r="R24" i="44"/>
  <c r="Q22" i="44"/>
  <c r="AC22" i="44" s="1"/>
  <c r="T22" i="44"/>
  <c r="AA24" i="45"/>
  <c r="Y24" i="45"/>
  <c r="W24" i="45"/>
  <c r="V22" i="45"/>
  <c r="U24" i="45"/>
  <c r="T22" i="45"/>
  <c r="AC22" i="45" s="1"/>
  <c r="AB24" i="45"/>
  <c r="Z24" i="45"/>
  <c r="X24" i="45"/>
  <c r="V24" i="45"/>
  <c r="T24" i="45"/>
  <c r="AA24" i="43"/>
  <c r="Y24" i="43"/>
  <c r="W24" i="43"/>
  <c r="V22" i="43"/>
  <c r="AC22" i="43"/>
  <c r="U24" i="43"/>
  <c r="AB24" i="42"/>
  <c r="AA24" i="42"/>
  <c r="Z24" i="42"/>
  <c r="Y24" i="42"/>
  <c r="X24" i="42"/>
  <c r="W24" i="42"/>
  <c r="U24" i="42"/>
  <c r="T24" i="42"/>
  <c r="S22" i="42"/>
  <c r="AC22" i="42" s="1"/>
  <c r="AD23" i="42" s="1"/>
  <c r="T22" i="42"/>
  <c r="AB24" i="46"/>
  <c r="AA24" i="46"/>
  <c r="Z24" i="46"/>
  <c r="Y24" i="46"/>
  <c r="X24" i="46"/>
  <c r="W24" i="46"/>
  <c r="U24" i="46"/>
  <c r="T24" i="46"/>
  <c r="S22" i="46"/>
  <c r="AC22" i="46" s="1"/>
  <c r="T22" i="46"/>
  <c r="AA24" i="41"/>
  <c r="Y24" i="41"/>
  <c r="W24" i="41"/>
  <c r="U24" i="41"/>
  <c r="AA24" i="40"/>
  <c r="Y24" i="40"/>
  <c r="W24" i="40"/>
  <c r="AC22" i="40"/>
  <c r="U24" i="40"/>
  <c r="D24" i="44"/>
  <c r="O24" i="44"/>
  <c r="D24" i="45"/>
  <c r="D24" i="43"/>
  <c r="O24" i="43" s="1"/>
  <c r="P25" i="43" s="1"/>
  <c r="D24" i="42"/>
  <c r="D24" i="46"/>
  <c r="D24" i="41"/>
  <c r="O24" i="41" s="1"/>
  <c r="P25" i="41" s="1"/>
  <c r="D24" i="40"/>
  <c r="O24" i="40" s="1"/>
  <c r="P25" i="40" s="1"/>
  <c r="F24" i="42"/>
  <c r="F24" i="46"/>
  <c r="E24" i="42"/>
  <c r="E24" i="46"/>
  <c r="O24" i="46" s="1"/>
  <c r="P25" i="46" s="1"/>
  <c r="G24" i="42"/>
  <c r="G24" i="46"/>
  <c r="P42" i="41"/>
  <c r="P43" i="46"/>
  <c r="P41" i="46"/>
  <c r="N59" i="46"/>
  <c r="P39" i="46"/>
  <c r="P38" i="46"/>
  <c r="P30" i="46"/>
  <c r="O25" i="46"/>
  <c r="AC25" i="46"/>
  <c r="AC23" i="46"/>
  <c r="O23" i="46"/>
  <c r="O22" i="46"/>
  <c r="P43" i="45"/>
  <c r="P42" i="45"/>
  <c r="P41" i="45"/>
  <c r="P40" i="45"/>
  <c r="J59" i="45"/>
  <c r="P39" i="45"/>
  <c r="P38" i="45"/>
  <c r="P30" i="45"/>
  <c r="AC25" i="45"/>
  <c r="O25" i="45"/>
  <c r="P25" i="45" s="1"/>
  <c r="AC23" i="45"/>
  <c r="AD25" i="45" s="1"/>
  <c r="O23" i="45"/>
  <c r="P23" i="45" s="1"/>
  <c r="O22" i="45"/>
  <c r="P41" i="44"/>
  <c r="P40" i="44"/>
  <c r="E60" i="44" s="1"/>
  <c r="P39" i="44"/>
  <c r="P38" i="44"/>
  <c r="N58" i="44"/>
  <c r="N65" i="44" s="1"/>
  <c r="N66" i="44" s="1"/>
  <c r="N35" i="44" s="1"/>
  <c r="P30" i="44"/>
  <c r="AC25" i="44"/>
  <c r="O25" i="44"/>
  <c r="AC23" i="44"/>
  <c r="AD23" i="44" s="1"/>
  <c r="O23" i="44"/>
  <c r="O22" i="44"/>
  <c r="P39" i="43"/>
  <c r="P30" i="43"/>
  <c r="AC25" i="43"/>
  <c r="AD25" i="43" s="1"/>
  <c r="O25" i="43"/>
  <c r="AC23" i="43"/>
  <c r="O23" i="43"/>
  <c r="P23" i="43"/>
  <c r="O22" i="43"/>
  <c r="P43" i="42"/>
  <c r="P42" i="42"/>
  <c r="O61" i="42"/>
  <c r="P41" i="42"/>
  <c r="P40" i="42"/>
  <c r="P39" i="42"/>
  <c r="P38" i="42"/>
  <c r="D58" i="42" s="1"/>
  <c r="D65" i="42" s="1"/>
  <c r="D66" i="42" s="1"/>
  <c r="D35" i="42" s="1"/>
  <c r="P30" i="42"/>
  <c r="AC25" i="42"/>
  <c r="AD25" i="42" s="1"/>
  <c r="O25" i="42"/>
  <c r="AC23" i="42"/>
  <c r="O23" i="42"/>
  <c r="O22" i="42"/>
  <c r="P43" i="41"/>
  <c r="P41" i="41"/>
  <c r="P40" i="41"/>
  <c r="P39" i="41"/>
  <c r="P38" i="41"/>
  <c r="P30" i="41"/>
  <c r="AC25" i="41"/>
  <c r="O25" i="41"/>
  <c r="AC23" i="41"/>
  <c r="O23" i="41"/>
  <c r="O22" i="41"/>
  <c r="BK60" i="37"/>
  <c r="BJ60" i="37"/>
  <c r="BI60" i="37"/>
  <c r="BH60" i="37"/>
  <c r="BG60" i="37"/>
  <c r="BF60" i="37"/>
  <c r="BE60" i="37"/>
  <c r="BD60" i="37"/>
  <c r="BC60" i="37"/>
  <c r="BB60" i="37"/>
  <c r="BA60" i="37"/>
  <c r="AZ60" i="37"/>
  <c r="AW60" i="37"/>
  <c r="AV60" i="37"/>
  <c r="AU60" i="37"/>
  <c r="AT60" i="37"/>
  <c r="AS60" i="37"/>
  <c r="AR60" i="37"/>
  <c r="AQ60" i="37"/>
  <c r="AP60" i="37"/>
  <c r="AO60" i="37"/>
  <c r="AN60" i="37"/>
  <c r="AM60" i="37"/>
  <c r="AL60" i="37"/>
  <c r="AK60" i="37"/>
  <c r="AJ60" i="37"/>
  <c r="AI60" i="37"/>
  <c r="AH60" i="37"/>
  <c r="AE60" i="37"/>
  <c r="AD60" i="37"/>
  <c r="AC60" i="37"/>
  <c r="AB60" i="37"/>
  <c r="AA60" i="37"/>
  <c r="Z60" i="37"/>
  <c r="Y60" i="37"/>
  <c r="X60" i="37"/>
  <c r="W60" i="37"/>
  <c r="V60" i="37"/>
  <c r="U60" i="37"/>
  <c r="T60" i="37"/>
  <c r="Q60" i="37"/>
  <c r="P60" i="37"/>
  <c r="O60" i="37"/>
  <c r="N60" i="37"/>
  <c r="M60" i="37"/>
  <c r="L60" i="37"/>
  <c r="K60" i="37"/>
  <c r="J60" i="37"/>
  <c r="I60" i="37"/>
  <c r="H60" i="37"/>
  <c r="F60" i="37"/>
  <c r="E60" i="37"/>
  <c r="D60" i="37"/>
  <c r="C60" i="37"/>
  <c r="B60" i="37"/>
  <c r="AY59" i="37"/>
  <c r="AX59" i="37"/>
  <c r="S59" i="37"/>
  <c r="R59" i="37"/>
  <c r="AY58" i="37"/>
  <c r="AX58" i="37"/>
  <c r="S58" i="37"/>
  <c r="R58" i="37"/>
  <c r="AY57" i="37"/>
  <c r="AX57" i="37"/>
  <c r="S57" i="37"/>
  <c r="R57" i="37"/>
  <c r="AY56" i="37"/>
  <c r="AX56" i="37"/>
  <c r="S56" i="37"/>
  <c r="R56" i="37"/>
  <c r="AY55" i="37"/>
  <c r="AX55" i="37"/>
  <c r="S55" i="37"/>
  <c r="R55" i="37"/>
  <c r="AY54" i="37"/>
  <c r="AX54" i="37"/>
  <c r="S54" i="37"/>
  <c r="R54" i="37"/>
  <c r="AY53" i="37"/>
  <c r="AX53" i="37"/>
  <c r="S53" i="37"/>
  <c r="R53" i="37"/>
  <c r="AY52" i="37"/>
  <c r="AX52" i="37"/>
  <c r="S52" i="37"/>
  <c r="R52" i="37"/>
  <c r="AY51" i="37"/>
  <c r="AX51" i="37"/>
  <c r="S51" i="37"/>
  <c r="R51" i="37"/>
  <c r="AY50" i="37"/>
  <c r="AX50" i="37"/>
  <c r="S50" i="37"/>
  <c r="R50" i="37"/>
  <c r="AY49" i="37"/>
  <c r="AX49" i="37"/>
  <c r="S49" i="37"/>
  <c r="R49" i="37"/>
  <c r="AY48" i="37"/>
  <c r="AX48" i="37"/>
  <c r="S48" i="37"/>
  <c r="R48" i="37"/>
  <c r="AY47" i="37"/>
  <c r="AX47" i="37"/>
  <c r="S47" i="37"/>
  <c r="R47" i="37"/>
  <c r="AY46" i="37"/>
  <c r="AX46" i="37"/>
  <c r="S46" i="37"/>
  <c r="R46" i="37"/>
  <c r="AY45" i="37"/>
  <c r="AX45" i="37"/>
  <c r="S45" i="37"/>
  <c r="R45" i="37"/>
  <c r="AY44" i="37"/>
  <c r="AX44" i="37"/>
  <c r="S44" i="37"/>
  <c r="R44" i="37"/>
  <c r="AY43" i="37"/>
  <c r="AX43" i="37"/>
  <c r="S43" i="37"/>
  <c r="R43" i="37"/>
  <c r="AY42" i="37"/>
  <c r="AX42" i="37"/>
  <c r="S42" i="37"/>
  <c r="R42" i="37"/>
  <c r="AY41" i="37"/>
  <c r="AX41" i="37"/>
  <c r="S41" i="37"/>
  <c r="R41" i="37"/>
  <c r="AY40" i="37"/>
  <c r="AX40" i="37"/>
  <c r="S40" i="37"/>
  <c r="R40" i="37"/>
  <c r="AY39" i="37"/>
  <c r="AY60" i="37" s="1"/>
  <c r="AX39" i="37"/>
  <c r="AX60" i="37" s="1"/>
  <c r="S39" i="37"/>
  <c r="R39" i="37"/>
  <c r="R60" i="37" s="1"/>
  <c r="AW32" i="37"/>
  <c r="AV32" i="37"/>
  <c r="AU32" i="37"/>
  <c r="AT32" i="37"/>
  <c r="AS32" i="37"/>
  <c r="AR32" i="37"/>
  <c r="AQ32" i="37"/>
  <c r="AP32" i="37"/>
  <c r="AO32" i="37"/>
  <c r="AN32" i="37"/>
  <c r="AM32" i="37"/>
  <c r="AL32" i="37"/>
  <c r="AK32" i="37"/>
  <c r="AJ32" i="37"/>
  <c r="AI32" i="37"/>
  <c r="AH32" i="37"/>
  <c r="Q32" i="37"/>
  <c r="M32" i="37"/>
  <c r="I32" i="37"/>
  <c r="E32" i="37"/>
  <c r="AY12" i="37"/>
  <c r="AY13" i="37"/>
  <c r="AY14" i="37"/>
  <c r="AY15" i="37"/>
  <c r="AY16" i="37"/>
  <c r="AY17" i="37"/>
  <c r="AY32" i="37" s="1"/>
  <c r="AY18" i="37"/>
  <c r="AY19" i="37"/>
  <c r="AY20" i="37"/>
  <c r="AY21" i="37"/>
  <c r="AY22" i="37"/>
  <c r="AY23" i="37"/>
  <c r="AY24" i="37"/>
  <c r="AY25" i="37"/>
  <c r="AY26" i="37"/>
  <c r="AY27" i="37"/>
  <c r="AY28" i="37"/>
  <c r="AY29" i="37"/>
  <c r="AY30" i="37"/>
  <c r="AY31" i="37"/>
  <c r="AY11" i="37"/>
  <c r="S12" i="37"/>
  <c r="S32" i="37" s="1"/>
  <c r="S13" i="37"/>
  <c r="S14" i="37"/>
  <c r="S15" i="37"/>
  <c r="S16" i="37"/>
  <c r="S17" i="37"/>
  <c r="S18" i="37"/>
  <c r="S19" i="37"/>
  <c r="S20" i="37"/>
  <c r="S21" i="37"/>
  <c r="S22" i="37"/>
  <c r="S23" i="37"/>
  <c r="S24" i="37"/>
  <c r="S25" i="37"/>
  <c r="S26" i="37"/>
  <c r="S27" i="37"/>
  <c r="S28" i="37"/>
  <c r="S29" i="37"/>
  <c r="S30" i="37"/>
  <c r="S31" i="37"/>
  <c r="S11" i="37"/>
  <c r="J32" i="37"/>
  <c r="K32" i="37"/>
  <c r="L32" i="37"/>
  <c r="AX14" i="37"/>
  <c r="AX32" i="37" s="1"/>
  <c r="AX15" i="37"/>
  <c r="AX16" i="37"/>
  <c r="AX17" i="37"/>
  <c r="AX18" i="37"/>
  <c r="AX19" i="37"/>
  <c r="AX20" i="37"/>
  <c r="AX21" i="37"/>
  <c r="AX22" i="37"/>
  <c r="AT14" i="36"/>
  <c r="AU14" i="36"/>
  <c r="AT17" i="36"/>
  <c r="AU17" i="36" s="1"/>
  <c r="O23" i="40"/>
  <c r="T32" i="37"/>
  <c r="U32" i="37"/>
  <c r="V32" i="37"/>
  <c r="W32" i="37"/>
  <c r="X32" i="37"/>
  <c r="AZ32" i="37"/>
  <c r="BA32" i="37"/>
  <c r="BB32" i="37"/>
  <c r="BC32" i="37"/>
  <c r="BD32" i="37"/>
  <c r="BE32" i="37"/>
  <c r="AC25" i="40"/>
  <c r="AC23" i="40"/>
  <c r="AD25" i="40" s="1"/>
  <c r="O22" i="40"/>
  <c r="P41" i="40"/>
  <c r="P40" i="40"/>
  <c r="P39" i="40"/>
  <c r="P38" i="40"/>
  <c r="N57" i="40" s="1"/>
  <c r="O57" i="40"/>
  <c r="P30" i="40"/>
  <c r="P28" i="1"/>
  <c r="P24" i="1"/>
  <c r="AX12" i="37"/>
  <c r="AX13" i="37"/>
  <c r="AX23" i="37"/>
  <c r="AX24" i="37"/>
  <c r="AX25" i="37"/>
  <c r="AX26" i="37"/>
  <c r="AX27" i="37"/>
  <c r="AX28" i="37"/>
  <c r="AX29" i="37"/>
  <c r="AX30" i="37"/>
  <c r="AX31" i="37"/>
  <c r="AX11" i="37"/>
  <c r="R12" i="37"/>
  <c r="R32" i="37" s="1"/>
  <c r="R13" i="37"/>
  <c r="R14" i="37"/>
  <c r="R15" i="37"/>
  <c r="R16" i="37"/>
  <c r="R17" i="37"/>
  <c r="R18" i="37"/>
  <c r="R19" i="37"/>
  <c r="R20" i="37"/>
  <c r="R21" i="37"/>
  <c r="R22" i="37"/>
  <c r="R23" i="37"/>
  <c r="R24" i="37"/>
  <c r="R25" i="37"/>
  <c r="R26" i="37"/>
  <c r="R27" i="37"/>
  <c r="R28" i="37"/>
  <c r="R29" i="37"/>
  <c r="R30" i="37"/>
  <c r="R31" i="37"/>
  <c r="R11" i="37"/>
  <c r="C32" i="37"/>
  <c r="D32" i="37"/>
  <c r="F32" i="37"/>
  <c r="G32" i="37"/>
  <c r="H32" i="37"/>
  <c r="N32" i="37"/>
  <c r="O32" i="37"/>
  <c r="P32" i="37"/>
  <c r="Y32" i="37"/>
  <c r="Z32" i="37"/>
  <c r="AA32" i="37"/>
  <c r="AB32" i="37"/>
  <c r="AC32" i="37"/>
  <c r="AD32" i="37"/>
  <c r="AE32" i="37"/>
  <c r="B32" i="37"/>
  <c r="BK32" i="37"/>
  <c r="BJ32" i="37"/>
  <c r="BI32" i="37"/>
  <c r="BH32" i="37"/>
  <c r="BG32" i="37"/>
  <c r="BF32" i="37"/>
  <c r="P29" i="1"/>
  <c r="P32" i="1"/>
  <c r="P34" i="1"/>
  <c r="P35" i="1"/>
  <c r="P36" i="1"/>
  <c r="P37" i="1"/>
  <c r="P38" i="1"/>
  <c r="P39" i="1"/>
  <c r="N4" i="20"/>
  <c r="N3" i="20"/>
  <c r="F8" i="20"/>
  <c r="F7" i="20"/>
  <c r="J7" i="20"/>
  <c r="J6" i="20"/>
  <c r="J5" i="20"/>
  <c r="J4" i="20"/>
  <c r="J3" i="20"/>
  <c r="F6" i="20"/>
  <c r="F5" i="20"/>
  <c r="F4" i="20"/>
  <c r="F3" i="20"/>
  <c r="P33" i="1"/>
  <c r="H57" i="46"/>
  <c r="D57" i="46"/>
  <c r="D68" i="46" s="1"/>
  <c r="D69" i="46" s="1"/>
  <c r="K58" i="40"/>
  <c r="D57" i="40"/>
  <c r="L58" i="40"/>
  <c r="H57" i="42"/>
  <c r="J57" i="40"/>
  <c r="E59" i="46"/>
  <c r="E58" i="42"/>
  <c r="N59" i="45"/>
  <c r="E58" i="40"/>
  <c r="O59" i="46"/>
  <c r="K58" i="43"/>
  <c r="K65" i="43"/>
  <c r="K66" i="43" s="1"/>
  <c r="K35" i="43"/>
  <c r="I58" i="43"/>
  <c r="I65" i="43"/>
  <c r="I66" i="43" s="1"/>
  <c r="I35" i="43" s="1"/>
  <c r="I57" i="40"/>
  <c r="D58" i="40"/>
  <c r="O58" i="40"/>
  <c r="N58" i="40"/>
  <c r="F58" i="40"/>
  <c r="O58" i="43"/>
  <c r="O65" i="43" s="1"/>
  <c r="O66" i="43" s="1"/>
  <c r="O35" i="43" s="1"/>
  <c r="O58" i="46"/>
  <c r="J59" i="44"/>
  <c r="F58" i="46"/>
  <c r="N58" i="46"/>
  <c r="D57" i="42"/>
  <c r="E59" i="44"/>
  <c r="G57" i="46"/>
  <c r="K58" i="42"/>
  <c r="L60" i="44"/>
  <c r="E57" i="40"/>
  <c r="M57" i="40"/>
  <c r="I58" i="46"/>
  <c r="F61" i="42"/>
  <c r="P61" i="42" s="1"/>
  <c r="R61" i="42" s="1"/>
  <c r="G58" i="40"/>
  <c r="F59" i="44"/>
  <c r="L59" i="44"/>
  <c r="H59" i="44"/>
  <c r="M59" i="44"/>
  <c r="M57" i="42"/>
  <c r="L57" i="42"/>
  <c r="M58" i="42"/>
  <c r="M61" i="46"/>
  <c r="G61" i="46"/>
  <c r="J60" i="44"/>
  <c r="O59" i="44"/>
  <c r="F60" i="40"/>
  <c r="E61" i="42"/>
  <c r="I59" i="44"/>
  <c r="P59" i="44" s="1"/>
  <c r="R59" i="44" s="1"/>
  <c r="K62" i="46"/>
  <c r="F62" i="46"/>
  <c r="L57" i="40"/>
  <c r="J58" i="46"/>
  <c r="K58" i="46"/>
  <c r="F59" i="46"/>
  <c r="H60" i="46"/>
  <c r="D60" i="46"/>
  <c r="N60" i="46"/>
  <c r="O60" i="46"/>
  <c r="L59" i="46"/>
  <c r="M62" i="45"/>
  <c r="D62" i="45"/>
  <c r="G61" i="45"/>
  <c r="J62" i="45"/>
  <c r="I62" i="45"/>
  <c r="H62" i="45"/>
  <c r="L61" i="45"/>
  <c r="G62" i="45"/>
  <c r="K61" i="45"/>
  <c r="E62" i="45"/>
  <c r="I61" i="45"/>
  <c r="D59" i="46"/>
  <c r="F57" i="40"/>
  <c r="K57" i="40"/>
  <c r="G57" i="40"/>
  <c r="H57" i="40"/>
  <c r="M58" i="40"/>
  <c r="J58" i="40"/>
  <c r="O58" i="42"/>
  <c r="M60" i="44"/>
  <c r="M65" i="44" s="1"/>
  <c r="M66" i="44" s="1"/>
  <c r="M35" i="44" s="1"/>
  <c r="N57" i="42"/>
  <c r="E57" i="42"/>
  <c r="O57" i="42"/>
  <c r="D59" i="44"/>
  <c r="F57" i="42"/>
  <c r="F58" i="42"/>
  <c r="G59" i="44"/>
  <c r="G57" i="42"/>
  <c r="G68" i="42" s="1"/>
  <c r="G69" i="42" s="1"/>
  <c r="G34" i="42" s="1"/>
  <c r="H58" i="42"/>
  <c r="N59" i="44"/>
  <c r="I57" i="42"/>
  <c r="J58" i="42"/>
  <c r="F60" i="44"/>
  <c r="J57" i="42"/>
  <c r="L58" i="42"/>
  <c r="G60" i="44"/>
  <c r="G65" i="44" s="1"/>
  <c r="G66" i="44" s="1"/>
  <c r="G35" i="44" s="1"/>
  <c r="K57" i="42"/>
  <c r="N58" i="42"/>
  <c r="F58" i="45"/>
  <c r="M58" i="45"/>
  <c r="E58" i="45"/>
  <c r="O58" i="45"/>
  <c r="I57" i="45"/>
  <c r="L58" i="45"/>
  <c r="E57" i="45"/>
  <c r="N58" i="45"/>
  <c r="M57" i="45"/>
  <c r="L57" i="45"/>
  <c r="H57" i="45"/>
  <c r="D58" i="45"/>
  <c r="G57" i="45"/>
  <c r="F57" i="45"/>
  <c r="G58" i="45"/>
  <c r="O57" i="43"/>
  <c r="O68" i="43" s="1"/>
  <c r="O69" i="43"/>
  <c r="O34" i="43" s="1"/>
  <c r="N57" i="43"/>
  <c r="N68" i="43" s="1"/>
  <c r="N69" i="43"/>
  <c r="N34" i="43" s="1"/>
  <c r="L58" i="43"/>
  <c r="L65" i="43" s="1"/>
  <c r="L66" i="43" s="1"/>
  <c r="L35" i="43" s="1"/>
  <c r="F58" i="43"/>
  <c r="F65" i="43" s="1"/>
  <c r="F66" i="43" s="1"/>
  <c r="F35" i="43" s="1"/>
  <c r="H57" i="43"/>
  <c r="H68" i="43"/>
  <c r="H69" i="43" s="1"/>
  <c r="H34" i="43" s="1"/>
  <c r="G57" i="43"/>
  <c r="G68" i="43" s="1"/>
  <c r="G69" i="43" s="1"/>
  <c r="G34" i="43" s="1"/>
  <c r="M58" i="43"/>
  <c r="M65" i="43" s="1"/>
  <c r="M66" i="43" s="1"/>
  <c r="M35" i="43" s="1"/>
  <c r="D58" i="43"/>
  <c r="D65" i="43"/>
  <c r="D66" i="43" s="1"/>
  <c r="D35" i="43" s="1"/>
  <c r="L57" i="43"/>
  <c r="L68" i="43"/>
  <c r="L69" i="43" s="1"/>
  <c r="L34" i="43" s="1"/>
  <c r="K57" i="43"/>
  <c r="K68" i="43" s="1"/>
  <c r="K69" i="43" s="1"/>
  <c r="K34" i="43" s="1"/>
  <c r="H58" i="43"/>
  <c r="H65" i="43" s="1"/>
  <c r="H66" i="43"/>
  <c r="H35" i="43" s="1"/>
  <c r="D57" i="43"/>
  <c r="D68" i="43"/>
  <c r="D69" i="43" s="1"/>
  <c r="D34" i="43" s="1"/>
  <c r="M59" i="45"/>
  <c r="M68" i="45" s="1"/>
  <c r="M69" i="45" s="1"/>
  <c r="M34" i="45" s="1"/>
  <c r="L59" i="45"/>
  <c r="M60" i="45"/>
  <c r="O60" i="45"/>
  <c r="H60" i="45"/>
  <c r="G59" i="45"/>
  <c r="I60" i="45"/>
  <c r="K59" i="45"/>
  <c r="F59" i="45"/>
  <c r="K60" i="45"/>
  <c r="H59" i="45"/>
  <c r="D60" i="45"/>
  <c r="F60" i="45"/>
  <c r="F65" i="45" s="1"/>
  <c r="F66" i="45" s="1"/>
  <c r="F35" i="45" s="1"/>
  <c r="G60" i="45"/>
  <c r="I57" i="43"/>
  <c r="I68" i="43" s="1"/>
  <c r="I69" i="43"/>
  <c r="I34" i="43" s="1"/>
  <c r="E59" i="45"/>
  <c r="J58" i="43"/>
  <c r="J65" i="43" s="1"/>
  <c r="J66" i="43" s="1"/>
  <c r="J35" i="43" s="1"/>
  <c r="O60" i="44"/>
  <c r="H60" i="44"/>
  <c r="I60" i="44"/>
  <c r="N60" i="44"/>
  <c r="D60" i="44"/>
  <c r="K59" i="44"/>
  <c r="K60" i="44"/>
  <c r="J61" i="42"/>
  <c r="J68" i="42" s="1"/>
  <c r="J69" i="42" s="1"/>
  <c r="J34" i="42" s="1"/>
  <c r="O60" i="40"/>
  <c r="O65" i="40" s="1"/>
  <c r="O66" i="40" s="1"/>
  <c r="O35" i="40" s="1"/>
  <c r="L60" i="40"/>
  <c r="L65" i="40" s="1"/>
  <c r="L66" i="40" s="1"/>
  <c r="L35" i="40" s="1"/>
  <c r="J59" i="40"/>
  <c r="J68" i="40" s="1"/>
  <c r="J69" i="40" s="1"/>
  <c r="J34" i="40" s="1"/>
  <c r="I61" i="42"/>
  <c r="J62" i="42"/>
  <c r="H62" i="42"/>
  <c r="K62" i="42"/>
  <c r="D62" i="42"/>
  <c r="E62" i="42"/>
  <c r="H61" i="42"/>
  <c r="O57" i="44"/>
  <c r="O68" i="44"/>
  <c r="O69" i="44" s="1"/>
  <c r="O34" i="44" s="1"/>
  <c r="I57" i="44"/>
  <c r="I68" i="44" s="1"/>
  <c r="I69" i="44" s="1"/>
  <c r="I34" i="44" s="1"/>
  <c r="D57" i="44"/>
  <c r="D68" i="44" s="1"/>
  <c r="D69" i="44" s="1"/>
  <c r="L58" i="44"/>
  <c r="L65" i="44" s="1"/>
  <c r="L66" i="44" s="1"/>
  <c r="L35" i="44" s="1"/>
  <c r="M57" i="44"/>
  <c r="M68" i="44" s="1"/>
  <c r="M69" i="44" s="1"/>
  <c r="M34" i="44" s="1"/>
  <c r="G57" i="44"/>
  <c r="G68" i="44" s="1"/>
  <c r="G69" i="44" s="1"/>
  <c r="G34" i="44" s="1"/>
  <c r="J59" i="42"/>
  <c r="M60" i="42"/>
  <c r="L60" i="42"/>
  <c r="N59" i="42"/>
  <c r="N68" i="42" s="1"/>
  <c r="N69" i="42" s="1"/>
  <c r="N34" i="42" s="1"/>
  <c r="K59" i="42"/>
  <c r="M59" i="42"/>
  <c r="L59" i="42"/>
  <c r="G58" i="42"/>
  <c r="I58" i="42"/>
  <c r="F59" i="40"/>
  <c r="G59" i="40"/>
  <c r="G68" i="40" s="1"/>
  <c r="G69" i="40" s="1"/>
  <c r="G34" i="40" s="1"/>
  <c r="M59" i="40"/>
  <c r="M68" i="40" s="1"/>
  <c r="M69" i="40" s="1"/>
  <c r="M34" i="40" s="1"/>
  <c r="I60" i="40"/>
  <c r="AD25" i="44"/>
  <c r="AD25" i="46"/>
  <c r="AD23" i="46"/>
  <c r="AD25" i="41"/>
  <c r="AD23" i="41"/>
  <c r="L68" i="45"/>
  <c r="L69" i="45" s="1"/>
  <c r="L34" i="45"/>
  <c r="M65" i="45"/>
  <c r="M66" i="45"/>
  <c r="M35" i="45" s="1"/>
  <c r="G68" i="45"/>
  <c r="G69" i="45" s="1"/>
  <c r="G34" i="45" s="1"/>
  <c r="E68" i="45"/>
  <c r="E69" i="45" s="1"/>
  <c r="E34" i="45" s="1"/>
  <c r="O65" i="46"/>
  <c r="O66" i="46" s="1"/>
  <c r="O35" i="46" s="1"/>
  <c r="K61" i="46"/>
  <c r="L62" i="46"/>
  <c r="M62" i="46"/>
  <c r="G62" i="46"/>
  <c r="D61" i="46"/>
  <c r="O62" i="46"/>
  <c r="N62" i="46"/>
  <c r="I62" i="46"/>
  <c r="O61" i="46"/>
  <c r="J61" i="46"/>
  <c r="H61" i="46"/>
  <c r="I61" i="46"/>
  <c r="F61" i="46"/>
  <c r="D62" i="46"/>
  <c r="E61" i="46"/>
  <c r="G59" i="42"/>
  <c r="G60" i="42"/>
  <c r="J60" i="42"/>
  <c r="F60" i="42"/>
  <c r="D60" i="42"/>
  <c r="F59" i="42"/>
  <c r="H59" i="42"/>
  <c r="H68" i="42" s="1"/>
  <c r="H69" i="42" s="1"/>
  <c r="H34" i="42" s="1"/>
  <c r="E59" i="42"/>
  <c r="E68" i="42"/>
  <c r="E69" i="42" s="1"/>
  <c r="I59" i="42"/>
  <c r="H60" i="42"/>
  <c r="H65" i="42"/>
  <c r="H66" i="42" s="1"/>
  <c r="H35" i="42" s="1"/>
  <c r="D59" i="42"/>
  <c r="M58" i="44"/>
  <c r="I58" i="44"/>
  <c r="I65" i="44"/>
  <c r="I66" i="44" s="1"/>
  <c r="I35" i="44" s="1"/>
  <c r="J57" i="44"/>
  <c r="J68" i="44"/>
  <c r="J69" i="44" s="1"/>
  <c r="J34" i="44" s="1"/>
  <c r="K58" i="44"/>
  <c r="K65" i="44"/>
  <c r="K66" i="44" s="1"/>
  <c r="K35" i="44" s="1"/>
  <c r="G58" i="44"/>
  <c r="H57" i="44"/>
  <c r="H68" i="44"/>
  <c r="H69" i="44" s="1"/>
  <c r="H34" i="44" s="1"/>
  <c r="D58" i="44"/>
  <c r="D65" i="44" s="1"/>
  <c r="D66" i="44" s="1"/>
  <c r="H58" i="44"/>
  <c r="H65" i="44" s="1"/>
  <c r="H66" i="44" s="1"/>
  <c r="H35" i="44" s="1"/>
  <c r="K57" i="44"/>
  <c r="K68" i="44"/>
  <c r="K69" i="44" s="1"/>
  <c r="K34" i="44" s="1"/>
  <c r="N57" i="44"/>
  <c r="N68" i="44"/>
  <c r="N69" i="44"/>
  <c r="N34" i="44" s="1"/>
  <c r="F58" i="44"/>
  <c r="F65" i="44" s="1"/>
  <c r="F66" i="44" s="1"/>
  <c r="F35" i="44" s="1"/>
  <c r="F57" i="44"/>
  <c r="F68" i="44"/>
  <c r="F69" i="44"/>
  <c r="F34" i="44" s="1"/>
  <c r="E57" i="44"/>
  <c r="E68" i="44"/>
  <c r="E69" i="44" s="1"/>
  <c r="E34" i="44"/>
  <c r="N60" i="42"/>
  <c r="L61" i="46"/>
  <c r="O60" i="42"/>
  <c r="L57" i="44"/>
  <c r="L68" i="44" s="1"/>
  <c r="L69" i="44"/>
  <c r="L34" i="44" s="1"/>
  <c r="J62" i="46"/>
  <c r="J65" i="42"/>
  <c r="J66" i="42"/>
  <c r="J35" i="42" s="1"/>
  <c r="J58" i="44"/>
  <c r="J65" i="44" s="1"/>
  <c r="J66" i="44"/>
  <c r="J35" i="44" s="1"/>
  <c r="N61" i="46"/>
  <c r="O58" i="44"/>
  <c r="O65" i="44" s="1"/>
  <c r="O66" i="44" s="1"/>
  <c r="O35" i="44" s="1"/>
  <c r="I60" i="42"/>
  <c r="P57" i="40"/>
  <c r="K60" i="42"/>
  <c r="E58" i="44"/>
  <c r="E65" i="44"/>
  <c r="E66" i="44"/>
  <c r="E35" i="44"/>
  <c r="E62" i="46"/>
  <c r="G62" i="42"/>
  <c r="O62" i="42"/>
  <c r="N62" i="42"/>
  <c r="K61" i="42"/>
  <c r="I62" i="42"/>
  <c r="L61" i="42"/>
  <c r="L68" i="42" s="1"/>
  <c r="L69" i="42" s="1"/>
  <c r="M62" i="42"/>
  <c r="M65" i="42"/>
  <c r="M66" i="42" s="1"/>
  <c r="M35" i="42" s="1"/>
  <c r="G61" i="42"/>
  <c r="N61" i="42"/>
  <c r="M61" i="42"/>
  <c r="M68" i="42"/>
  <c r="M69" i="42"/>
  <c r="M34" i="42" s="1"/>
  <c r="F62" i="42"/>
  <c r="D61" i="42"/>
  <c r="L62" i="42"/>
  <c r="F61" i="45"/>
  <c r="P61" i="45" s="1"/>
  <c r="R61" i="45" s="1"/>
  <c r="H61" i="45"/>
  <c r="M61" i="45"/>
  <c r="K62" i="45"/>
  <c r="L62" i="45"/>
  <c r="D61" i="45"/>
  <c r="O62" i="45"/>
  <c r="O65" i="45" s="1"/>
  <c r="O66" i="45" s="1"/>
  <c r="O35" i="45" s="1"/>
  <c r="O61" i="45"/>
  <c r="F62" i="45"/>
  <c r="L60" i="46"/>
  <c r="K59" i="46"/>
  <c r="E60" i="46"/>
  <c r="F60" i="46"/>
  <c r="F65" i="46"/>
  <c r="F66" i="46"/>
  <c r="F35" i="46"/>
  <c r="H59" i="46"/>
  <c r="H68" i="46" s="1"/>
  <c r="H69" i="46" s="1"/>
  <c r="H34" i="46" s="1"/>
  <c r="G60" i="46"/>
  <c r="M59" i="46"/>
  <c r="J59" i="46"/>
  <c r="I59" i="46"/>
  <c r="J60" i="46"/>
  <c r="J65" i="46"/>
  <c r="J66" i="46" s="1"/>
  <c r="J35" i="46" s="1"/>
  <c r="I60" i="46"/>
  <c r="K60" i="46"/>
  <c r="P60" i="46" s="1"/>
  <c r="K65" i="46"/>
  <c r="K66" i="46"/>
  <c r="K35" i="46" s="1"/>
  <c r="N62" i="45"/>
  <c r="E61" i="45"/>
  <c r="M60" i="46"/>
  <c r="L34" i="42"/>
  <c r="AC24" i="43"/>
  <c r="J61" i="45"/>
  <c r="N61" i="45"/>
  <c r="G59" i="46"/>
  <c r="H60" i="40"/>
  <c r="E59" i="40"/>
  <c r="E68" i="40" s="1"/>
  <c r="E69" i="40" s="1"/>
  <c r="E34" i="40" s="1"/>
  <c r="E60" i="40"/>
  <c r="S60" i="37"/>
  <c r="O57" i="45"/>
  <c r="H58" i="45"/>
  <c r="H65" i="45"/>
  <c r="H66" i="45" s="1"/>
  <c r="H35" i="45" s="1"/>
  <c r="K57" i="45"/>
  <c r="I58" i="45"/>
  <c r="I65" i="45"/>
  <c r="I66" i="45" s="1"/>
  <c r="I35" i="45" s="1"/>
  <c r="K58" i="45"/>
  <c r="D57" i="45"/>
  <c r="J58" i="45"/>
  <c r="J57" i="45"/>
  <c r="J68" i="45" s="1"/>
  <c r="J69" i="45" s="1"/>
  <c r="J34" i="45" s="1"/>
  <c r="N57" i="45"/>
  <c r="N68" i="45" s="1"/>
  <c r="N69" i="45" s="1"/>
  <c r="N34" i="45" s="1"/>
  <c r="P62" i="42"/>
  <c r="N65" i="42"/>
  <c r="N66" i="42" s="1"/>
  <c r="N35" i="42" s="1"/>
  <c r="E65" i="40"/>
  <c r="E66" i="40" s="1"/>
  <c r="O65" i="42"/>
  <c r="O66" i="42" s="1"/>
  <c r="O35" i="42" s="1"/>
  <c r="D68" i="42"/>
  <c r="D69" i="42"/>
  <c r="P57" i="44"/>
  <c r="K65" i="45"/>
  <c r="K66" i="45"/>
  <c r="K35" i="45" s="1"/>
  <c r="F65" i="42"/>
  <c r="F66" i="42" s="1"/>
  <c r="F35" i="42" s="1"/>
  <c r="I65" i="42"/>
  <c r="I66" i="42" s="1"/>
  <c r="P61" i="46"/>
  <c r="R61" i="46" s="1"/>
  <c r="E35" i="40"/>
  <c r="D34" i="42"/>
  <c r="P57" i="45" l="1"/>
  <c r="F68" i="45"/>
  <c r="F69" i="45" s="1"/>
  <c r="F34" i="45" s="1"/>
  <c r="Q60" i="46"/>
  <c r="R60" i="46" s="1"/>
  <c r="N65" i="40"/>
  <c r="N66" i="40" s="1"/>
  <c r="N35" i="40" s="1"/>
  <c r="L65" i="45"/>
  <c r="L66" i="45" s="1"/>
  <c r="L35" i="45" s="1"/>
  <c r="P58" i="45"/>
  <c r="P69" i="44"/>
  <c r="D34" i="44"/>
  <c r="P34" i="44" s="1"/>
  <c r="D34" i="46"/>
  <c r="P66" i="44"/>
  <c r="D35" i="44"/>
  <c r="P35" i="44" s="1"/>
  <c r="E34" i="42"/>
  <c r="P59" i="46"/>
  <c r="R59" i="46" s="1"/>
  <c r="G68" i="46"/>
  <c r="G69" i="46" s="1"/>
  <c r="G34" i="46" s="1"/>
  <c r="P68" i="44"/>
  <c r="Q62" i="42"/>
  <c r="R62" i="42" s="1"/>
  <c r="P62" i="45"/>
  <c r="K65" i="42"/>
  <c r="K66" i="42" s="1"/>
  <c r="K35" i="42" s="1"/>
  <c r="F68" i="42"/>
  <c r="F69" i="42" s="1"/>
  <c r="F34" i="42" s="1"/>
  <c r="G65" i="45"/>
  <c r="G66" i="45" s="1"/>
  <c r="G35" i="45" s="1"/>
  <c r="K68" i="42"/>
  <c r="K69" i="42" s="1"/>
  <c r="K34" i="42" s="1"/>
  <c r="F68" i="40"/>
  <c r="F69" i="40" s="1"/>
  <c r="F34" i="40" s="1"/>
  <c r="F65" i="40"/>
  <c r="F66" i="40" s="1"/>
  <c r="F35" i="40" s="1"/>
  <c r="AA15" i="36"/>
  <c r="AD15" i="36" s="1"/>
  <c r="AG15" i="36" s="1"/>
  <c r="AJ15" i="36" s="1"/>
  <c r="BA15" i="36"/>
  <c r="P58" i="44"/>
  <c r="J65" i="45"/>
  <c r="J66" i="45" s="1"/>
  <c r="J35" i="45" s="1"/>
  <c r="K68" i="45"/>
  <c r="K69" i="45" s="1"/>
  <c r="K34" i="45" s="1"/>
  <c r="G65" i="42"/>
  <c r="G66" i="42" s="1"/>
  <c r="G35" i="42" s="1"/>
  <c r="P62" i="46"/>
  <c r="I65" i="46"/>
  <c r="I66" i="46" s="1"/>
  <c r="I35" i="46" s="1"/>
  <c r="N65" i="46"/>
  <c r="N66" i="46" s="1"/>
  <c r="N35" i="46" s="1"/>
  <c r="O68" i="45"/>
  <c r="O69" i="45" s="1"/>
  <c r="O34" i="45" s="1"/>
  <c r="P34" i="43"/>
  <c r="P59" i="47"/>
  <c r="R57" i="44"/>
  <c r="H68" i="45"/>
  <c r="H69" i="45" s="1"/>
  <c r="H34" i="45" s="1"/>
  <c r="L59" i="40"/>
  <c r="L68" i="40" s="1"/>
  <c r="L69" i="40" s="1"/>
  <c r="L34" i="40" s="1"/>
  <c r="K59" i="40"/>
  <c r="K68" i="40" s="1"/>
  <c r="K69" i="40" s="1"/>
  <c r="K34" i="40" s="1"/>
  <c r="O59" i="40"/>
  <c r="O68" i="40" s="1"/>
  <c r="O69" i="40" s="1"/>
  <c r="O34" i="40" s="1"/>
  <c r="H59" i="40"/>
  <c r="H68" i="40" s="1"/>
  <c r="H69" i="40" s="1"/>
  <c r="H34" i="40" s="1"/>
  <c r="K60" i="40"/>
  <c r="K65" i="40" s="1"/>
  <c r="K66" i="40" s="1"/>
  <c r="K35" i="40" s="1"/>
  <c r="D60" i="40"/>
  <c r="N59" i="40"/>
  <c r="N68" i="40" s="1"/>
  <c r="N69" i="40" s="1"/>
  <c r="N34" i="40" s="1"/>
  <c r="N60" i="40"/>
  <c r="I59" i="40"/>
  <c r="I68" i="40" s="1"/>
  <c r="I69" i="40" s="1"/>
  <c r="I34" i="40" s="1"/>
  <c r="G60" i="40"/>
  <c r="G65" i="40" s="1"/>
  <c r="G66" i="40" s="1"/>
  <c r="G35" i="40" s="1"/>
  <c r="M60" i="40"/>
  <c r="M65" i="40" s="1"/>
  <c r="M66" i="40" s="1"/>
  <c r="M35" i="40" s="1"/>
  <c r="R57" i="40"/>
  <c r="J65" i="40"/>
  <c r="J66" i="40" s="1"/>
  <c r="J35" i="40" s="1"/>
  <c r="H55" i="47"/>
  <c r="H56" i="47" s="1"/>
  <c r="P56" i="47" s="1"/>
  <c r="P48" i="47"/>
  <c r="P59" i="42"/>
  <c r="R59" i="42" s="1"/>
  <c r="D65" i="45"/>
  <c r="D66" i="45" s="1"/>
  <c r="L65" i="42"/>
  <c r="L66" i="42" s="1"/>
  <c r="L35" i="42" s="1"/>
  <c r="J60" i="40"/>
  <c r="P60" i="44"/>
  <c r="D59" i="40"/>
  <c r="K57" i="46"/>
  <c r="K68" i="46" s="1"/>
  <c r="K69" i="46" s="1"/>
  <c r="K34" i="46" s="1"/>
  <c r="G58" i="46"/>
  <c r="G65" i="46" s="1"/>
  <c r="G66" i="46" s="1"/>
  <c r="G35" i="46" s="1"/>
  <c r="H58" i="46"/>
  <c r="J57" i="46"/>
  <c r="J68" i="46" s="1"/>
  <c r="J69" i="46" s="1"/>
  <c r="J34" i="46" s="1"/>
  <c r="M57" i="46"/>
  <c r="M68" i="46" s="1"/>
  <c r="M69" i="46" s="1"/>
  <c r="M34" i="46" s="1"/>
  <c r="M58" i="46"/>
  <c r="M65" i="46" s="1"/>
  <c r="M66" i="46" s="1"/>
  <c r="M35" i="46" s="1"/>
  <c r="O57" i="46"/>
  <c r="O68" i="46" s="1"/>
  <c r="O69" i="46" s="1"/>
  <c r="O34" i="46" s="1"/>
  <c r="F57" i="46"/>
  <c r="F68" i="46" s="1"/>
  <c r="F69" i="46" s="1"/>
  <c r="F34" i="46" s="1"/>
  <c r="D58" i="46"/>
  <c r="L57" i="46"/>
  <c r="L68" i="46" s="1"/>
  <c r="L69" i="46" s="1"/>
  <c r="L34" i="46" s="1"/>
  <c r="E57" i="46"/>
  <c r="L58" i="46"/>
  <c r="L65" i="46" s="1"/>
  <c r="L66" i="46" s="1"/>
  <c r="L35" i="46" s="1"/>
  <c r="E58" i="46"/>
  <c r="E65" i="46" s="1"/>
  <c r="E66" i="46" s="1"/>
  <c r="E35" i="46" s="1"/>
  <c r="N57" i="46"/>
  <c r="N68" i="46" s="1"/>
  <c r="N69" i="46" s="1"/>
  <c r="N34" i="46" s="1"/>
  <c r="I57" i="46"/>
  <c r="I68" i="46" s="1"/>
  <c r="I69" i="46" s="1"/>
  <c r="I34" i="46" s="1"/>
  <c r="AC24" i="45"/>
  <c r="P47" i="47"/>
  <c r="J65" i="48"/>
  <c r="J66" i="48" s="1"/>
  <c r="E60" i="42"/>
  <c r="O59" i="42"/>
  <c r="O68" i="42" s="1"/>
  <c r="O69" i="42" s="1"/>
  <c r="O34" i="42" s="1"/>
  <c r="AD23" i="43"/>
  <c r="P25" i="44"/>
  <c r="P58" i="42"/>
  <c r="P57" i="42"/>
  <c r="M57" i="43"/>
  <c r="M68" i="43" s="1"/>
  <c r="M69" i="43" s="1"/>
  <c r="M34" i="43" s="1"/>
  <c r="E58" i="43"/>
  <c r="E57" i="43"/>
  <c r="E68" i="43" s="1"/>
  <c r="E69" i="43" s="1"/>
  <c r="E34" i="43" s="1"/>
  <c r="F57" i="43"/>
  <c r="F68" i="43" s="1"/>
  <c r="F69" i="43" s="1"/>
  <c r="F34" i="43" s="1"/>
  <c r="N58" i="43"/>
  <c r="N65" i="43" s="1"/>
  <c r="N66" i="43" s="1"/>
  <c r="N35" i="43" s="1"/>
  <c r="J57" i="43"/>
  <c r="J68" i="43" s="1"/>
  <c r="J69" i="43" s="1"/>
  <c r="J34" i="43" s="1"/>
  <c r="G58" i="43"/>
  <c r="G65" i="43" s="1"/>
  <c r="G66" i="43" s="1"/>
  <c r="G35" i="43" s="1"/>
  <c r="N60" i="45"/>
  <c r="N65" i="45" s="1"/>
  <c r="N66" i="45" s="1"/>
  <c r="N35" i="45" s="1"/>
  <c r="E60" i="45"/>
  <c r="E65" i="45" s="1"/>
  <c r="E66" i="45" s="1"/>
  <c r="E35" i="45" s="1"/>
  <c r="D59" i="45"/>
  <c r="P59" i="45" s="1"/>
  <c r="R59" i="45" s="1"/>
  <c r="L60" i="45"/>
  <c r="J60" i="45"/>
  <c r="I59" i="45"/>
  <c r="I68" i="45" s="1"/>
  <c r="I69" i="45" s="1"/>
  <c r="I34" i="45" s="1"/>
  <c r="O59" i="45"/>
  <c r="D68" i="48"/>
  <c r="D69" i="48" s="1"/>
  <c r="I68" i="42"/>
  <c r="I69" i="42" s="1"/>
  <c r="I34" i="42" s="1"/>
  <c r="O24" i="42"/>
  <c r="P25" i="42" s="1"/>
  <c r="P62" i="48"/>
  <c r="AD23" i="45"/>
  <c r="D65" i="48"/>
  <c r="D66" i="48" s="1"/>
  <c r="D35" i="48" s="1"/>
  <c r="G57" i="48"/>
  <c r="AC24" i="46"/>
  <c r="AC24" i="41"/>
  <c r="AC24" i="42"/>
  <c r="E58" i="48"/>
  <c r="E65" i="48" s="1"/>
  <c r="E66" i="48" s="1"/>
  <c r="G58" i="48"/>
  <c r="G65" i="48" s="1"/>
  <c r="G66" i="48" s="1"/>
  <c r="K58" i="48"/>
  <c r="K65" i="48" s="1"/>
  <c r="K66" i="48" s="1"/>
  <c r="E57" i="48"/>
  <c r="G59" i="48"/>
  <c r="P59" i="48" s="1"/>
  <c r="R59" i="48" s="1"/>
  <c r="N60" i="48"/>
  <c r="P60" i="48" s="1"/>
  <c r="H58" i="40"/>
  <c r="H65" i="40" s="1"/>
  <c r="H66" i="40" s="1"/>
  <c r="H35" i="40" s="1"/>
  <c r="H65" i="46"/>
  <c r="H66" i="46" s="1"/>
  <c r="H35" i="46" s="1"/>
  <c r="I58" i="40"/>
  <c r="I65" i="40" s="1"/>
  <c r="I66" i="40" s="1"/>
  <c r="I35" i="40" s="1"/>
  <c r="AC24" i="40"/>
  <c r="K57" i="48"/>
  <c r="K68" i="48" s="1"/>
  <c r="K69" i="48" s="1"/>
  <c r="N58" i="48"/>
  <c r="M60" i="48"/>
  <c r="M65" i="48" s="1"/>
  <c r="M66" i="48" s="1"/>
  <c r="I57" i="48"/>
  <c r="I68" i="48" s="1"/>
  <c r="I69" i="48" s="1"/>
  <c r="F58" i="48"/>
  <c r="F65" i="48" s="1"/>
  <c r="F66" i="48" s="1"/>
  <c r="AC24" i="48"/>
  <c r="AD23" i="40"/>
  <c r="AC24" i="44"/>
  <c r="Q60" i="48" l="1"/>
  <c r="R60" i="48" s="1"/>
  <c r="E65" i="42"/>
  <c r="E66" i="42" s="1"/>
  <c r="P60" i="42"/>
  <c r="D68" i="45"/>
  <c r="D69" i="45" s="1"/>
  <c r="P34" i="42"/>
  <c r="P69" i="43"/>
  <c r="P58" i="43"/>
  <c r="E65" i="43"/>
  <c r="E66" i="43" s="1"/>
  <c r="E68" i="46"/>
  <c r="E69" i="46" s="1"/>
  <c r="P57" i="46"/>
  <c r="Q58" i="45"/>
  <c r="R58" i="45"/>
  <c r="R47" i="47"/>
  <c r="P58" i="47"/>
  <c r="P59" i="40"/>
  <c r="D68" i="40"/>
  <c r="D69" i="40" s="1"/>
  <c r="AM15" i="36"/>
  <c r="AT15" i="36"/>
  <c r="AU15" i="36" s="1"/>
  <c r="P57" i="43"/>
  <c r="D65" i="40"/>
  <c r="D66" i="40" s="1"/>
  <c r="P60" i="40"/>
  <c r="P60" i="45"/>
  <c r="P58" i="40"/>
  <c r="R57" i="42"/>
  <c r="P68" i="42"/>
  <c r="P58" i="46"/>
  <c r="D65" i="46"/>
  <c r="D66" i="46" s="1"/>
  <c r="Q58" i="44"/>
  <c r="P65" i="44"/>
  <c r="R65" i="44" s="1"/>
  <c r="R58" i="44"/>
  <c r="D34" i="48"/>
  <c r="Q60" i="44"/>
  <c r="R60" i="44" s="1"/>
  <c r="Q62" i="48"/>
  <c r="R62" i="48" s="1"/>
  <c r="Q62" i="46"/>
  <c r="R62" i="46" s="1"/>
  <c r="Q62" i="45"/>
  <c r="R62" i="45" s="1"/>
  <c r="P69" i="42"/>
  <c r="P55" i="47"/>
  <c r="R55" i="47" s="1"/>
  <c r="Q48" i="47"/>
  <c r="R48" i="47"/>
  <c r="G68" i="48"/>
  <c r="G69" i="48" s="1"/>
  <c r="Q58" i="42"/>
  <c r="R58" i="42" s="1"/>
  <c r="N65" i="48"/>
  <c r="N66" i="48" s="1"/>
  <c r="P66" i="48" s="1"/>
  <c r="P57" i="48"/>
  <c r="E68" i="48"/>
  <c r="E69" i="48" s="1"/>
  <c r="P69" i="48" s="1"/>
  <c r="P58" i="48"/>
  <c r="P66" i="45"/>
  <c r="D35" i="45"/>
  <c r="P35" i="45" s="1"/>
  <c r="R57" i="45"/>
  <c r="P68" i="45"/>
  <c r="P68" i="43" l="1"/>
  <c r="R57" i="43"/>
  <c r="P68" i="48"/>
  <c r="R57" i="48"/>
  <c r="E35" i="42"/>
  <c r="P35" i="42" s="1"/>
  <c r="P66" i="42"/>
  <c r="Q60" i="45"/>
  <c r="R60" i="45"/>
  <c r="P65" i="43"/>
  <c r="R65" i="43" s="1"/>
  <c r="Q58" i="43"/>
  <c r="R58" i="43" s="1"/>
  <c r="Q60" i="40"/>
  <c r="R60" i="40"/>
  <c r="Q58" i="48"/>
  <c r="R58" i="48"/>
  <c r="P65" i="48"/>
  <c r="R65" i="48" s="1"/>
  <c r="D35" i="40"/>
  <c r="P35" i="40" s="1"/>
  <c r="P66" i="40"/>
  <c r="D34" i="45"/>
  <c r="P34" i="45" s="1"/>
  <c r="P69" i="45"/>
  <c r="P65" i="42"/>
  <c r="R65" i="42" s="1"/>
  <c r="Q60" i="42"/>
  <c r="R60" i="42" s="1"/>
  <c r="D34" i="40"/>
  <c r="P34" i="40" s="1"/>
  <c r="P69" i="40"/>
  <c r="E34" i="46"/>
  <c r="P34" i="46" s="1"/>
  <c r="P69" i="46"/>
  <c r="P66" i="46"/>
  <c r="D35" i="46"/>
  <c r="P35" i="46" s="1"/>
  <c r="P65" i="46"/>
  <c r="R65" i="46" s="1"/>
  <c r="Q58" i="46"/>
  <c r="R58" i="46" s="1"/>
  <c r="P65" i="45"/>
  <c r="R65" i="45" s="1"/>
  <c r="P68" i="46"/>
  <c r="R57" i="46"/>
  <c r="Q58" i="40"/>
  <c r="P65" i="40"/>
  <c r="R65" i="40" s="1"/>
  <c r="R58" i="40"/>
  <c r="R59" i="40"/>
  <c r="P68" i="40"/>
  <c r="E35" i="43"/>
  <c r="P35" i="43" s="1"/>
  <c r="P66" i="4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ANGELA MARCELA FORERO RUIZ</author>
    <author>USUARIO</author>
    <author>Microsoft Office User</author>
    <author/>
  </authors>
  <commentList>
    <comment ref="O8" authorId="0" shapeId="0" xr:uid="{D96C870B-7B58-494A-BB3B-61AD8EA399A5}">
      <text>
        <r>
          <rPr>
            <b/>
            <sz val="11"/>
            <color indexed="81"/>
            <rFont val="Tahoma"/>
            <family val="2"/>
          </rPr>
          <t>ANGELA MARCELA FORERO RUIZ:</t>
        </r>
        <r>
          <rPr>
            <sz val="11"/>
            <color indexed="81"/>
            <rFont val="Tahoma"/>
            <family val="2"/>
          </rPr>
          <t xml:space="preserve">
Marcar actualización dado que se realizó ajuste a la programación presupuestal de las metas proyecto de inversión</t>
        </r>
      </text>
    </comment>
    <comment ref="Q22" authorId="1" shapeId="0" xr:uid="{00000000-0006-0000-0000-000001000000}">
      <text>
        <r>
          <rPr>
            <b/>
            <sz val="9"/>
            <color indexed="81"/>
            <rFont val="Tahoma"/>
            <family val="2"/>
          </rPr>
          <t>USUARIO:</t>
        </r>
        <r>
          <rPr>
            <sz val="9"/>
            <color indexed="81"/>
            <rFont val="Tahoma"/>
            <family val="2"/>
          </rPr>
          <t xml:space="preserve">
PSP</t>
        </r>
      </text>
    </comment>
    <comment ref="T22" authorId="1" shapeId="0" xr:uid="{00000000-0006-0000-0000-000002000000}">
      <text>
        <r>
          <rPr>
            <b/>
            <sz val="9"/>
            <color indexed="81"/>
            <rFont val="Tahoma"/>
            <family val="2"/>
          </rPr>
          <t>USUARIO:</t>
        </r>
        <r>
          <rPr>
            <sz val="9"/>
            <color indexed="81"/>
            <rFont val="Tahoma"/>
            <family val="2"/>
          </rPr>
          <t xml:space="preserve">
Licenciamiento</t>
        </r>
      </text>
    </comment>
    <comment ref="V22" authorId="1" shapeId="0" xr:uid="{00000000-0006-0000-0000-000003000000}">
      <text>
        <r>
          <rPr>
            <b/>
            <sz val="9"/>
            <color indexed="81"/>
            <rFont val="Tahoma"/>
            <family val="2"/>
          </rPr>
          <t>USUARIO:</t>
        </r>
        <r>
          <rPr>
            <sz val="9"/>
            <color indexed="81"/>
            <rFont val="Tahoma"/>
            <family val="2"/>
          </rPr>
          <t xml:space="preserve">
Papelería, central de medios</t>
        </r>
      </text>
    </comment>
    <comment ref="C24" authorId="1" shapeId="0" xr:uid="{00000000-0006-0000-0000-000004000000}">
      <text>
        <r>
          <rPr>
            <b/>
            <sz val="9"/>
            <color rgb="FF000000"/>
            <rFont val="Tahoma"/>
            <family val="2"/>
          </rPr>
          <t>USUARIO:</t>
        </r>
        <r>
          <rPr>
            <sz val="9"/>
            <color rgb="FF000000"/>
            <rFont val="Tahoma"/>
            <family val="2"/>
          </rPr>
          <t xml:space="preserve">
</t>
        </r>
        <r>
          <rPr>
            <sz val="9"/>
            <color rgb="FF000000"/>
            <rFont val="Tahoma"/>
            <family val="2"/>
          </rPr>
          <t>Central de medios</t>
        </r>
      </text>
    </comment>
    <comment ref="D24" authorId="1" shapeId="0" xr:uid="{00000000-0006-0000-0000-000005000000}">
      <text>
        <r>
          <rPr>
            <sz val="10"/>
            <color indexed="81"/>
            <rFont val="Tahoma"/>
            <family val="2"/>
          </rPr>
          <t>Equipos tecnológicos, PSP Camilo, PSP Jonathan, adición PSP Carol Quintero, Adición PSP Ana, Adición PSP Carol Rozo, central de medios</t>
        </r>
      </text>
    </comment>
    <comment ref="R24" authorId="1" shapeId="0" xr:uid="{00000000-0006-0000-0000-000006000000}">
      <text>
        <r>
          <rPr>
            <b/>
            <sz val="9"/>
            <color rgb="FF000000"/>
            <rFont val="Tahoma"/>
            <family val="2"/>
          </rPr>
          <t>USUARIO:</t>
        </r>
        <r>
          <rPr>
            <sz val="9"/>
            <color rgb="FF000000"/>
            <rFont val="Tahoma"/>
            <family val="2"/>
          </rPr>
          <t xml:space="preserve">
</t>
        </r>
        <r>
          <rPr>
            <sz val="9"/>
            <color rgb="FF000000"/>
            <rFont val="Tahoma"/>
            <family val="2"/>
          </rPr>
          <t>PSP</t>
        </r>
      </text>
    </comment>
    <comment ref="S24" authorId="1" shapeId="0" xr:uid="{00000000-0006-0000-0000-000007000000}">
      <text>
        <r>
          <rPr>
            <b/>
            <sz val="9"/>
            <color rgb="FF000000"/>
            <rFont val="Tahoma"/>
            <family val="2"/>
          </rPr>
          <t>USUARIO:</t>
        </r>
        <r>
          <rPr>
            <sz val="9"/>
            <color rgb="FF000000"/>
            <rFont val="Tahoma"/>
            <family val="2"/>
          </rPr>
          <t xml:space="preserve">
</t>
        </r>
        <r>
          <rPr>
            <sz val="9"/>
            <color rgb="FF000000"/>
            <rFont val="Tahoma"/>
            <family val="2"/>
          </rPr>
          <t>PSP</t>
        </r>
      </text>
    </comment>
    <comment ref="T24" authorId="1" shapeId="0" xr:uid="{00000000-0006-0000-0000-000008000000}">
      <text>
        <r>
          <rPr>
            <b/>
            <sz val="9"/>
            <color indexed="81"/>
            <rFont val="Tahoma"/>
            <family val="2"/>
          </rPr>
          <t>USUARIO:</t>
        </r>
        <r>
          <rPr>
            <sz val="9"/>
            <color indexed="81"/>
            <rFont val="Tahoma"/>
            <family val="2"/>
          </rPr>
          <t xml:space="preserve">
PSP</t>
        </r>
      </text>
    </comment>
    <comment ref="U24" authorId="1" shapeId="0" xr:uid="{00000000-0006-0000-0000-000009000000}">
      <text>
        <r>
          <rPr>
            <b/>
            <sz val="9"/>
            <color indexed="81"/>
            <rFont val="Tahoma"/>
            <family val="2"/>
          </rPr>
          <t>USUARIO:</t>
        </r>
        <r>
          <rPr>
            <sz val="9"/>
            <color indexed="81"/>
            <rFont val="Tahoma"/>
            <family val="2"/>
          </rPr>
          <t xml:space="preserve">
PSP, licenciamiento</t>
        </r>
      </text>
    </comment>
    <comment ref="V24" authorId="1" shapeId="0" xr:uid="{00000000-0006-0000-0000-00000A000000}">
      <text>
        <r>
          <rPr>
            <b/>
            <sz val="9"/>
            <color rgb="FF000000"/>
            <rFont val="Tahoma"/>
            <family val="2"/>
          </rPr>
          <t>USUARIO:</t>
        </r>
        <r>
          <rPr>
            <sz val="9"/>
            <color rgb="FF000000"/>
            <rFont val="Tahoma"/>
            <family val="2"/>
          </rPr>
          <t xml:space="preserve">
</t>
        </r>
        <r>
          <rPr>
            <sz val="9"/>
            <color rgb="FF000000"/>
            <rFont val="Tahoma"/>
            <family val="2"/>
          </rPr>
          <t>PSP</t>
        </r>
      </text>
    </comment>
    <comment ref="W24" authorId="1" shapeId="0" xr:uid="{00000000-0006-0000-0000-00000B000000}">
      <text>
        <r>
          <rPr>
            <b/>
            <sz val="9"/>
            <color indexed="81"/>
            <rFont val="Tahoma"/>
            <family val="2"/>
          </rPr>
          <t>USUARIO:</t>
        </r>
        <r>
          <rPr>
            <sz val="9"/>
            <color indexed="81"/>
            <rFont val="Tahoma"/>
            <family val="2"/>
          </rPr>
          <t xml:space="preserve">
PSP, papelería, central de medios</t>
        </r>
      </text>
    </comment>
    <comment ref="X24" authorId="1" shapeId="0" xr:uid="{00000000-0006-0000-0000-00000C000000}">
      <text>
        <r>
          <rPr>
            <b/>
            <sz val="9"/>
            <color indexed="81"/>
            <rFont val="Tahoma"/>
            <family val="2"/>
          </rPr>
          <t>USUARIO:</t>
        </r>
        <r>
          <rPr>
            <sz val="9"/>
            <color indexed="81"/>
            <rFont val="Tahoma"/>
            <family val="2"/>
          </rPr>
          <t xml:space="preserve">
PSP</t>
        </r>
      </text>
    </comment>
    <comment ref="Y24" authorId="1" shapeId="0" xr:uid="{00000000-0006-0000-0000-00000D000000}">
      <text>
        <r>
          <rPr>
            <b/>
            <sz val="9"/>
            <color indexed="81"/>
            <rFont val="Tahoma"/>
            <family val="2"/>
          </rPr>
          <t>USUARIO:</t>
        </r>
        <r>
          <rPr>
            <sz val="9"/>
            <color indexed="81"/>
            <rFont val="Tahoma"/>
            <family val="2"/>
          </rPr>
          <t xml:space="preserve">
PSP, central de medios</t>
        </r>
      </text>
    </comment>
    <comment ref="Z24" authorId="1" shapeId="0" xr:uid="{00000000-0006-0000-0000-00000E000000}">
      <text>
        <r>
          <rPr>
            <b/>
            <sz val="9"/>
            <color indexed="81"/>
            <rFont val="Tahoma"/>
            <family val="2"/>
          </rPr>
          <t>USUARIO:</t>
        </r>
        <r>
          <rPr>
            <sz val="9"/>
            <color indexed="81"/>
            <rFont val="Tahoma"/>
            <family val="2"/>
          </rPr>
          <t xml:space="preserve">
PSP</t>
        </r>
      </text>
    </comment>
    <comment ref="AA24" authorId="1" shapeId="0" xr:uid="{00000000-0006-0000-0000-00000F000000}">
      <text>
        <r>
          <rPr>
            <b/>
            <sz val="9"/>
            <color indexed="81"/>
            <rFont val="Tahoma"/>
            <family val="2"/>
          </rPr>
          <t>USUARIO:</t>
        </r>
        <r>
          <rPr>
            <sz val="9"/>
            <color indexed="81"/>
            <rFont val="Tahoma"/>
            <family val="2"/>
          </rPr>
          <t xml:space="preserve">
PSP, central de medios</t>
        </r>
      </text>
    </comment>
    <comment ref="AB24" authorId="1" shapeId="0" xr:uid="{00000000-0006-0000-0000-000010000000}">
      <text>
        <r>
          <rPr>
            <b/>
            <sz val="9"/>
            <color rgb="FF000000"/>
            <rFont val="Tahoma"/>
            <family val="2"/>
          </rPr>
          <t>USUARIO:</t>
        </r>
        <r>
          <rPr>
            <sz val="9"/>
            <color rgb="FF000000"/>
            <rFont val="Tahoma"/>
            <family val="2"/>
          </rPr>
          <t xml:space="preserve">
</t>
        </r>
        <r>
          <rPr>
            <sz val="9"/>
            <color rgb="FF000000"/>
            <rFont val="Tahoma"/>
            <family val="2"/>
          </rPr>
          <t>PSP</t>
        </r>
      </text>
    </comment>
    <comment ref="C32" authorId="2" shapeId="0" xr:uid="{00000000-0006-0000-0000-000011000000}">
      <text>
        <r>
          <rPr>
            <b/>
            <sz val="9"/>
            <color indexed="8"/>
            <rFont val="Tahoma"/>
            <family val="2"/>
          </rPr>
          <t>Microsoft Office User:</t>
        </r>
        <r>
          <rPr>
            <sz val="9"/>
            <color indexed="8"/>
            <rFont val="Tahoma"/>
            <family val="2"/>
          </rPr>
          <t xml:space="preserve">
</t>
        </r>
        <r>
          <rPr>
            <sz val="9"/>
            <color indexed="8"/>
            <rFont val="Tahoma"/>
            <family val="2"/>
          </rPr>
          <t xml:space="preserve">Corresponde a la magnitud programada en coherencia con la unidad de medida de la meta proyecto. </t>
        </r>
      </text>
    </comment>
    <comment ref="Q32" authorId="3" shapeId="0" xr:uid="{00000000-0006-0000-0000-000012000000}">
      <text>
        <r>
          <rPr>
            <b/>
            <sz val="9"/>
            <color rgb="FF000000"/>
            <rFont val="Tahoma"/>
            <family val="2"/>
          </rPr>
          <t xml:space="preserve">OFICINA ASESORA DE PLANEACIÓN:
</t>
        </r>
        <r>
          <rPr>
            <sz val="9"/>
            <color rgb="FF000000"/>
            <rFont val="Tahoma"/>
            <family val="2"/>
          </rPr>
          <t xml:space="preserve">Máximo de caracteres Avances y logros:  2.000 (Incluidos espacios)
</t>
        </r>
        <r>
          <rPr>
            <sz val="9"/>
            <color rgb="FF000000"/>
            <rFont val="Tahoma"/>
            <family val="2"/>
          </rPr>
          <t xml:space="preserve">Máximo de caracteres Retrasos y alternativas de solución: 1.000 (Incluidos espacios)
</t>
        </r>
        <r>
          <rPr>
            <sz val="9"/>
            <color rgb="FF000000"/>
            <rFont val="Tahoma"/>
            <family val="2"/>
          </rPr>
          <t xml:space="preserve">Para la caracterización del avance de la meta, ésta debe ser cualitativa y cuantitativa. Teniendo en cuenta el número de caracteres que permite el sistema SEGPLAN, se recomienda dejar la información que se considere estratégica desde el área misional y de mayor relevancia. </t>
        </r>
      </text>
    </comment>
    <comment ref="W34" authorId="0" shapeId="0" xr:uid="{3DF6814F-E5EA-4C8C-8150-11E9950910B2}">
      <text>
        <r>
          <rPr>
            <b/>
            <sz val="11"/>
            <color rgb="FF000000"/>
            <rFont val="Tahoma"/>
            <family val="2"/>
          </rPr>
          <t>ANGELA MARCELA FORERO RUIZ:</t>
        </r>
        <r>
          <rPr>
            <sz val="11"/>
            <color rgb="FF000000"/>
            <rFont val="Tahoma"/>
            <family val="2"/>
          </rPr>
          <t xml:space="preserve">
</t>
        </r>
        <r>
          <rPr>
            <sz val="11"/>
            <color rgb="FF000000"/>
            <rFont val="Tahoma"/>
            <family val="2"/>
          </rPr>
          <t xml:space="preserve">Verificar redacción en rojo
</t>
        </r>
        <r>
          <rPr>
            <sz val="11"/>
            <color rgb="FF000000"/>
            <rFont val="Tahoma"/>
            <family val="2"/>
          </rPr>
          <t xml:space="preserve">Adicionalmente, mejorar un poco la redacción que no quede como un retraso dado que los avances de la meta y de las actividades se han dado de acuerdo a lo programado, no se evidencian retrason. </t>
        </r>
      </text>
    </comment>
    <comment ref="Q38" authorId="0" shapeId="0" xr:uid="{CB19E867-954A-4C1A-BE14-C117683FDB06}">
      <text>
        <r>
          <rPr>
            <b/>
            <sz val="11"/>
            <color rgb="FF000000"/>
            <rFont val="Tahoma"/>
            <family val="2"/>
          </rPr>
          <t>ANGELA MARCELA FORERO RUIZ:</t>
        </r>
        <r>
          <rPr>
            <sz val="11"/>
            <color rgb="FF000000"/>
            <rFont val="Tahoma"/>
            <family val="2"/>
          </rPr>
          <t xml:space="preserve">
</t>
        </r>
        <r>
          <rPr>
            <sz val="11"/>
            <color rgb="FF000000"/>
            <rFont val="Tahoma"/>
            <family val="2"/>
          </rPr>
          <t>Incluir no  solo el avance del mes sino el acumulado a la fecha (primer semestre)</t>
        </r>
      </text>
    </comment>
    <comment ref="Q40" authorId="0" shapeId="0" xr:uid="{0EBB232F-999D-4496-AF96-A35A6CD586ED}">
      <text>
        <r>
          <rPr>
            <b/>
            <sz val="11"/>
            <color rgb="FF000000"/>
            <rFont val="Tahoma"/>
            <family val="2"/>
          </rPr>
          <t xml:space="preserve">ANGELA MARCELA FORERO RUIZ:
</t>
        </r>
        <r>
          <rPr>
            <sz val="11"/>
            <color rgb="FF000000"/>
            <rFont val="Tahoma"/>
            <family val="2"/>
          </rPr>
          <t>Incluir no  solo el avance del mes sino el acumulado a la fecha (primer semestre)</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Microsoft Office User</author>
    <author>ANDREA PAOLA BELLO VARGAS</author>
  </authors>
  <commentList>
    <comment ref="C26" authorId="0" shapeId="0" xr:uid="{00000000-0006-0000-0700-000001000000}">
      <text>
        <r>
          <rPr>
            <b/>
            <sz val="9"/>
            <color indexed="8"/>
            <rFont val="Tahoma"/>
            <family val="2"/>
          </rPr>
          <t>Microsoft Office User:</t>
        </r>
        <r>
          <rPr>
            <sz val="9"/>
            <color indexed="8"/>
            <rFont val="Tahoma"/>
            <family val="2"/>
          </rPr>
          <t xml:space="preserve">
</t>
        </r>
        <r>
          <rPr>
            <sz val="9"/>
            <color indexed="8"/>
            <rFont val="Tahoma"/>
            <family val="2"/>
          </rPr>
          <t xml:space="preserve">Corresponde a la magnitud programada en coherencia con la unidad de medida de la meta proyecto. </t>
        </r>
      </text>
    </comment>
    <comment ref="Q26" authorId="1" shapeId="0" xr:uid="{00000000-0006-0000-0700-000002000000}">
      <text>
        <r>
          <rPr>
            <b/>
            <sz val="9"/>
            <color indexed="8"/>
            <rFont val="Tahoma"/>
            <family val="2"/>
          </rPr>
          <t xml:space="preserve">OFICINA ASESORA DE PLANEACIÓN:
</t>
        </r>
        <r>
          <rPr>
            <sz val="9"/>
            <color indexed="8"/>
            <rFont val="Tahoma"/>
            <family val="2"/>
          </rPr>
          <t xml:space="preserve">Máximo de caracteres Avances y logros:  2.000 (Incluidos espacios)
</t>
        </r>
        <r>
          <rPr>
            <sz val="9"/>
            <color indexed="8"/>
            <rFont val="Tahoma"/>
            <family val="2"/>
          </rPr>
          <t xml:space="preserve">Máximo de caracteres Retrasos y alternativas de solución: 1.000 (Incluidos espacios)
</t>
        </r>
        <r>
          <rPr>
            <sz val="9"/>
            <color indexed="8"/>
            <rFont val="Tahoma"/>
            <family val="2"/>
          </rPr>
          <t xml:space="preserve">Para la caracterización del avance de la meta, ésta debe ser cualitativa y cuantitativa. Teniendo en cuenta el número de caracteres que permite el sistema SEGPLAN, se recomienda dejar la información que se considere estratégica desde el área misional y de mayor relevancia. </t>
        </r>
      </text>
    </comment>
    <comment ref="U27" authorId="0" shapeId="0" xr:uid="{00000000-0006-0000-0700-000003000000}">
      <text>
        <r>
          <rPr>
            <b/>
            <sz val="9"/>
            <color indexed="8"/>
            <rFont val="Tahoma"/>
            <family val="2"/>
          </rPr>
          <t>Microsoft Office User:</t>
        </r>
        <r>
          <rPr>
            <sz val="9"/>
            <color indexed="8"/>
            <rFont val="Tahoma"/>
            <family val="2"/>
          </rPr>
          <t xml:space="preserve">
</t>
        </r>
        <r>
          <rPr>
            <sz val="9"/>
            <color indexed="8"/>
            <rFont val="Tahoma"/>
            <family val="2"/>
          </rPr>
          <t xml:space="preserve">En el caso de no presentarse retrasos en el periodo de reporte, incluir una nota indicando que las cifras son acordes con la programación. 
</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Microsoft Office User</author>
    <author>ANGELA MARCELA FORERO RUIZ</author>
  </authors>
  <commentList>
    <comment ref="A11" authorId="0" shapeId="0" xr:uid="{00000000-0006-0000-0800-000005000000}">
      <text>
        <r>
          <rPr>
            <b/>
            <sz val="10"/>
            <color indexed="8"/>
            <rFont val="Tahoma"/>
            <family val="2"/>
          </rPr>
          <t>Microsoft Office User:</t>
        </r>
        <r>
          <rPr>
            <sz val="10"/>
            <color indexed="8"/>
            <rFont val="Tahoma"/>
            <family val="2"/>
          </rPr>
          <t xml:space="preserve">
</t>
        </r>
        <r>
          <rPr>
            <sz val="10"/>
            <color indexed="8"/>
            <rFont val="Tahoma"/>
            <family val="2"/>
          </rPr>
          <t xml:space="preserve">Seleccionar el nivel del indicador a reportar y relacionar el código asignado del indicador a medir segun: SEGPLAN, PMR, número de actividad, etc). La codificación se puede consultar en la pestaña de  generalidades.
</t>
        </r>
      </text>
    </comment>
    <comment ref="I11" authorId="0" shapeId="0" xr:uid="{00000000-0006-0000-0800-000006000000}">
      <text>
        <r>
          <rPr>
            <b/>
            <sz val="10"/>
            <color indexed="8"/>
            <rFont val="Tahoma"/>
            <family val="2"/>
          </rPr>
          <t>Microsoft Office User:</t>
        </r>
        <r>
          <rPr>
            <sz val="10"/>
            <color indexed="8"/>
            <rFont val="Tahoma"/>
            <family val="2"/>
          </rPr>
          <t xml:space="preserve">
</t>
        </r>
        <r>
          <rPr>
            <sz val="10"/>
            <color indexed="8"/>
            <rFont val="Tahoma"/>
            <family val="2"/>
          </rPr>
          <t xml:space="preserve">Corresponde a la meta PDD o meta proyecto articulada con el indicador a medir.
</t>
        </r>
        <r>
          <rPr>
            <sz val="10"/>
            <color indexed="8"/>
            <rFont val="Tahoma"/>
            <family val="2"/>
          </rPr>
          <t xml:space="preserve">Así mismo se podrá establecer una meta nueva en caso de evidenciar la necesidad. </t>
        </r>
      </text>
    </comment>
    <comment ref="J11" authorId="0" shapeId="0" xr:uid="{00000000-0006-0000-0800-000007000000}">
      <text>
        <r>
          <rPr>
            <b/>
            <sz val="10"/>
            <color rgb="FF000000"/>
            <rFont val="Tahoma"/>
            <family val="2"/>
          </rPr>
          <t>Microsoft Office User:</t>
        </r>
        <r>
          <rPr>
            <sz val="10"/>
            <color rgb="FF000000"/>
            <rFont val="Tahoma"/>
            <family val="2"/>
          </rPr>
          <t xml:space="preserve">
</t>
        </r>
        <r>
          <rPr>
            <sz val="10"/>
            <color rgb="FF000000"/>
            <rFont val="Tahoma"/>
            <family val="2"/>
          </rPr>
          <t xml:space="preserve">Detallar la expresión cualitativa del indicador.
</t>
        </r>
        <r>
          <rPr>
            <sz val="10"/>
            <color rgb="FF000000"/>
            <rFont val="Tahoma"/>
            <family val="2"/>
          </rPr>
          <t>Objeto + condición deseada del objeto (verbo conjugado) + elementos adicionales de contexto descriptivo</t>
        </r>
      </text>
    </comment>
    <comment ref="K11" authorId="0" shapeId="0" xr:uid="{00000000-0006-0000-0800-000008000000}">
      <text>
        <r>
          <rPr>
            <b/>
            <sz val="10"/>
            <color indexed="8"/>
            <rFont val="Tahoma"/>
            <family val="2"/>
          </rPr>
          <t>Microsoft Office User:</t>
        </r>
        <r>
          <rPr>
            <sz val="10"/>
            <color indexed="8"/>
            <rFont val="Tahoma"/>
            <family val="2"/>
          </rPr>
          <t xml:space="preserve">
</t>
        </r>
        <r>
          <rPr>
            <sz val="10"/>
            <color indexed="8"/>
            <rFont val="Tahoma"/>
            <family val="2"/>
          </rPr>
          <t xml:space="preserve">En coherencia con los mediciones establecidas por la SDH, Corresponde a:
</t>
        </r>
        <r>
          <rPr>
            <sz val="10"/>
            <color indexed="8"/>
            <rFont val="Tahoma"/>
            <family val="2"/>
          </rPr>
          <t xml:space="preserve">Suma 
</t>
        </r>
        <r>
          <rPr>
            <sz val="10"/>
            <color indexed="8"/>
            <rFont val="Tahoma"/>
            <family val="2"/>
          </rPr>
          <t xml:space="preserve">Creciente
</t>
        </r>
        <r>
          <rPr>
            <sz val="10"/>
            <color indexed="8"/>
            <rFont val="Tahoma"/>
            <family val="2"/>
          </rPr>
          <t xml:space="preserve">Decreciente
</t>
        </r>
        <r>
          <rPr>
            <sz val="10"/>
            <color indexed="8"/>
            <rFont val="Tahoma"/>
            <family val="2"/>
          </rPr>
          <t>Constante</t>
        </r>
      </text>
    </comment>
    <comment ref="N11" authorId="0" shapeId="0" xr:uid="{00000000-0006-0000-0800-000009000000}">
      <text>
        <r>
          <rPr>
            <b/>
            <sz val="10"/>
            <color rgb="FF000000"/>
            <rFont val="Tahoma"/>
            <family val="2"/>
          </rPr>
          <t>Microsoft Office User:</t>
        </r>
        <r>
          <rPr>
            <sz val="10"/>
            <color rgb="FF000000"/>
            <rFont val="Tahoma"/>
            <family val="2"/>
          </rPr>
          <t xml:space="preserve">
</t>
        </r>
        <r>
          <rPr>
            <sz val="10"/>
            <color rgb="FF000000"/>
            <rFont val="Tahoma"/>
            <family val="2"/>
          </rPr>
          <t>Corresponde a la descripción detallada de la medición del indicador y la formula del mismo</t>
        </r>
      </text>
    </comment>
    <comment ref="T11" authorId="0" shapeId="0" xr:uid="{00000000-0006-0000-0800-00000A000000}">
      <text>
        <r>
          <rPr>
            <b/>
            <sz val="10"/>
            <color indexed="8"/>
            <rFont val="Tahoma"/>
            <family val="2"/>
          </rPr>
          <t>Microsoft Office User:</t>
        </r>
        <r>
          <rPr>
            <sz val="10"/>
            <color indexed="8"/>
            <rFont val="Tahoma"/>
            <family val="2"/>
          </rPr>
          <t xml:space="preserve">
</t>
        </r>
        <r>
          <rPr>
            <sz val="10"/>
            <color indexed="8"/>
            <rFont val="Tahoma"/>
            <family val="2"/>
          </rPr>
          <t xml:space="preserve">Se debe establecer la periodicidad de la medicicion del indicador y del reporte del seguimiento </t>
        </r>
      </text>
    </comment>
    <comment ref="AT13" authorId="1" shapeId="0" xr:uid="{72474310-AE39-4E13-9E75-C8F9323FCD30}">
      <text>
        <r>
          <rPr>
            <b/>
            <sz val="11"/>
            <color rgb="FF000000"/>
            <rFont val="Tahoma"/>
            <family val="2"/>
          </rPr>
          <t>ANGELA MARCELA FORERO RUIZ:</t>
        </r>
        <r>
          <rPr>
            <sz val="11"/>
            <color rgb="FF000000"/>
            <rFont val="Tahoma"/>
            <family val="2"/>
          </rPr>
          <t xml:space="preserve">
</t>
        </r>
        <r>
          <rPr>
            <sz val="11"/>
            <color rgb="FF000000"/>
            <rFont val="Tahoma"/>
            <family val="2"/>
          </rPr>
          <t>Esta meta es tipo creciente, el valor corresponde al último registrado para el caso 1</t>
        </r>
      </text>
    </comment>
    <comment ref="AV13" authorId="1" shapeId="0" xr:uid="{11309D6B-A31E-4BCF-81C1-FC3DD6ED2DED}">
      <text>
        <r>
          <rPr>
            <b/>
            <sz val="11"/>
            <color rgb="FF000000"/>
            <rFont val="Tahoma"/>
            <family val="2"/>
          </rPr>
          <t>ANGELA MARCELA FORERO RUIZ:</t>
        </r>
        <r>
          <rPr>
            <sz val="11"/>
            <color rgb="FF000000"/>
            <rFont val="Tahoma"/>
            <family val="2"/>
          </rPr>
          <t xml:space="preserve">
</t>
        </r>
        <r>
          <rPr>
            <sz val="11"/>
            <color rgb="FF000000"/>
            <rFont val="Tahoma"/>
            <family val="2"/>
          </rPr>
          <t>Verificar redacción creo que sobran la spalabras en rojo</t>
        </r>
      </text>
    </comment>
    <comment ref="AW13" authorId="1" shapeId="0" xr:uid="{BF9D8F82-FB74-4828-9A91-148532ACCB40}">
      <text>
        <r>
          <rPr>
            <b/>
            <sz val="11"/>
            <color rgb="FF000000"/>
            <rFont val="Tahoma"/>
            <family val="2"/>
          </rPr>
          <t>ANGELA MARCELA FORERO RUIZ:</t>
        </r>
        <r>
          <rPr>
            <sz val="11"/>
            <color rgb="FF000000"/>
            <rFont val="Tahoma"/>
            <family val="2"/>
          </rPr>
          <t xml:space="preserve">
</t>
        </r>
        <r>
          <rPr>
            <sz val="11"/>
            <color rgb="FF000000"/>
            <rFont val="Tahoma"/>
            <family val="2"/>
          </rPr>
          <t xml:space="preserve">Es posible mejorar la redaccón para que el avance quede en relación con la meta "Formular e implementar una estrategia pedagógica para la valoración, la resignificación, el reconocimiento y la redistribución del trabajo de cuidado no remunerado que realizan las mujeres en Bogotá"
</t>
        </r>
        <r>
          <rPr>
            <sz val="11"/>
            <color rgb="FF000000"/>
            <rFont val="Tahoma"/>
            <family val="2"/>
          </rPr>
          <t xml:space="preserve">
</t>
        </r>
        <r>
          <rPr>
            <sz val="11"/>
            <color rgb="FF000000"/>
            <rFont val="Tahoma"/>
            <family val="2"/>
          </rPr>
          <t>Algo así que en el marco de la implementación de la estrategia pedagógica para la valoración, la resignificación, el reconocimiento y la redistribución del trabajo de cuidado no remunerado durante el primer semestre de 2023 se avanzó en el diseño y socialización de la caja de herramientas xxxx .... (lo anterior dado que esta información trimestralmente se repota en SEGPLAN y estos son los reportes que generalmente toman o los entes de control o los concejales para hacer control político y como estas son las metas PDD es importante que la redacción del avance quede en torno a la meta a lograr)</t>
        </r>
      </text>
    </comment>
    <comment ref="AW14" authorId="1" shapeId="0" xr:uid="{6B2B51DA-BA80-49B8-B3A5-FE8C2F65B325}">
      <text>
        <r>
          <rPr>
            <b/>
            <sz val="11"/>
            <color rgb="FF000000"/>
            <rFont val="Tahoma"/>
            <family val="2"/>
          </rPr>
          <t>ANGELA MARCELA FORERO RUIZ:</t>
        </r>
        <r>
          <rPr>
            <sz val="11"/>
            <color rgb="FF000000"/>
            <rFont val="Tahoma"/>
            <family val="2"/>
          </rPr>
          <t xml:space="preserve">
</t>
        </r>
        <r>
          <rPr>
            <sz val="11"/>
            <color rgb="FF000000"/>
            <rFont val="Tahoma"/>
            <family val="2"/>
          </rPr>
          <t xml:space="preserve">Incluir estos avances que son importantes, en el marco de la meta que busca avanzar  en "la construcción del documento de lineamientos técnicos para la formulación de las bases del Sistema Distrital de Cuidado y los resultados de articulación con las entidades distritales que hacen parte del sistema"
</t>
        </r>
        <r>
          <rPr>
            <sz val="11"/>
            <color rgb="FF000000"/>
            <rFont val="Tahoma"/>
            <family val="2"/>
          </rPr>
          <t>Es decir, que sea muy claro como estos avances que mencionamos aportan a esta meta PDD</t>
        </r>
      </text>
    </comment>
    <comment ref="AW15" authorId="1" shapeId="0" xr:uid="{F86D18F8-6BB5-4000-8062-77B8C605D6A5}">
      <text>
        <r>
          <rPr>
            <b/>
            <sz val="11"/>
            <color rgb="FF000000"/>
            <rFont val="Tahoma"/>
            <family val="2"/>
          </rPr>
          <t>ANGELA MARCELA FORERO RUIZ:</t>
        </r>
        <r>
          <rPr>
            <sz val="11"/>
            <color rgb="FF000000"/>
            <rFont val="Tahoma"/>
            <family val="2"/>
          </rPr>
          <t xml:space="preserve">
</t>
        </r>
        <r>
          <rPr>
            <sz val="11"/>
            <color rgb="FF000000"/>
            <rFont val="Tahoma"/>
            <family val="2"/>
          </rPr>
          <t>Se sugiere ajustar la redaccion con lo que se indica en negrilla color negro</t>
        </r>
      </text>
    </comment>
    <comment ref="AU16" authorId="1" shapeId="0" xr:uid="{D82A7293-A8EA-4993-8780-7E9B17C001C9}">
      <text>
        <r>
          <rPr>
            <b/>
            <sz val="11"/>
            <color rgb="FF000000"/>
            <rFont val="Tahoma"/>
            <family val="2"/>
          </rPr>
          <t>ANGELA MARCELA FORERO RUIZ:</t>
        </r>
        <r>
          <rPr>
            <sz val="11"/>
            <color rgb="FF000000"/>
            <rFont val="Tahoma"/>
            <family val="2"/>
          </rPr>
          <t xml:space="preserve">
</t>
        </r>
        <r>
          <rPr>
            <sz val="11"/>
            <color rgb="FF000000"/>
            <rFont val="Tahoma"/>
            <family val="2"/>
          </rPr>
          <t>Es importante que se revise el avance de este indicador dado que su avance con respecto a lo corrido del año se considera bajo.  Se presenta retraso de acuerdo a lo programado para el primer semestre de 2023.</t>
        </r>
      </text>
    </comment>
    <comment ref="AT19" authorId="1" shapeId="0" xr:uid="{9250D027-3BC4-43DD-9EC9-E484C045B984}">
      <text>
        <r>
          <rPr>
            <b/>
            <sz val="11"/>
            <color rgb="FF000000"/>
            <rFont val="Tahoma"/>
            <family val="2"/>
          </rPr>
          <t>ANGELA MARCELA FORERO RUIZ:</t>
        </r>
        <r>
          <rPr>
            <sz val="11"/>
            <color rgb="FF000000"/>
            <rFont val="Tahoma"/>
            <family val="2"/>
          </rPr>
          <t xml:space="preserve">
</t>
        </r>
        <r>
          <rPr>
            <sz val="11"/>
            <color rgb="FF000000"/>
            <rFont val="Tahoma"/>
            <family val="2"/>
          </rPr>
          <t xml:space="preserve">Verificar la formula y el avance dado que si se suma lo programado daría 600% y si se suma lo ejecutaod da 784%, eso indica que hay una sobre ejecución, es decir que se han realizado muhcas mas actividades de la que se prograron en l matriz de programació mensual
</t>
        </r>
        <r>
          <rPr>
            <sz val="11"/>
            <color rgb="FF000000"/>
            <rFont val="Tahoma"/>
            <family val="2"/>
          </rPr>
          <t xml:space="preserve">
</t>
        </r>
        <r>
          <rPr>
            <sz val="11"/>
            <color rgb="FF000000"/>
            <rFont val="Tahoma"/>
            <family val="2"/>
          </rPr>
          <t xml:space="preserve">O si efectivamente el cumplimiento es del 76,5 indicaria que se tienen retrasos en las actividades programadas en esa matriz
</t>
        </r>
        <r>
          <rPr>
            <sz val="11"/>
            <color rgb="FF000000"/>
            <rFont val="Tahoma"/>
            <family val="2"/>
          </rPr>
          <t xml:space="preserve">
</t>
        </r>
        <r>
          <rPr>
            <sz val="11"/>
            <color rgb="FF000000"/>
            <rFont val="Tahoma"/>
            <family val="2"/>
          </rPr>
          <t>Es importante revisar los % de avances que se estan incluyendo cada mes. Inicialmente podría ser que se están poniendo al dia con lo que no se logró en enero y febrero, sin embargo a la fecha da que están haciendo mucho más de lo programado en la matriz</t>
        </r>
      </text>
    </comment>
    <comment ref="AW19" authorId="1" shapeId="0" xr:uid="{1140FB42-E840-496B-BB9A-E43FEF720C99}">
      <text>
        <r>
          <rPr>
            <b/>
            <sz val="11"/>
            <color rgb="FF000000"/>
            <rFont val="Tahoma"/>
            <family val="2"/>
          </rPr>
          <t>ANGELA MARCELA FORERO RUIZ:</t>
        </r>
        <r>
          <rPr>
            <sz val="11"/>
            <color rgb="FF000000"/>
            <rFont val="Tahoma"/>
            <family val="2"/>
          </rPr>
          <t xml:space="preserve">
</t>
        </r>
        <r>
          <rPr>
            <sz val="11"/>
            <color rgb="FF000000"/>
            <rFont val="Tahoma"/>
            <family val="2"/>
          </rPr>
          <t xml:space="preserve">Es posible que el avance se mencione de acuerdo a lo planeado, es decir de acuerdo al  cumplimiento de la programación para la implementación del Sistema Distrital de Cuidado durante la vigencia anual.
</t>
        </r>
        <r>
          <rPr>
            <sz val="11"/>
            <color rgb="FF000000"/>
            <rFont val="Tahoma"/>
            <family val="2"/>
          </rPr>
          <t xml:space="preserve">
</t>
        </r>
        <r>
          <rPr>
            <sz val="11"/>
            <color rgb="FF000000"/>
            <rFont val="Tahoma"/>
            <family val="2"/>
          </rPr>
          <t xml:space="preserve">Por ejemplo, en lo corrido del año se ha dado un cumplimiento del XX% de la programación para la implementación del SIDICU dado por la ejecución de las siguientes actividades principalmente:
</t>
        </r>
        <r>
          <rPr>
            <sz val="11"/>
            <color rgb="FF000000"/>
            <rFont val="Tahoma"/>
            <family val="2"/>
          </rPr>
          <t xml:space="preserve">- Se mantienen  el funcioanmiento de dos unidades  moviles
</t>
        </r>
        <r>
          <rPr>
            <sz val="11"/>
            <color rgb="FF000000"/>
            <rFont val="Tahoma"/>
            <family val="2"/>
          </rPr>
          <t xml:space="preserve">- Manzanas xxx
</t>
        </r>
        <r>
          <rPr>
            <sz val="11"/>
            <color rgb="FF000000"/>
            <rFont val="Tahoma"/>
            <family val="2"/>
          </rPr>
          <t xml:space="preserve">- Orientaciones psicosociales xxxx e
</t>
        </r>
        <r>
          <rPr>
            <sz val="11"/>
            <color rgb="FF000000"/>
            <rFont val="Tahoma"/>
            <family val="2"/>
          </rPr>
          <t>. ETC</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ANGELA MARCELA FORERO RUIZ</author>
    <author>USUARIO</author>
    <author>Microsoft Office User</author>
    <author/>
  </authors>
  <commentList>
    <comment ref="O8" authorId="0" shapeId="0" xr:uid="{100159CE-719B-40AD-9AD9-AAE71B3F8A2E}">
      <text>
        <r>
          <rPr>
            <b/>
            <sz val="11"/>
            <color indexed="81"/>
            <rFont val="Tahoma"/>
            <family val="2"/>
          </rPr>
          <t>ANGELA MARCELA FORERO RUIZ:</t>
        </r>
        <r>
          <rPr>
            <sz val="11"/>
            <color indexed="81"/>
            <rFont val="Tahoma"/>
            <family val="2"/>
          </rPr>
          <t xml:space="preserve">
Marcar actualización dado que se realizó ajuste a la programación presupuestal de las metas proyecto de inversión</t>
        </r>
      </text>
    </comment>
    <comment ref="Q22" authorId="1" shapeId="0" xr:uid="{00000000-0006-0000-0100-000001000000}">
      <text>
        <r>
          <rPr>
            <b/>
            <sz val="9"/>
            <color indexed="81"/>
            <rFont val="Tahoma"/>
            <family val="2"/>
          </rPr>
          <t>USUARIO:</t>
        </r>
        <r>
          <rPr>
            <sz val="9"/>
            <color indexed="81"/>
            <rFont val="Tahoma"/>
            <family val="2"/>
          </rPr>
          <t xml:space="preserve">
PSP</t>
        </r>
      </text>
    </comment>
    <comment ref="T22" authorId="1" shapeId="0" xr:uid="{00000000-0006-0000-0100-000002000000}">
      <text>
        <r>
          <rPr>
            <b/>
            <sz val="9"/>
            <color indexed="81"/>
            <rFont val="Tahoma"/>
            <family val="2"/>
          </rPr>
          <t>USUARIO:</t>
        </r>
        <r>
          <rPr>
            <sz val="9"/>
            <color indexed="81"/>
            <rFont val="Tahoma"/>
            <family val="2"/>
          </rPr>
          <t xml:space="preserve">
Licenciamiento</t>
        </r>
      </text>
    </comment>
    <comment ref="V22" authorId="1" shapeId="0" xr:uid="{00000000-0006-0000-0100-000003000000}">
      <text>
        <r>
          <rPr>
            <b/>
            <sz val="9"/>
            <color indexed="81"/>
            <rFont val="Tahoma"/>
            <family val="2"/>
          </rPr>
          <t>USUARIO:</t>
        </r>
        <r>
          <rPr>
            <sz val="9"/>
            <color indexed="81"/>
            <rFont val="Tahoma"/>
            <family val="2"/>
          </rPr>
          <t xml:space="preserve">
Papeleria, central de medios</t>
        </r>
      </text>
    </comment>
    <comment ref="C24" authorId="1" shapeId="0" xr:uid="{00000000-0006-0000-0100-000004000000}">
      <text>
        <r>
          <rPr>
            <b/>
            <sz val="9"/>
            <color indexed="81"/>
            <rFont val="Tahoma"/>
            <family val="2"/>
          </rPr>
          <t>USUARIO:</t>
        </r>
        <r>
          <rPr>
            <sz val="9"/>
            <color indexed="81"/>
            <rFont val="Tahoma"/>
            <family val="2"/>
          </rPr>
          <t xml:space="preserve">
Central de Medios</t>
        </r>
      </text>
    </comment>
    <comment ref="D24" authorId="1" shapeId="0" xr:uid="{00000000-0006-0000-0100-000005000000}">
      <text>
        <r>
          <rPr>
            <b/>
            <sz val="9"/>
            <color indexed="81"/>
            <rFont val="Tahoma"/>
            <family val="2"/>
          </rPr>
          <t>USUARIO:</t>
        </r>
        <r>
          <rPr>
            <sz val="9"/>
            <color indexed="81"/>
            <rFont val="Tahoma"/>
            <family val="2"/>
          </rPr>
          <t xml:space="preserve">
Adición PSP Ana, Adición PSP Carol Rozo, Central de Medios</t>
        </r>
      </text>
    </comment>
    <comment ref="R24" authorId="1" shapeId="0" xr:uid="{00000000-0006-0000-0100-000006000000}">
      <text>
        <r>
          <rPr>
            <b/>
            <sz val="9"/>
            <color indexed="81"/>
            <rFont val="Tahoma"/>
            <family val="2"/>
          </rPr>
          <t>USUARIO:</t>
        </r>
        <r>
          <rPr>
            <sz val="9"/>
            <color indexed="81"/>
            <rFont val="Tahoma"/>
            <family val="2"/>
          </rPr>
          <t xml:space="preserve">
PSP</t>
        </r>
      </text>
    </comment>
    <comment ref="S24" authorId="1" shapeId="0" xr:uid="{00000000-0006-0000-0100-000007000000}">
      <text>
        <r>
          <rPr>
            <b/>
            <sz val="9"/>
            <color indexed="81"/>
            <rFont val="Tahoma"/>
            <family val="2"/>
          </rPr>
          <t>USUARIO:</t>
        </r>
        <r>
          <rPr>
            <sz val="9"/>
            <color indexed="81"/>
            <rFont val="Tahoma"/>
            <family val="2"/>
          </rPr>
          <t xml:space="preserve">
PSP</t>
        </r>
      </text>
    </comment>
    <comment ref="T24" authorId="1" shapeId="0" xr:uid="{00000000-0006-0000-0100-000008000000}">
      <text>
        <r>
          <rPr>
            <b/>
            <sz val="9"/>
            <color indexed="81"/>
            <rFont val="Tahoma"/>
            <family val="2"/>
          </rPr>
          <t>USUARIO:</t>
        </r>
        <r>
          <rPr>
            <sz val="9"/>
            <color indexed="81"/>
            <rFont val="Tahoma"/>
            <family val="2"/>
          </rPr>
          <t xml:space="preserve">
PSP</t>
        </r>
      </text>
    </comment>
    <comment ref="U24" authorId="1" shapeId="0" xr:uid="{00000000-0006-0000-0100-000009000000}">
      <text>
        <r>
          <rPr>
            <b/>
            <sz val="9"/>
            <color indexed="81"/>
            <rFont val="Tahoma"/>
            <family val="2"/>
          </rPr>
          <t>USUARIO:</t>
        </r>
        <r>
          <rPr>
            <sz val="9"/>
            <color indexed="81"/>
            <rFont val="Tahoma"/>
            <family val="2"/>
          </rPr>
          <t xml:space="preserve">
PSP, licenciamiento</t>
        </r>
      </text>
    </comment>
    <comment ref="V24" authorId="1" shapeId="0" xr:uid="{00000000-0006-0000-0100-00000A000000}">
      <text>
        <r>
          <rPr>
            <b/>
            <sz val="9"/>
            <color indexed="81"/>
            <rFont val="Tahoma"/>
            <family val="2"/>
          </rPr>
          <t>USUARIO:</t>
        </r>
        <r>
          <rPr>
            <sz val="9"/>
            <color indexed="81"/>
            <rFont val="Tahoma"/>
            <family val="2"/>
          </rPr>
          <t xml:space="preserve">
PSP</t>
        </r>
      </text>
    </comment>
    <comment ref="W24" authorId="1" shapeId="0" xr:uid="{00000000-0006-0000-0100-00000B000000}">
      <text>
        <r>
          <rPr>
            <b/>
            <sz val="9"/>
            <color indexed="81"/>
            <rFont val="Tahoma"/>
            <family val="2"/>
          </rPr>
          <t>USUARIO:</t>
        </r>
        <r>
          <rPr>
            <sz val="9"/>
            <color indexed="81"/>
            <rFont val="Tahoma"/>
            <family val="2"/>
          </rPr>
          <t xml:space="preserve">
PSP, papeleria, central de medios</t>
        </r>
      </text>
    </comment>
    <comment ref="X24" authorId="1" shapeId="0" xr:uid="{00000000-0006-0000-0100-00000C000000}">
      <text>
        <r>
          <rPr>
            <b/>
            <sz val="9"/>
            <color indexed="81"/>
            <rFont val="Tahoma"/>
            <family val="2"/>
          </rPr>
          <t>USUARIO:</t>
        </r>
        <r>
          <rPr>
            <sz val="9"/>
            <color indexed="81"/>
            <rFont val="Tahoma"/>
            <family val="2"/>
          </rPr>
          <t xml:space="preserve">
PSP</t>
        </r>
      </text>
    </comment>
    <comment ref="Y24" authorId="1" shapeId="0" xr:uid="{00000000-0006-0000-0100-00000D000000}">
      <text>
        <r>
          <rPr>
            <b/>
            <sz val="9"/>
            <color indexed="81"/>
            <rFont val="Tahoma"/>
            <family val="2"/>
          </rPr>
          <t>USUARIO:</t>
        </r>
        <r>
          <rPr>
            <sz val="9"/>
            <color indexed="81"/>
            <rFont val="Tahoma"/>
            <family val="2"/>
          </rPr>
          <t xml:space="preserve">
PSP, central de medios</t>
        </r>
      </text>
    </comment>
    <comment ref="Z24" authorId="1" shapeId="0" xr:uid="{00000000-0006-0000-0100-00000E000000}">
      <text>
        <r>
          <rPr>
            <b/>
            <sz val="9"/>
            <color indexed="81"/>
            <rFont val="Tahoma"/>
            <family val="2"/>
          </rPr>
          <t>USUARIO:</t>
        </r>
        <r>
          <rPr>
            <sz val="9"/>
            <color indexed="81"/>
            <rFont val="Tahoma"/>
            <family val="2"/>
          </rPr>
          <t xml:space="preserve">
PSP</t>
        </r>
      </text>
    </comment>
    <comment ref="AA24" authorId="1" shapeId="0" xr:uid="{00000000-0006-0000-0100-00000F000000}">
      <text>
        <r>
          <rPr>
            <b/>
            <sz val="9"/>
            <color indexed="81"/>
            <rFont val="Tahoma"/>
            <family val="2"/>
          </rPr>
          <t>USUARIO:</t>
        </r>
        <r>
          <rPr>
            <sz val="9"/>
            <color indexed="81"/>
            <rFont val="Tahoma"/>
            <family val="2"/>
          </rPr>
          <t xml:space="preserve">
PSP, central de medios</t>
        </r>
      </text>
    </comment>
    <comment ref="AB24" authorId="1" shapeId="0" xr:uid="{00000000-0006-0000-0100-000010000000}">
      <text>
        <r>
          <rPr>
            <b/>
            <sz val="9"/>
            <color indexed="81"/>
            <rFont val="Tahoma"/>
            <family val="2"/>
          </rPr>
          <t>USUARIO:</t>
        </r>
        <r>
          <rPr>
            <sz val="9"/>
            <color indexed="81"/>
            <rFont val="Tahoma"/>
            <family val="2"/>
          </rPr>
          <t xml:space="preserve">
PSP</t>
        </r>
      </text>
    </comment>
    <comment ref="C32" authorId="2" shapeId="0" xr:uid="{00000000-0006-0000-0100-000011000000}">
      <text>
        <r>
          <rPr>
            <b/>
            <sz val="9"/>
            <color indexed="8"/>
            <rFont val="Tahoma"/>
            <family val="2"/>
          </rPr>
          <t>Microsoft Office User:</t>
        </r>
        <r>
          <rPr>
            <sz val="9"/>
            <color indexed="8"/>
            <rFont val="Tahoma"/>
            <family val="2"/>
          </rPr>
          <t xml:space="preserve">
</t>
        </r>
        <r>
          <rPr>
            <sz val="9"/>
            <color indexed="8"/>
            <rFont val="Tahoma"/>
            <family val="2"/>
          </rPr>
          <t xml:space="preserve">Corresponde a la magnitud programada en coherencia con la unidad de medida de la meta proyecto. </t>
        </r>
      </text>
    </comment>
    <comment ref="Q32" authorId="3" shapeId="0" xr:uid="{00000000-0006-0000-0100-000012000000}">
      <text>
        <r>
          <rPr>
            <b/>
            <sz val="9"/>
            <color rgb="FF000000"/>
            <rFont val="Tahoma"/>
            <family val="2"/>
          </rPr>
          <t xml:space="preserve">OFICINA ASESORA DE PLANEACIÓN:
</t>
        </r>
        <r>
          <rPr>
            <sz val="9"/>
            <color rgb="FF000000"/>
            <rFont val="Tahoma"/>
            <family val="2"/>
          </rPr>
          <t xml:space="preserve">Máximo de caracteres Avances y logros:  2.000 (Incluidos espacios)
</t>
        </r>
        <r>
          <rPr>
            <sz val="9"/>
            <color rgb="FF000000"/>
            <rFont val="Tahoma"/>
            <family val="2"/>
          </rPr>
          <t xml:space="preserve">Máximo de caracteres Retrasos y alternativas de solución: 1.000 (Incluidos espacios)
</t>
        </r>
        <r>
          <rPr>
            <sz val="9"/>
            <color rgb="FF000000"/>
            <rFont val="Tahoma"/>
            <family val="2"/>
          </rPr>
          <t xml:space="preserve">Para la caracterización del avance de la meta, ésta debe ser cualitativa y cuantitativa. Teniendo en cuenta el número de caracteres que permite el sistema SEGPLAN, se recomienda dejar la información que se considere estratégica desde el área misional y de mayor relevancia. </t>
        </r>
      </text>
    </comment>
    <comment ref="W33" authorId="2" shapeId="0" xr:uid="{00000000-0006-0000-0100-000013000000}">
      <text>
        <r>
          <rPr>
            <b/>
            <sz val="9"/>
            <color rgb="FF000000"/>
            <rFont val="Tahoma"/>
            <family val="2"/>
          </rPr>
          <t>Microsoft Office User:</t>
        </r>
        <r>
          <rPr>
            <sz val="9"/>
            <color rgb="FF000000"/>
            <rFont val="Tahoma"/>
            <family val="2"/>
          </rPr>
          <t xml:space="preserve">
</t>
        </r>
        <r>
          <rPr>
            <sz val="9"/>
            <color rgb="FF000000"/>
            <rFont val="Tahoma"/>
            <family val="2"/>
          </rPr>
          <t xml:space="preserve">En el caso de no presentarse retrasos en el periodo de reporte, incluir una nota indicando que las cifras son acordes con la programación. 
</t>
        </r>
      </text>
    </comment>
    <comment ref="W34" authorId="0" shapeId="0" xr:uid="{4EE7650C-E8AB-4769-8F84-A1559EF95534}">
      <text>
        <r>
          <rPr>
            <b/>
            <sz val="11"/>
            <color rgb="FF000000"/>
            <rFont val="Tahoma"/>
            <family val="2"/>
          </rPr>
          <t>ANGELA MARCELA FORERO RUIZ:</t>
        </r>
        <r>
          <rPr>
            <sz val="11"/>
            <color rgb="FF000000"/>
            <rFont val="Tahoma"/>
            <family val="2"/>
          </rPr>
          <t xml:space="preserve">
</t>
        </r>
        <r>
          <rPr>
            <sz val="11"/>
            <color rgb="FF000000"/>
            <rFont val="Tahoma"/>
            <family val="2"/>
          </rPr>
          <t xml:space="preserve">Se menciona que no hay retrasos, sin embargo en junio solo se articularon 12 secretarías y no 13 como está programada la meta esto podría tomarse como un retraso 
</t>
        </r>
        <r>
          <rPr>
            <sz val="11"/>
            <color rgb="FF000000"/>
            <rFont val="Tahoma"/>
            <family val="2"/>
          </rPr>
          <t xml:space="preserve">Justificar si apica
</t>
        </r>
      </text>
    </comment>
    <comment ref="I35" authorId="0" shapeId="0" xr:uid="{0E76FBF8-0EA5-480B-B802-5F97B0898D1D}">
      <text>
        <r>
          <rPr>
            <b/>
            <sz val="11"/>
            <color rgb="FF000000"/>
            <rFont val="Tahoma"/>
            <family val="2"/>
          </rPr>
          <t>ANGELA MARCELA FORERO RUIZ:</t>
        </r>
        <r>
          <rPr>
            <sz val="11"/>
            <color rgb="FF000000"/>
            <rFont val="Tahoma"/>
            <family val="2"/>
          </rPr>
          <t xml:space="preserve">
</t>
        </r>
        <r>
          <rPr>
            <sz val="11"/>
            <color rgb="FF000000"/>
            <rFont val="Tahoma"/>
            <family val="2"/>
          </rPr>
          <t xml:space="preserve">Porque no fueron las 13 secretarías? Mencionar en el avance porque no se cumplió la meta de las 13
</t>
        </r>
        <r>
          <rPr>
            <sz val="11"/>
            <color rgb="FF000000"/>
            <rFont val="Tahoma"/>
            <family val="2"/>
          </rPr>
          <t>En ese orden cual sería el resultado a la fecha, las 12 o 13?</t>
        </r>
      </text>
    </comment>
    <comment ref="P35" authorId="0" shapeId="0" xr:uid="{B9A4561C-A819-44FF-AF0C-5D265DC01269}">
      <text>
        <r>
          <rPr>
            <b/>
            <sz val="11"/>
            <color rgb="FF000000"/>
            <rFont val="Tahoma"/>
            <family val="2"/>
          </rPr>
          <t>ANGELA MARCELA FORERO RUIZ:</t>
        </r>
        <r>
          <rPr>
            <sz val="11"/>
            <color rgb="FF000000"/>
            <rFont val="Tahoma"/>
            <family val="2"/>
          </rPr>
          <t xml:space="preserve">
</t>
        </r>
        <r>
          <rPr>
            <sz val="11"/>
            <color rgb="FF000000"/>
            <rFont val="Tahoma"/>
            <family val="2"/>
          </rPr>
          <t>Cual sería el avance, 13 secretarías o 12?</t>
        </r>
      </text>
    </comment>
    <comment ref="Q38" authorId="0" shapeId="0" xr:uid="{320B9786-8947-48A0-BCB7-6EEE6D010562}">
      <text>
        <r>
          <rPr>
            <b/>
            <sz val="11"/>
            <color rgb="FF000000"/>
            <rFont val="Tahoma"/>
            <family val="2"/>
          </rPr>
          <t>ANGELA MARCELA FORERO RUIZ:</t>
        </r>
        <r>
          <rPr>
            <sz val="11"/>
            <color rgb="FF000000"/>
            <rFont val="Tahoma"/>
            <family val="2"/>
          </rPr>
          <t xml:space="preserve">
</t>
        </r>
        <r>
          <rPr>
            <sz val="11"/>
            <color rgb="FF000000"/>
            <rFont val="Tahoma"/>
            <family val="2"/>
          </rPr>
          <t>Incluir no  solo el avance del mes sino el acumulado a la fecha (primer semestre)</t>
        </r>
      </text>
    </comment>
    <comment ref="Q40" authorId="0" shapeId="0" xr:uid="{2BB4F6D8-FEFE-4956-AC84-4D309D0CF0D1}">
      <text>
        <r>
          <rPr>
            <b/>
            <sz val="11"/>
            <color rgb="FF000000"/>
            <rFont val="Tahoma"/>
            <family val="2"/>
          </rPr>
          <t xml:space="preserve">ANGELA MARCELA FORERO RUIZ:
</t>
        </r>
        <r>
          <rPr>
            <sz val="11"/>
            <color rgb="FF000000"/>
            <rFont val="Tahoma"/>
            <family val="2"/>
          </rPr>
          <t>Incluir no  solo el avance del mes sino el acumulado a la fecha (primer semestre)</t>
        </r>
      </text>
    </comment>
    <comment ref="Q42" authorId="0" shapeId="0" xr:uid="{A79EB417-44D6-473A-A14A-50DC52D7B456}">
      <text>
        <r>
          <rPr>
            <b/>
            <sz val="11"/>
            <color rgb="FF000000"/>
            <rFont val="Tahoma"/>
            <family val="2"/>
          </rPr>
          <t xml:space="preserve">ANGELA MARCELA FORERO RUIZ:
</t>
        </r>
        <r>
          <rPr>
            <sz val="11"/>
            <color rgb="FF000000"/>
            <rFont val="Tahoma"/>
            <family val="2"/>
          </rPr>
          <t xml:space="preserve">Incluir no  solo el avance del mes sino el acumulado a la fecha (primer semestre)
</t>
        </r>
        <r>
          <rPr>
            <sz val="11"/>
            <color rgb="FF000000"/>
            <rFont val="Tahoma"/>
            <family val="2"/>
          </rPr>
          <t xml:space="preserve">
</t>
        </r>
        <r>
          <rPr>
            <sz val="11"/>
            <color rgb="FF000000"/>
            <rFont val="Tahoma"/>
            <family val="2"/>
          </rPr>
          <t>Adicionalmente aclarar si se gestionó, se realizó la tercera sesión, falta la palabra al inicio del parrafo</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ANGELA MARCELA FORERO RUIZ</author>
    <author>USUARIO</author>
    <author>Microsoft Office User</author>
    <author/>
  </authors>
  <commentList>
    <comment ref="O8" authorId="0" shapeId="0" xr:uid="{F7DF0878-A76F-4467-9E6C-50B9CEA8B8D4}">
      <text>
        <r>
          <rPr>
            <b/>
            <sz val="11"/>
            <color indexed="81"/>
            <rFont val="Tahoma"/>
            <family val="2"/>
          </rPr>
          <t>ANGELA MARCELA FORERO RUIZ:</t>
        </r>
        <r>
          <rPr>
            <sz val="11"/>
            <color indexed="81"/>
            <rFont val="Tahoma"/>
            <family val="2"/>
          </rPr>
          <t xml:space="preserve">
Marcar actualización dado que se realizó ajuste a la programación presupuestal de las metas proyecto de inversión</t>
        </r>
      </text>
    </comment>
    <comment ref="Q22" authorId="1" shapeId="0" xr:uid="{00000000-0006-0000-0200-000001000000}">
      <text>
        <r>
          <rPr>
            <b/>
            <sz val="9"/>
            <color indexed="81"/>
            <rFont val="Tahoma"/>
            <family val="2"/>
          </rPr>
          <t>USUARIO:</t>
        </r>
        <r>
          <rPr>
            <sz val="9"/>
            <color indexed="81"/>
            <rFont val="Tahoma"/>
            <family val="2"/>
          </rPr>
          <t xml:space="preserve">
PSP</t>
        </r>
      </text>
    </comment>
    <comment ref="S22" authorId="1" shapeId="0" xr:uid="{00000000-0006-0000-0200-000002000000}">
      <text>
        <r>
          <rPr>
            <b/>
            <sz val="9"/>
            <color indexed="81"/>
            <rFont val="Tahoma"/>
            <family val="2"/>
          </rPr>
          <t>USUARIO:</t>
        </r>
        <r>
          <rPr>
            <sz val="9"/>
            <color indexed="81"/>
            <rFont val="Tahoma"/>
            <family val="2"/>
          </rPr>
          <t xml:space="preserve">
Transporte, internet, lineas celular</t>
        </r>
      </text>
    </comment>
    <comment ref="T22" authorId="1" shapeId="0" xr:uid="{00000000-0006-0000-0200-000003000000}">
      <text>
        <r>
          <rPr>
            <b/>
            <sz val="9"/>
            <color indexed="81"/>
            <rFont val="Tahoma"/>
            <family val="2"/>
          </rPr>
          <t>USUARIO:</t>
        </r>
        <r>
          <rPr>
            <sz val="9"/>
            <color indexed="81"/>
            <rFont val="Tahoma"/>
            <family val="2"/>
          </rPr>
          <t xml:space="preserve">
Operador Logistico, aseo y cafeteria, licenciamiento</t>
        </r>
      </text>
    </comment>
    <comment ref="V22" authorId="1" shapeId="0" xr:uid="{00000000-0006-0000-0200-000004000000}">
      <text>
        <r>
          <rPr>
            <b/>
            <sz val="9"/>
            <color indexed="81"/>
            <rFont val="Tahoma"/>
            <family val="2"/>
          </rPr>
          <t>USUARIO:</t>
        </r>
        <r>
          <rPr>
            <sz val="9"/>
            <color indexed="81"/>
            <rFont val="Tahoma"/>
            <family val="2"/>
          </rPr>
          <t xml:space="preserve">
papeleria, central de medios</t>
        </r>
      </text>
    </comment>
    <comment ref="W22" authorId="1" shapeId="0" xr:uid="{00000000-0006-0000-0200-000005000000}">
      <text>
        <r>
          <rPr>
            <b/>
            <sz val="9"/>
            <color indexed="81"/>
            <rFont val="Tahoma"/>
            <family val="2"/>
          </rPr>
          <t>USUARIO:</t>
        </r>
        <r>
          <rPr>
            <sz val="9"/>
            <color indexed="81"/>
            <rFont val="Tahoma"/>
            <family val="2"/>
          </rPr>
          <t xml:space="preserve">
Mobiliario</t>
        </r>
      </text>
    </comment>
    <comment ref="C24" authorId="1" shapeId="0" xr:uid="{00000000-0006-0000-0200-000006000000}">
      <text>
        <r>
          <rPr>
            <b/>
            <sz val="9"/>
            <color rgb="FF000000"/>
            <rFont val="Tahoma"/>
            <family val="2"/>
          </rPr>
          <t>USUARIO:</t>
        </r>
        <r>
          <rPr>
            <sz val="9"/>
            <color rgb="FF000000"/>
            <rFont val="Tahoma"/>
            <family val="2"/>
          </rPr>
          <t xml:space="preserve">
</t>
        </r>
        <r>
          <rPr>
            <sz val="9"/>
            <color rgb="FF000000"/>
            <rFont val="Tahoma"/>
            <family val="2"/>
          </rPr>
          <t>Impresos, lineas celular, internet, aseo y cafeteria, operador logistico, Central de Medios</t>
        </r>
      </text>
    </comment>
    <comment ref="D24" authorId="1" shapeId="0" xr:uid="{00000000-0006-0000-0200-000007000000}">
      <text>
        <r>
          <rPr>
            <b/>
            <sz val="9"/>
            <color indexed="81"/>
            <rFont val="Tahoma"/>
            <family val="2"/>
          </rPr>
          <t>USUARIO:</t>
        </r>
        <r>
          <rPr>
            <sz val="9"/>
            <color indexed="81"/>
            <rFont val="Tahoma"/>
            <family val="2"/>
          </rPr>
          <t xml:space="preserve">
Transporte, SIMISIONAL, lineas celular, internet, Aseo y cafeteria, adición operador logistico, chalecos, PSP Yudy, PSP Jesica, adición PSP Digiturno Nelsy, Adición PSP Luis, Adición PSP Carol Quintero, Adición PSP Johanna, Adición PSP Sandra, Adición PSP Angela, Adición PSP Ana, Adición PSP Carol Rozo, Central de Medios</t>
        </r>
      </text>
    </comment>
    <comment ref="E24" authorId="1" shapeId="0" xr:uid="{00000000-0006-0000-0200-000008000000}">
      <text>
        <r>
          <rPr>
            <b/>
            <sz val="9"/>
            <color indexed="81"/>
            <rFont val="Tahoma"/>
            <family val="2"/>
          </rPr>
          <t>USUARIO:</t>
        </r>
        <r>
          <rPr>
            <sz val="9"/>
            <color indexed="81"/>
            <rFont val="Tahoma"/>
            <family val="2"/>
          </rPr>
          <t xml:space="preserve">
lineas celular, internet, Aseo y cafeteria, adición operador logistico</t>
        </r>
      </text>
    </comment>
    <comment ref="F24" authorId="1" shapeId="0" xr:uid="{00000000-0006-0000-0200-000009000000}">
      <text>
        <r>
          <rPr>
            <b/>
            <sz val="9"/>
            <color indexed="81"/>
            <rFont val="Tahoma"/>
            <family val="2"/>
          </rPr>
          <t>USUARIO:</t>
        </r>
        <r>
          <rPr>
            <sz val="9"/>
            <color indexed="81"/>
            <rFont val="Tahoma"/>
            <family val="2"/>
          </rPr>
          <t xml:space="preserve">
lineas celular, internet, Aseo y cafeteria, adición operador logistico</t>
        </r>
      </text>
    </comment>
    <comment ref="G24" authorId="1" shapeId="0" xr:uid="{00000000-0006-0000-0200-00000A000000}">
      <text>
        <r>
          <rPr>
            <b/>
            <sz val="9"/>
            <color indexed="81"/>
            <rFont val="Tahoma"/>
            <family val="2"/>
          </rPr>
          <t>USUARIO:</t>
        </r>
        <r>
          <rPr>
            <sz val="9"/>
            <color indexed="81"/>
            <rFont val="Tahoma"/>
            <family val="2"/>
          </rPr>
          <t xml:space="preserve">
Lineas celular, internet</t>
        </r>
      </text>
    </comment>
    <comment ref="H24" authorId="1" shapeId="0" xr:uid="{00000000-0006-0000-0200-00000B000000}">
      <text>
        <r>
          <rPr>
            <b/>
            <sz val="9"/>
            <color indexed="81"/>
            <rFont val="Tahoma"/>
            <family val="2"/>
          </rPr>
          <t>USUARIO:</t>
        </r>
        <r>
          <rPr>
            <sz val="9"/>
            <color indexed="81"/>
            <rFont val="Tahoma"/>
            <family val="2"/>
          </rPr>
          <t xml:space="preserve">
Internet</t>
        </r>
      </text>
    </comment>
    <comment ref="I24" authorId="1" shapeId="0" xr:uid="{00000000-0006-0000-0200-00000C000000}">
      <text>
        <r>
          <rPr>
            <b/>
            <sz val="9"/>
            <color indexed="81"/>
            <rFont val="Tahoma"/>
            <family val="2"/>
          </rPr>
          <t>USUARIO:</t>
        </r>
        <r>
          <rPr>
            <sz val="9"/>
            <color indexed="81"/>
            <rFont val="Tahoma"/>
            <family val="2"/>
          </rPr>
          <t xml:space="preserve">
Internet</t>
        </r>
      </text>
    </comment>
    <comment ref="N24" authorId="1" shapeId="0" xr:uid="{00000000-0006-0000-0200-00000D000000}">
      <text>
        <r>
          <rPr>
            <b/>
            <sz val="9"/>
            <color indexed="81"/>
            <rFont val="Tahoma"/>
            <family val="2"/>
          </rPr>
          <t>USUARIO:</t>
        </r>
        <r>
          <rPr>
            <sz val="9"/>
            <color indexed="81"/>
            <rFont val="Tahoma"/>
            <family val="2"/>
          </rPr>
          <t xml:space="preserve">
Rezago Aseo y Cafeteria</t>
        </r>
      </text>
    </comment>
    <comment ref="R24" authorId="1" shapeId="0" xr:uid="{00000000-0006-0000-0200-00000E000000}">
      <text>
        <r>
          <rPr>
            <b/>
            <sz val="9"/>
            <color indexed="81"/>
            <rFont val="Tahoma"/>
            <family val="2"/>
          </rPr>
          <t>USUARIO:</t>
        </r>
        <r>
          <rPr>
            <sz val="9"/>
            <color indexed="81"/>
            <rFont val="Tahoma"/>
            <family val="2"/>
          </rPr>
          <t xml:space="preserve">
PSP</t>
        </r>
      </text>
    </comment>
    <comment ref="S24" authorId="1" shapeId="0" xr:uid="{00000000-0006-0000-0200-00000F000000}">
      <text>
        <r>
          <rPr>
            <b/>
            <sz val="9"/>
            <color indexed="81"/>
            <rFont val="Tahoma"/>
            <family val="2"/>
          </rPr>
          <t>USUARIO:</t>
        </r>
        <r>
          <rPr>
            <sz val="9"/>
            <color indexed="81"/>
            <rFont val="Tahoma"/>
            <family val="2"/>
          </rPr>
          <t xml:space="preserve">
PSP</t>
        </r>
      </text>
    </comment>
    <comment ref="T24" authorId="1" shapeId="0" xr:uid="{00000000-0006-0000-0200-000010000000}">
      <text>
        <r>
          <rPr>
            <b/>
            <sz val="9"/>
            <color indexed="81"/>
            <rFont val="Tahoma"/>
            <family val="2"/>
          </rPr>
          <t>USUARIO:</t>
        </r>
        <r>
          <rPr>
            <sz val="9"/>
            <color indexed="81"/>
            <rFont val="Tahoma"/>
            <family val="2"/>
          </rPr>
          <t xml:space="preserve">
PSP, transporte, internet, lineas celular</t>
        </r>
      </text>
    </comment>
    <comment ref="U24" authorId="1" shapeId="0" xr:uid="{00000000-0006-0000-0200-000011000000}">
      <text>
        <r>
          <rPr>
            <b/>
            <sz val="9"/>
            <color indexed="81"/>
            <rFont val="Tahoma"/>
            <family val="2"/>
          </rPr>
          <t>USUARIO:</t>
        </r>
        <r>
          <rPr>
            <sz val="9"/>
            <color indexed="81"/>
            <rFont val="Tahoma"/>
            <family val="2"/>
          </rPr>
          <t xml:space="preserve">
PSP, transporte, operador logistico, aseo y cafeteria, internet, licenciamiento, lineas celular</t>
        </r>
      </text>
    </comment>
    <comment ref="V24" authorId="1" shapeId="0" xr:uid="{00000000-0006-0000-0200-000012000000}">
      <text>
        <r>
          <rPr>
            <b/>
            <sz val="9"/>
            <color indexed="81"/>
            <rFont val="Tahoma"/>
            <family val="2"/>
          </rPr>
          <t>USUARIO:</t>
        </r>
        <r>
          <rPr>
            <sz val="9"/>
            <color indexed="81"/>
            <rFont val="Tahoma"/>
            <family val="2"/>
          </rPr>
          <t xml:space="preserve">
PSP, transporte, operador logistico, aseo y cafeteria, internet, lineas celular</t>
        </r>
      </text>
    </comment>
    <comment ref="W24" authorId="1" shapeId="0" xr:uid="{00000000-0006-0000-0200-000013000000}">
      <text>
        <r>
          <rPr>
            <b/>
            <sz val="9"/>
            <color indexed="81"/>
            <rFont val="Tahoma"/>
            <family val="2"/>
          </rPr>
          <t>USUARIO:</t>
        </r>
        <r>
          <rPr>
            <sz val="9"/>
            <color indexed="81"/>
            <rFont val="Tahoma"/>
            <family val="2"/>
          </rPr>
          <t xml:space="preserve">
PSP, transporte, papeleria, operador logistico, aseo y cafeteria, internet, central de medios, lineas celular</t>
        </r>
      </text>
    </comment>
    <comment ref="X24" authorId="1" shapeId="0" xr:uid="{00000000-0006-0000-0200-000014000000}">
      <text>
        <r>
          <rPr>
            <b/>
            <sz val="9"/>
            <color indexed="81"/>
            <rFont val="Tahoma"/>
            <family val="2"/>
          </rPr>
          <t>USUARIO:</t>
        </r>
        <r>
          <rPr>
            <sz val="9"/>
            <color indexed="81"/>
            <rFont val="Tahoma"/>
            <family val="2"/>
          </rPr>
          <t xml:space="preserve">
PSP, transporte, operador llogistico, aseo y cafeteria, internet, mobiliario, lineas celular</t>
        </r>
      </text>
    </comment>
    <comment ref="Y24" authorId="1" shapeId="0" xr:uid="{00000000-0006-0000-0200-000015000000}">
      <text>
        <r>
          <rPr>
            <b/>
            <sz val="9"/>
            <color indexed="81"/>
            <rFont val="Tahoma"/>
            <family val="2"/>
          </rPr>
          <t>USUARIO:</t>
        </r>
        <r>
          <rPr>
            <sz val="9"/>
            <color indexed="81"/>
            <rFont val="Tahoma"/>
            <family val="2"/>
          </rPr>
          <t xml:space="preserve">
PSP, transporte, operador logistico, aseo y cafeteria, internet, central de medios, lineas celular</t>
        </r>
      </text>
    </comment>
    <comment ref="Z24" authorId="1" shapeId="0" xr:uid="{00000000-0006-0000-0200-000016000000}">
      <text>
        <r>
          <rPr>
            <b/>
            <sz val="9"/>
            <color indexed="81"/>
            <rFont val="Tahoma"/>
            <family val="2"/>
          </rPr>
          <t>USUARIO:</t>
        </r>
        <r>
          <rPr>
            <sz val="9"/>
            <color indexed="81"/>
            <rFont val="Tahoma"/>
            <family val="2"/>
          </rPr>
          <t xml:space="preserve">
PSP, transporte, operador logistico, aseo y cafeteria, internet, lineas celular</t>
        </r>
      </text>
    </comment>
    <comment ref="AA24" authorId="1" shapeId="0" xr:uid="{00000000-0006-0000-0200-000017000000}">
      <text>
        <r>
          <rPr>
            <b/>
            <sz val="9"/>
            <color rgb="FF000000"/>
            <rFont val="Tahoma"/>
            <family val="2"/>
          </rPr>
          <t>USUARIO:</t>
        </r>
        <r>
          <rPr>
            <sz val="9"/>
            <color rgb="FF000000"/>
            <rFont val="Tahoma"/>
            <family val="2"/>
          </rPr>
          <t xml:space="preserve">
</t>
        </r>
        <r>
          <rPr>
            <sz val="9"/>
            <color rgb="FF000000"/>
            <rFont val="Tahoma"/>
            <family val="2"/>
          </rPr>
          <t>PSP, transporte, operador logistico, aseo y cafeteria, internet, central de medios, lineas celular</t>
        </r>
      </text>
    </comment>
    <comment ref="AB24" authorId="1" shapeId="0" xr:uid="{00000000-0006-0000-0200-000018000000}">
      <text>
        <r>
          <rPr>
            <b/>
            <sz val="9"/>
            <color indexed="81"/>
            <rFont val="Tahoma"/>
            <family val="2"/>
          </rPr>
          <t>USUARIO:</t>
        </r>
        <r>
          <rPr>
            <sz val="9"/>
            <color indexed="81"/>
            <rFont val="Tahoma"/>
            <family val="2"/>
          </rPr>
          <t xml:space="preserve">
PSP, transporte, operador logistico, aseo y cafeteria, internet, lineas celular</t>
        </r>
      </text>
    </comment>
    <comment ref="C32" authorId="2" shapeId="0" xr:uid="{00000000-0006-0000-0200-000019000000}">
      <text>
        <r>
          <rPr>
            <b/>
            <sz val="9"/>
            <color indexed="8"/>
            <rFont val="Tahoma"/>
            <family val="2"/>
          </rPr>
          <t>Microsoft Office User:</t>
        </r>
        <r>
          <rPr>
            <sz val="9"/>
            <color indexed="8"/>
            <rFont val="Tahoma"/>
            <family val="2"/>
          </rPr>
          <t xml:space="preserve">
</t>
        </r>
        <r>
          <rPr>
            <sz val="9"/>
            <color indexed="8"/>
            <rFont val="Tahoma"/>
            <family val="2"/>
          </rPr>
          <t xml:space="preserve">Corresponde a la magnitud programada en coherencia con la unidad de medida de la meta proyecto. </t>
        </r>
      </text>
    </comment>
    <comment ref="Q32" authorId="3" shapeId="0" xr:uid="{00000000-0006-0000-0200-00001A000000}">
      <text>
        <r>
          <rPr>
            <b/>
            <sz val="9"/>
            <color indexed="8"/>
            <rFont val="Tahoma"/>
            <family val="2"/>
          </rPr>
          <t xml:space="preserve">OFICINA ASESORA DE PLANEACIÓN:
</t>
        </r>
        <r>
          <rPr>
            <sz val="9"/>
            <color indexed="8"/>
            <rFont val="Tahoma"/>
            <family val="2"/>
          </rPr>
          <t xml:space="preserve">Máximo de caracteres Avances y logros:  2.000 (Incluidos espacios)
</t>
        </r>
        <r>
          <rPr>
            <sz val="9"/>
            <color indexed="8"/>
            <rFont val="Tahoma"/>
            <family val="2"/>
          </rPr>
          <t xml:space="preserve">Máximo de caracteres Retrasos y alternativas de solución: 1.000 (Incluidos espacios)
</t>
        </r>
        <r>
          <rPr>
            <sz val="9"/>
            <color indexed="8"/>
            <rFont val="Tahoma"/>
            <family val="2"/>
          </rPr>
          <t xml:space="preserve">Para la caracterización del avance de la meta, ésta debe ser cualitativa y cuantitativa. Teniendo en cuenta el número de caracteres que permite el sistema SEGPLAN, se recomienda dejar la información que se considere estratégica desde el área misional y de mayor relevancia. </t>
        </r>
      </text>
    </comment>
    <comment ref="W33" authorId="2" shapeId="0" xr:uid="{00000000-0006-0000-0200-00001B000000}">
      <text>
        <r>
          <rPr>
            <b/>
            <sz val="9"/>
            <color rgb="FF000000"/>
            <rFont val="Tahoma"/>
            <family val="2"/>
          </rPr>
          <t>Microsoft Office User:</t>
        </r>
        <r>
          <rPr>
            <sz val="9"/>
            <color rgb="FF000000"/>
            <rFont val="Tahoma"/>
            <family val="2"/>
          </rPr>
          <t xml:space="preserve">
</t>
        </r>
        <r>
          <rPr>
            <sz val="9"/>
            <color rgb="FF000000"/>
            <rFont val="Tahoma"/>
            <family val="2"/>
          </rPr>
          <t xml:space="preserve">En el caso de no presentarse retrasos en el periodo de reporte, incluir una nota indicando que las cifras son acordes con la programación. 
</t>
        </r>
      </text>
    </comment>
    <comment ref="Q42" authorId="0" shapeId="0" xr:uid="{A11CED0B-3B7A-4110-9C41-BC24DBED40CB}">
      <text>
        <r>
          <rPr>
            <b/>
            <sz val="11"/>
            <color rgb="FF000000"/>
            <rFont val="Tahoma"/>
            <family val="2"/>
          </rPr>
          <t>ANGELA MARCELA FORERO RUIZ:</t>
        </r>
        <r>
          <rPr>
            <sz val="11"/>
            <color rgb="FF000000"/>
            <rFont val="Tahoma"/>
            <family val="2"/>
          </rPr>
          <t xml:space="preserve">
</t>
        </r>
        <r>
          <rPr>
            <sz val="11"/>
            <color rgb="FF000000"/>
            <rFont val="Tahoma"/>
            <family val="2"/>
          </rPr>
          <t xml:space="preserve">Especificar si del mes que hacen mención es junio o es abril. 
</t>
        </r>
        <r>
          <rPr>
            <sz val="11"/>
            <color rgb="FF000000"/>
            <rFont val="Tahoma"/>
            <family val="2"/>
          </rPr>
          <t>Se sugiere que sea caro que se hizo en junio y finamente como indica el parrafo que acumulado del semestre van 86 sesiones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ANGELA MARCELA FORERO RUIZ</author>
    <author>USUARIO</author>
    <author>Microsoft Office User</author>
    <author/>
  </authors>
  <commentList>
    <comment ref="O8" authorId="0" shapeId="0" xr:uid="{3BB2F7E1-775C-442A-9BFD-F7A39CE0AE69}">
      <text>
        <r>
          <rPr>
            <b/>
            <sz val="11"/>
            <color indexed="81"/>
            <rFont val="Tahoma"/>
            <family val="2"/>
          </rPr>
          <t>ANGELA MARCELA FORERO RUIZ:</t>
        </r>
        <r>
          <rPr>
            <sz val="11"/>
            <color indexed="81"/>
            <rFont val="Tahoma"/>
            <family val="2"/>
          </rPr>
          <t xml:space="preserve">
Marcar actualización dado que se realizó ajuste a la programación presupuestal de las metas proyecto de inversión</t>
        </r>
      </text>
    </comment>
    <comment ref="Q22" authorId="1" shapeId="0" xr:uid="{00000000-0006-0000-0300-000001000000}">
      <text>
        <r>
          <rPr>
            <b/>
            <sz val="9"/>
            <color indexed="81"/>
            <rFont val="Tahoma"/>
            <family val="2"/>
          </rPr>
          <t>USUARIO:</t>
        </r>
        <r>
          <rPr>
            <sz val="9"/>
            <color indexed="81"/>
            <rFont val="Tahoma"/>
            <family val="2"/>
          </rPr>
          <t xml:space="preserve">
PSP</t>
        </r>
      </text>
    </comment>
    <comment ref="S22" authorId="1" shapeId="0" xr:uid="{00000000-0006-0000-0300-000002000000}">
      <text>
        <r>
          <rPr>
            <b/>
            <sz val="9"/>
            <color indexed="81"/>
            <rFont val="Tahoma"/>
            <family val="2"/>
          </rPr>
          <t>USUARIO:</t>
        </r>
        <r>
          <rPr>
            <sz val="9"/>
            <color indexed="81"/>
            <rFont val="Tahoma"/>
            <family val="2"/>
          </rPr>
          <t xml:space="preserve">
Transporte, internet, lineas celular</t>
        </r>
      </text>
    </comment>
    <comment ref="T22" authorId="1" shapeId="0" xr:uid="{00000000-0006-0000-0300-000003000000}">
      <text>
        <r>
          <rPr>
            <b/>
            <sz val="9"/>
            <color indexed="81"/>
            <rFont val="Tahoma"/>
            <family val="2"/>
          </rPr>
          <t>USUARIO:</t>
        </r>
        <r>
          <rPr>
            <sz val="9"/>
            <color indexed="81"/>
            <rFont val="Tahoma"/>
            <family val="2"/>
          </rPr>
          <t xml:space="preserve">
Operador logistico, licenciamiento</t>
        </r>
      </text>
    </comment>
    <comment ref="V22" authorId="1" shapeId="0" xr:uid="{00000000-0006-0000-0300-000004000000}">
      <text>
        <r>
          <rPr>
            <b/>
            <sz val="9"/>
            <color indexed="81"/>
            <rFont val="Tahoma"/>
            <family val="2"/>
          </rPr>
          <t>USUARIO:</t>
        </r>
        <r>
          <rPr>
            <sz val="9"/>
            <color indexed="81"/>
            <rFont val="Tahoma"/>
            <family val="2"/>
          </rPr>
          <t xml:space="preserve">
papeleria, central de medios</t>
        </r>
      </text>
    </comment>
    <comment ref="C24" authorId="1" shapeId="0" xr:uid="{00000000-0006-0000-0300-000005000000}">
      <text>
        <r>
          <rPr>
            <b/>
            <sz val="9"/>
            <color indexed="81"/>
            <rFont val="Tahoma"/>
            <family val="2"/>
          </rPr>
          <t>USUARIO:</t>
        </r>
        <r>
          <rPr>
            <sz val="9"/>
            <color indexed="81"/>
            <rFont val="Tahoma"/>
            <family val="2"/>
          </rPr>
          <t xml:space="preserve">
Impresos, lineas celular, internet, operador logistico, central de medios</t>
        </r>
      </text>
    </comment>
    <comment ref="D24" authorId="1" shapeId="0" xr:uid="{00000000-0006-0000-0300-000006000000}">
      <text>
        <r>
          <rPr>
            <b/>
            <sz val="9"/>
            <color indexed="81"/>
            <rFont val="Tahoma"/>
            <family val="2"/>
          </rPr>
          <t>USUARIO:</t>
        </r>
        <r>
          <rPr>
            <sz val="9"/>
            <color indexed="81"/>
            <rFont val="Tahoma"/>
            <family val="2"/>
          </rPr>
          <t xml:space="preserve">
Transporte, SIMISIONAL, lineas celular, internet, adición operador logistico, chalecos, PSP Ivette, PSP Jesica, Adición PSP Johanna, Adición PSP Sandra, Adición PSP Angela, Adición PSP Ana, Adición PSP Carol Rozo, central de medios</t>
        </r>
      </text>
    </comment>
    <comment ref="E24" authorId="1" shapeId="0" xr:uid="{00000000-0006-0000-0300-000007000000}">
      <text>
        <r>
          <rPr>
            <b/>
            <sz val="9"/>
            <color indexed="81"/>
            <rFont val="Tahoma"/>
            <family val="2"/>
          </rPr>
          <t>USUARIO:</t>
        </r>
        <r>
          <rPr>
            <sz val="9"/>
            <color indexed="81"/>
            <rFont val="Tahoma"/>
            <family val="2"/>
          </rPr>
          <t xml:space="preserve">
Lineas celular, internet, adición operador logistico</t>
        </r>
      </text>
    </comment>
    <comment ref="F24" authorId="1" shapeId="0" xr:uid="{00000000-0006-0000-0300-000008000000}">
      <text>
        <r>
          <rPr>
            <b/>
            <sz val="9"/>
            <color indexed="81"/>
            <rFont val="Tahoma"/>
            <family val="2"/>
          </rPr>
          <t>USUARIO:</t>
        </r>
        <r>
          <rPr>
            <sz val="9"/>
            <color indexed="81"/>
            <rFont val="Tahoma"/>
            <family val="2"/>
          </rPr>
          <t xml:space="preserve">
Lineas celular, internet, adición operador logistico</t>
        </r>
      </text>
    </comment>
    <comment ref="G24" authorId="1" shapeId="0" xr:uid="{00000000-0006-0000-0300-000009000000}">
      <text>
        <r>
          <rPr>
            <b/>
            <sz val="9"/>
            <color indexed="81"/>
            <rFont val="Tahoma"/>
            <family val="2"/>
          </rPr>
          <t>USUARIO:</t>
        </r>
        <r>
          <rPr>
            <sz val="9"/>
            <color indexed="81"/>
            <rFont val="Tahoma"/>
            <family val="2"/>
          </rPr>
          <t xml:space="preserve">
Lineas celular, internet</t>
        </r>
      </text>
    </comment>
    <comment ref="H24" authorId="1" shapeId="0" xr:uid="{00000000-0006-0000-0300-00000A000000}">
      <text>
        <r>
          <rPr>
            <b/>
            <sz val="9"/>
            <color indexed="81"/>
            <rFont val="Tahoma"/>
            <family val="2"/>
          </rPr>
          <t>USUARIO:</t>
        </r>
        <r>
          <rPr>
            <sz val="9"/>
            <color indexed="81"/>
            <rFont val="Tahoma"/>
            <family val="2"/>
          </rPr>
          <t xml:space="preserve">
Internet</t>
        </r>
      </text>
    </comment>
    <comment ref="I24" authorId="1" shapeId="0" xr:uid="{00000000-0006-0000-0300-00000B000000}">
      <text>
        <r>
          <rPr>
            <b/>
            <sz val="9"/>
            <color indexed="81"/>
            <rFont val="Tahoma"/>
            <family val="2"/>
          </rPr>
          <t>USUARIO:</t>
        </r>
        <r>
          <rPr>
            <sz val="9"/>
            <color indexed="81"/>
            <rFont val="Tahoma"/>
            <family val="2"/>
          </rPr>
          <t xml:space="preserve">
Internet</t>
        </r>
      </text>
    </comment>
    <comment ref="R24" authorId="1" shapeId="0" xr:uid="{00000000-0006-0000-0300-00000C000000}">
      <text>
        <r>
          <rPr>
            <b/>
            <sz val="9"/>
            <color indexed="81"/>
            <rFont val="Tahoma"/>
            <family val="2"/>
          </rPr>
          <t>USUARIO:</t>
        </r>
        <r>
          <rPr>
            <sz val="9"/>
            <color indexed="81"/>
            <rFont val="Tahoma"/>
            <family val="2"/>
          </rPr>
          <t xml:space="preserve">
PSP</t>
        </r>
      </text>
    </comment>
    <comment ref="S24" authorId="1" shapeId="0" xr:uid="{00000000-0006-0000-0300-00000D000000}">
      <text>
        <r>
          <rPr>
            <b/>
            <sz val="9"/>
            <color indexed="81"/>
            <rFont val="Tahoma"/>
            <family val="2"/>
          </rPr>
          <t>USUARIO:</t>
        </r>
        <r>
          <rPr>
            <sz val="9"/>
            <color indexed="81"/>
            <rFont val="Tahoma"/>
            <family val="2"/>
          </rPr>
          <t xml:space="preserve">
PSP</t>
        </r>
      </text>
    </comment>
    <comment ref="T24" authorId="1" shapeId="0" xr:uid="{00000000-0006-0000-0300-00000E000000}">
      <text>
        <r>
          <rPr>
            <b/>
            <sz val="9"/>
            <color indexed="81"/>
            <rFont val="Tahoma"/>
            <family val="2"/>
          </rPr>
          <t>USUARIO:</t>
        </r>
        <r>
          <rPr>
            <sz val="9"/>
            <color indexed="81"/>
            <rFont val="Tahoma"/>
            <family val="2"/>
          </rPr>
          <t xml:space="preserve">
PSP, transporte, internet</t>
        </r>
      </text>
    </comment>
    <comment ref="U24" authorId="1" shapeId="0" xr:uid="{00000000-0006-0000-0300-00000F000000}">
      <text>
        <r>
          <rPr>
            <b/>
            <sz val="9"/>
            <color indexed="81"/>
            <rFont val="Tahoma"/>
            <family val="2"/>
          </rPr>
          <t>USUARIO:</t>
        </r>
        <r>
          <rPr>
            <sz val="9"/>
            <color indexed="81"/>
            <rFont val="Tahoma"/>
            <family val="2"/>
          </rPr>
          <t xml:space="preserve">
PSP, transporte, operador logistico, internet, licenciamiento</t>
        </r>
      </text>
    </comment>
    <comment ref="V24" authorId="1" shapeId="0" xr:uid="{00000000-0006-0000-0300-000010000000}">
      <text>
        <r>
          <rPr>
            <b/>
            <sz val="9"/>
            <color indexed="81"/>
            <rFont val="Tahoma"/>
            <family val="2"/>
          </rPr>
          <t>USUARIO:</t>
        </r>
        <r>
          <rPr>
            <sz val="9"/>
            <color indexed="81"/>
            <rFont val="Tahoma"/>
            <family val="2"/>
          </rPr>
          <t xml:space="preserve">
PSP, transporte, operador logistico, internet</t>
        </r>
      </text>
    </comment>
    <comment ref="W24" authorId="1" shapeId="0" xr:uid="{00000000-0006-0000-0300-000011000000}">
      <text>
        <r>
          <rPr>
            <b/>
            <sz val="9"/>
            <color indexed="81"/>
            <rFont val="Tahoma"/>
            <family val="2"/>
          </rPr>
          <t>USUARIO:</t>
        </r>
        <r>
          <rPr>
            <sz val="9"/>
            <color indexed="81"/>
            <rFont val="Tahoma"/>
            <family val="2"/>
          </rPr>
          <t xml:space="preserve">
PSP, transporte, papeleria, operador logistico, internet, central de medios</t>
        </r>
      </text>
    </comment>
    <comment ref="X24" authorId="1" shapeId="0" xr:uid="{00000000-0006-0000-0300-000012000000}">
      <text>
        <r>
          <rPr>
            <b/>
            <sz val="9"/>
            <color indexed="81"/>
            <rFont val="Tahoma"/>
            <family val="2"/>
          </rPr>
          <t>USUARIO:</t>
        </r>
        <r>
          <rPr>
            <sz val="9"/>
            <color indexed="81"/>
            <rFont val="Tahoma"/>
            <family val="2"/>
          </rPr>
          <t xml:space="preserve">
PSP, transporte, operador logistico, internet</t>
        </r>
      </text>
    </comment>
    <comment ref="Y24" authorId="1" shapeId="0" xr:uid="{00000000-0006-0000-0300-000013000000}">
      <text>
        <r>
          <rPr>
            <b/>
            <sz val="9"/>
            <color indexed="81"/>
            <rFont val="Tahoma"/>
            <family val="2"/>
          </rPr>
          <t>USUARIO:</t>
        </r>
        <r>
          <rPr>
            <sz val="9"/>
            <color indexed="81"/>
            <rFont val="Tahoma"/>
            <family val="2"/>
          </rPr>
          <t xml:space="preserve">
PSP, transporte, operador logistico, internet, central de medios</t>
        </r>
      </text>
    </comment>
    <comment ref="Z24" authorId="1" shapeId="0" xr:uid="{00000000-0006-0000-0300-000014000000}">
      <text>
        <r>
          <rPr>
            <b/>
            <sz val="9"/>
            <color indexed="81"/>
            <rFont val="Tahoma"/>
            <family val="2"/>
          </rPr>
          <t>USUARIO:</t>
        </r>
        <r>
          <rPr>
            <sz val="9"/>
            <color indexed="81"/>
            <rFont val="Tahoma"/>
            <family val="2"/>
          </rPr>
          <t xml:space="preserve">
PSP, transporte, operador logistico, internet</t>
        </r>
      </text>
    </comment>
    <comment ref="AA24" authorId="1" shapeId="0" xr:uid="{00000000-0006-0000-0300-000015000000}">
      <text>
        <r>
          <rPr>
            <b/>
            <sz val="9"/>
            <color indexed="81"/>
            <rFont val="Tahoma"/>
            <family val="2"/>
          </rPr>
          <t>USUARIO:</t>
        </r>
        <r>
          <rPr>
            <sz val="9"/>
            <color indexed="81"/>
            <rFont val="Tahoma"/>
            <family val="2"/>
          </rPr>
          <t xml:space="preserve">
PSP, transporte, operador logistico, internet, central de medios</t>
        </r>
      </text>
    </comment>
    <comment ref="AB24" authorId="1" shapeId="0" xr:uid="{00000000-0006-0000-0300-000016000000}">
      <text>
        <r>
          <rPr>
            <b/>
            <sz val="9"/>
            <color indexed="81"/>
            <rFont val="Tahoma"/>
            <family val="2"/>
          </rPr>
          <t>USUARIO:</t>
        </r>
        <r>
          <rPr>
            <sz val="9"/>
            <color indexed="81"/>
            <rFont val="Tahoma"/>
            <family val="2"/>
          </rPr>
          <t xml:space="preserve">
PSP, transporte, operador logistico, internet</t>
        </r>
      </text>
    </comment>
    <comment ref="C32" authorId="2" shapeId="0" xr:uid="{00000000-0006-0000-0300-000017000000}">
      <text>
        <r>
          <rPr>
            <b/>
            <sz val="9"/>
            <color indexed="8"/>
            <rFont val="Tahoma"/>
            <family val="2"/>
          </rPr>
          <t>Microsoft Office User:</t>
        </r>
        <r>
          <rPr>
            <sz val="9"/>
            <color indexed="8"/>
            <rFont val="Tahoma"/>
            <family val="2"/>
          </rPr>
          <t xml:space="preserve">
</t>
        </r>
        <r>
          <rPr>
            <sz val="9"/>
            <color indexed="8"/>
            <rFont val="Tahoma"/>
            <family val="2"/>
          </rPr>
          <t xml:space="preserve">Corresponde a la magnitud programada en coherencia con la unidad de medida de la meta proyecto. </t>
        </r>
      </text>
    </comment>
    <comment ref="Q32" authorId="3" shapeId="0" xr:uid="{00000000-0006-0000-0300-000018000000}">
      <text>
        <r>
          <rPr>
            <b/>
            <sz val="9"/>
            <color indexed="8"/>
            <rFont val="Tahoma"/>
            <family val="2"/>
          </rPr>
          <t xml:space="preserve">OFICINA ASESORA DE PLANEACIÓN:
</t>
        </r>
        <r>
          <rPr>
            <sz val="9"/>
            <color indexed="8"/>
            <rFont val="Tahoma"/>
            <family val="2"/>
          </rPr>
          <t xml:space="preserve">Máximo de caracteres Avances y logros:  2.000 (Incluidos espacios)
</t>
        </r>
        <r>
          <rPr>
            <sz val="9"/>
            <color indexed="8"/>
            <rFont val="Tahoma"/>
            <family val="2"/>
          </rPr>
          <t xml:space="preserve">Máximo de caracteres Retrasos y alternativas de solución: 1.000 (Incluidos espacios)
</t>
        </r>
        <r>
          <rPr>
            <sz val="9"/>
            <color indexed="8"/>
            <rFont val="Tahoma"/>
            <family val="2"/>
          </rPr>
          <t xml:space="preserve">Para la caracterización del avance de la meta, ésta debe ser cualitativa y cuantitativa. Teniendo en cuenta el número de caracteres que permite el sistema SEGPLAN, se recomienda dejar la información que se considere estratégica desde el área misional y de mayor relevancia. </t>
        </r>
      </text>
    </comment>
    <comment ref="W33" authorId="2" shapeId="0" xr:uid="{00000000-0006-0000-0300-000019000000}">
      <text>
        <r>
          <rPr>
            <b/>
            <sz val="9"/>
            <color rgb="FF000000"/>
            <rFont val="Tahoma"/>
            <family val="2"/>
          </rPr>
          <t>Microsoft Office User:</t>
        </r>
        <r>
          <rPr>
            <sz val="9"/>
            <color rgb="FF000000"/>
            <rFont val="Tahoma"/>
            <family val="2"/>
          </rPr>
          <t xml:space="preserve">
</t>
        </r>
        <r>
          <rPr>
            <sz val="9"/>
            <color rgb="FF000000"/>
            <rFont val="Tahoma"/>
            <family val="2"/>
          </rPr>
          <t xml:space="preserve">En el caso de no presentarse retrasos en el periodo de reporte, incluir una nota indicando que las cifras son acordes con la programación.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USUARIO</author>
    <author>Microsoft Office User</author>
    <author/>
    <author>ANGELA MARCELA FORERO RUIZ</author>
  </authors>
  <commentList>
    <comment ref="Q22" authorId="0" shapeId="0" xr:uid="{00000000-0006-0000-0400-000001000000}">
      <text>
        <r>
          <rPr>
            <b/>
            <sz val="9"/>
            <color indexed="81"/>
            <rFont val="Tahoma"/>
            <family val="2"/>
          </rPr>
          <t>USUARIO:</t>
        </r>
        <r>
          <rPr>
            <sz val="9"/>
            <color indexed="81"/>
            <rFont val="Tahoma"/>
            <family val="2"/>
          </rPr>
          <t xml:space="preserve">
PSP</t>
        </r>
      </text>
    </comment>
    <comment ref="T22" authorId="0" shapeId="0" xr:uid="{00000000-0006-0000-0400-000002000000}">
      <text>
        <r>
          <rPr>
            <b/>
            <sz val="9"/>
            <color indexed="81"/>
            <rFont val="Tahoma"/>
            <family val="2"/>
          </rPr>
          <t>USUARIO:</t>
        </r>
        <r>
          <rPr>
            <sz val="9"/>
            <color indexed="81"/>
            <rFont val="Tahoma"/>
            <family val="2"/>
          </rPr>
          <t xml:space="preserve">
Licenciamiento</t>
        </r>
      </text>
    </comment>
    <comment ref="V22" authorId="0" shapeId="0" xr:uid="{00000000-0006-0000-0400-000003000000}">
      <text>
        <r>
          <rPr>
            <b/>
            <sz val="9"/>
            <color indexed="81"/>
            <rFont val="Tahoma"/>
            <family val="2"/>
          </rPr>
          <t>USUARIO:</t>
        </r>
        <r>
          <rPr>
            <sz val="9"/>
            <color indexed="81"/>
            <rFont val="Tahoma"/>
            <family val="2"/>
          </rPr>
          <t xml:space="preserve">
Papeleria, central de medios</t>
        </r>
      </text>
    </comment>
    <comment ref="C24" authorId="0" shapeId="0" xr:uid="{00000000-0006-0000-0400-000004000000}">
      <text>
        <r>
          <rPr>
            <b/>
            <sz val="9"/>
            <color indexed="81"/>
            <rFont val="Tahoma"/>
            <family val="2"/>
          </rPr>
          <t>USUARIO:</t>
        </r>
        <r>
          <rPr>
            <sz val="9"/>
            <color indexed="81"/>
            <rFont val="Tahoma"/>
            <family val="2"/>
          </rPr>
          <t xml:space="preserve">
Central de Medios</t>
        </r>
      </text>
    </comment>
    <comment ref="D24" authorId="0" shapeId="0" xr:uid="{00000000-0006-0000-0400-000005000000}">
      <text>
        <r>
          <rPr>
            <b/>
            <sz val="9"/>
            <color indexed="81"/>
            <rFont val="Tahoma"/>
            <family val="2"/>
          </rPr>
          <t>USUARIO:</t>
        </r>
        <r>
          <rPr>
            <sz val="9"/>
            <color indexed="81"/>
            <rFont val="Tahoma"/>
            <family val="2"/>
          </rPr>
          <t xml:space="preserve">
PSP Derly, Adición PSP Ana, Adición PSP Carol Rozo, Central de Medios</t>
        </r>
      </text>
    </comment>
    <comment ref="R24" authorId="0" shapeId="0" xr:uid="{00000000-0006-0000-0400-000006000000}">
      <text>
        <r>
          <rPr>
            <b/>
            <sz val="9"/>
            <color indexed="81"/>
            <rFont val="Tahoma"/>
            <family val="2"/>
          </rPr>
          <t>USUARIO:</t>
        </r>
        <r>
          <rPr>
            <sz val="9"/>
            <color indexed="81"/>
            <rFont val="Tahoma"/>
            <family val="2"/>
          </rPr>
          <t xml:space="preserve">
PSP</t>
        </r>
      </text>
    </comment>
    <comment ref="S24" authorId="0" shapeId="0" xr:uid="{00000000-0006-0000-0400-000007000000}">
      <text>
        <r>
          <rPr>
            <b/>
            <sz val="9"/>
            <color indexed="81"/>
            <rFont val="Tahoma"/>
            <family val="2"/>
          </rPr>
          <t>USUARIO:</t>
        </r>
        <r>
          <rPr>
            <sz val="9"/>
            <color indexed="81"/>
            <rFont val="Tahoma"/>
            <family val="2"/>
          </rPr>
          <t xml:space="preserve">
PSP</t>
        </r>
      </text>
    </comment>
    <comment ref="T24" authorId="0" shapeId="0" xr:uid="{00000000-0006-0000-0400-000008000000}">
      <text>
        <r>
          <rPr>
            <b/>
            <sz val="9"/>
            <color indexed="81"/>
            <rFont val="Tahoma"/>
            <family val="2"/>
          </rPr>
          <t>USUARIO:</t>
        </r>
        <r>
          <rPr>
            <sz val="9"/>
            <color indexed="81"/>
            <rFont val="Tahoma"/>
            <family val="2"/>
          </rPr>
          <t xml:space="preserve">
PSP</t>
        </r>
      </text>
    </comment>
    <comment ref="U24" authorId="0" shapeId="0" xr:uid="{00000000-0006-0000-0400-000009000000}">
      <text>
        <r>
          <rPr>
            <b/>
            <sz val="9"/>
            <color indexed="81"/>
            <rFont val="Tahoma"/>
            <family val="2"/>
          </rPr>
          <t>USUARIO:</t>
        </r>
        <r>
          <rPr>
            <sz val="9"/>
            <color indexed="81"/>
            <rFont val="Tahoma"/>
            <family val="2"/>
          </rPr>
          <t xml:space="preserve">
PSP, licenciamiento</t>
        </r>
      </text>
    </comment>
    <comment ref="V24" authorId="0" shapeId="0" xr:uid="{00000000-0006-0000-0400-00000A000000}">
      <text>
        <r>
          <rPr>
            <b/>
            <sz val="9"/>
            <color indexed="81"/>
            <rFont val="Tahoma"/>
            <family val="2"/>
          </rPr>
          <t>USUARIO:</t>
        </r>
        <r>
          <rPr>
            <sz val="9"/>
            <color indexed="81"/>
            <rFont val="Tahoma"/>
            <family val="2"/>
          </rPr>
          <t xml:space="preserve">
PSP</t>
        </r>
      </text>
    </comment>
    <comment ref="W24" authorId="0" shapeId="0" xr:uid="{00000000-0006-0000-0400-00000B000000}">
      <text>
        <r>
          <rPr>
            <b/>
            <sz val="9"/>
            <color indexed="81"/>
            <rFont val="Tahoma"/>
            <family val="2"/>
          </rPr>
          <t>USUARIO:</t>
        </r>
        <r>
          <rPr>
            <sz val="9"/>
            <color indexed="81"/>
            <rFont val="Tahoma"/>
            <family val="2"/>
          </rPr>
          <t xml:space="preserve">
PSP, papeleria, central de medios</t>
        </r>
      </text>
    </comment>
    <comment ref="X24" authorId="0" shapeId="0" xr:uid="{00000000-0006-0000-0400-00000C000000}">
      <text>
        <r>
          <rPr>
            <b/>
            <sz val="9"/>
            <color indexed="81"/>
            <rFont val="Tahoma"/>
            <family val="2"/>
          </rPr>
          <t>USUARIO:</t>
        </r>
        <r>
          <rPr>
            <sz val="9"/>
            <color indexed="81"/>
            <rFont val="Tahoma"/>
            <family val="2"/>
          </rPr>
          <t xml:space="preserve">
PSP</t>
        </r>
      </text>
    </comment>
    <comment ref="Y24" authorId="0" shapeId="0" xr:uid="{00000000-0006-0000-0400-00000D000000}">
      <text>
        <r>
          <rPr>
            <b/>
            <sz val="9"/>
            <color indexed="81"/>
            <rFont val="Tahoma"/>
            <family val="2"/>
          </rPr>
          <t>USUARIO:</t>
        </r>
        <r>
          <rPr>
            <sz val="9"/>
            <color indexed="81"/>
            <rFont val="Tahoma"/>
            <family val="2"/>
          </rPr>
          <t xml:space="preserve">
PSP, central de medios</t>
        </r>
      </text>
    </comment>
    <comment ref="Z24" authorId="0" shapeId="0" xr:uid="{00000000-0006-0000-0400-00000E000000}">
      <text>
        <r>
          <rPr>
            <b/>
            <sz val="9"/>
            <color indexed="81"/>
            <rFont val="Tahoma"/>
            <family val="2"/>
          </rPr>
          <t>USUARIO:</t>
        </r>
        <r>
          <rPr>
            <sz val="9"/>
            <color indexed="81"/>
            <rFont val="Tahoma"/>
            <family val="2"/>
          </rPr>
          <t xml:space="preserve">
PSP</t>
        </r>
      </text>
    </comment>
    <comment ref="AA24" authorId="0" shapeId="0" xr:uid="{00000000-0006-0000-0400-00000F000000}">
      <text>
        <r>
          <rPr>
            <b/>
            <sz val="9"/>
            <color indexed="81"/>
            <rFont val="Tahoma"/>
            <family val="2"/>
          </rPr>
          <t>USUARIO:</t>
        </r>
        <r>
          <rPr>
            <sz val="9"/>
            <color indexed="81"/>
            <rFont val="Tahoma"/>
            <family val="2"/>
          </rPr>
          <t xml:space="preserve">
PSP, central de medios</t>
        </r>
      </text>
    </comment>
    <comment ref="AB24" authorId="0" shapeId="0" xr:uid="{00000000-0006-0000-0400-000010000000}">
      <text>
        <r>
          <rPr>
            <b/>
            <sz val="9"/>
            <color indexed="81"/>
            <rFont val="Tahoma"/>
            <family val="2"/>
          </rPr>
          <t>USUARIO:</t>
        </r>
        <r>
          <rPr>
            <sz val="9"/>
            <color indexed="81"/>
            <rFont val="Tahoma"/>
            <family val="2"/>
          </rPr>
          <t xml:space="preserve">
PSP</t>
        </r>
      </text>
    </comment>
    <comment ref="C32" authorId="1" shapeId="0" xr:uid="{00000000-0006-0000-0400-000011000000}">
      <text>
        <r>
          <rPr>
            <b/>
            <sz val="9"/>
            <color indexed="8"/>
            <rFont val="Tahoma"/>
            <family val="2"/>
          </rPr>
          <t>Microsoft Office User:</t>
        </r>
        <r>
          <rPr>
            <sz val="9"/>
            <color indexed="8"/>
            <rFont val="Tahoma"/>
            <family val="2"/>
          </rPr>
          <t xml:space="preserve">
</t>
        </r>
        <r>
          <rPr>
            <sz val="9"/>
            <color indexed="8"/>
            <rFont val="Tahoma"/>
            <family val="2"/>
          </rPr>
          <t xml:space="preserve">Corresponde a la magnitud programada en coherencia con la unidad de medida de la meta proyecto. </t>
        </r>
      </text>
    </comment>
    <comment ref="Q32" authorId="2" shapeId="0" xr:uid="{00000000-0006-0000-0400-000012000000}">
      <text>
        <r>
          <rPr>
            <b/>
            <sz val="9"/>
            <color rgb="FF000000"/>
            <rFont val="Tahoma"/>
            <family val="2"/>
          </rPr>
          <t xml:space="preserve">OFICINA ASESORA DE PLANEACIÓN:
</t>
        </r>
        <r>
          <rPr>
            <sz val="9"/>
            <color rgb="FF000000"/>
            <rFont val="Tahoma"/>
            <family val="2"/>
          </rPr>
          <t xml:space="preserve">Máximo de caracteres Avances y logros:  2.000 (Incluidos espacios)
</t>
        </r>
        <r>
          <rPr>
            <sz val="9"/>
            <color rgb="FF000000"/>
            <rFont val="Tahoma"/>
            <family val="2"/>
          </rPr>
          <t xml:space="preserve">Máximo de caracteres Retrasos y alternativas de solución: 1.000 (Incluidos espacios)
</t>
        </r>
        <r>
          <rPr>
            <sz val="9"/>
            <color rgb="FF000000"/>
            <rFont val="Tahoma"/>
            <family val="2"/>
          </rPr>
          <t xml:space="preserve">Para la caracterización del avance de la meta, ésta debe ser cualitativa y cuantitativa. Teniendo en cuenta el número de caracteres que permite el sistema SEGPLAN, se recomienda dejar la información que se considere estratégica desde el área misional y de mayor relevancia. </t>
        </r>
      </text>
    </comment>
    <comment ref="W33" authorId="1" shapeId="0" xr:uid="{00000000-0006-0000-0400-000013000000}">
      <text>
        <r>
          <rPr>
            <b/>
            <sz val="9"/>
            <color indexed="8"/>
            <rFont val="Tahoma"/>
            <family val="2"/>
          </rPr>
          <t>Microsoft Office User:</t>
        </r>
        <r>
          <rPr>
            <sz val="9"/>
            <color indexed="8"/>
            <rFont val="Tahoma"/>
            <family val="2"/>
          </rPr>
          <t xml:space="preserve">
</t>
        </r>
        <r>
          <rPr>
            <sz val="9"/>
            <color indexed="8"/>
            <rFont val="Tahoma"/>
            <family val="2"/>
          </rPr>
          <t xml:space="preserve">En el caso de no presentarse retrasos en el periodo de reporte, incluir una nota indicando que las cifras son acordes con la programación. 
</t>
        </r>
      </text>
    </comment>
    <comment ref="Q38" authorId="3" shapeId="0" xr:uid="{6205A871-1ECF-4BE8-BDF2-D9A3ED85B132}">
      <text>
        <r>
          <rPr>
            <b/>
            <sz val="11"/>
            <color rgb="FF000000"/>
            <rFont val="Tahoma"/>
            <family val="2"/>
          </rPr>
          <t>ANGELA MARCELA FORERO RUIZ:</t>
        </r>
        <r>
          <rPr>
            <sz val="11"/>
            <color rgb="FF000000"/>
            <rFont val="Tahoma"/>
            <family val="2"/>
          </rPr>
          <t xml:space="preserve">
</t>
        </r>
        <r>
          <rPr>
            <sz val="11"/>
            <color rgb="FF000000"/>
            <rFont val="Tahoma"/>
            <family val="2"/>
          </rPr>
          <t>Incluir adicional al avance del mes, el acumulado del primer trimestre</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USUARIO</author>
    <author>Microsoft Office User</author>
    <author/>
    <author>ANGELA MARCELA FORERO RUIZ</author>
  </authors>
  <commentList>
    <comment ref="Q22" authorId="0" shapeId="0" xr:uid="{00000000-0006-0000-0500-000001000000}">
      <text>
        <r>
          <rPr>
            <b/>
            <sz val="9"/>
            <color indexed="81"/>
            <rFont val="Tahoma"/>
            <family val="2"/>
          </rPr>
          <t>USUARIO:</t>
        </r>
        <r>
          <rPr>
            <sz val="9"/>
            <color indexed="81"/>
            <rFont val="Tahoma"/>
            <family val="2"/>
          </rPr>
          <t xml:space="preserve">
PSP</t>
        </r>
      </text>
    </comment>
    <comment ref="S22" authorId="0" shapeId="0" xr:uid="{00000000-0006-0000-0500-000002000000}">
      <text>
        <r>
          <rPr>
            <b/>
            <sz val="9"/>
            <color indexed="81"/>
            <rFont val="Tahoma"/>
            <family val="2"/>
          </rPr>
          <t>USUARIO:</t>
        </r>
        <r>
          <rPr>
            <sz val="9"/>
            <color indexed="81"/>
            <rFont val="Tahoma"/>
            <family val="2"/>
          </rPr>
          <t xml:space="preserve">
Transporte</t>
        </r>
      </text>
    </comment>
    <comment ref="T22" authorId="0" shapeId="0" xr:uid="{00000000-0006-0000-0500-000003000000}">
      <text>
        <r>
          <rPr>
            <b/>
            <sz val="9"/>
            <color indexed="81"/>
            <rFont val="Tahoma"/>
            <family val="2"/>
          </rPr>
          <t>USUARIO:</t>
        </r>
        <r>
          <rPr>
            <sz val="9"/>
            <color indexed="81"/>
            <rFont val="Tahoma"/>
            <family val="2"/>
          </rPr>
          <t xml:space="preserve">
Operador logistico, licenciamiento</t>
        </r>
      </text>
    </comment>
    <comment ref="V22" authorId="0" shapeId="0" xr:uid="{00000000-0006-0000-0500-000004000000}">
      <text>
        <r>
          <rPr>
            <b/>
            <sz val="9"/>
            <color indexed="81"/>
            <rFont val="Tahoma"/>
            <family val="2"/>
          </rPr>
          <t>USUARIO:</t>
        </r>
        <r>
          <rPr>
            <sz val="9"/>
            <color indexed="81"/>
            <rFont val="Tahoma"/>
            <family val="2"/>
          </rPr>
          <t xml:space="preserve">
papeleria, central de medios</t>
        </r>
      </text>
    </comment>
    <comment ref="C24" authorId="0" shapeId="0" xr:uid="{00000000-0006-0000-0500-000005000000}">
      <text>
        <r>
          <rPr>
            <b/>
            <sz val="9"/>
            <color indexed="81"/>
            <rFont val="Tahoma"/>
            <family val="2"/>
          </rPr>
          <t>USUARIO:</t>
        </r>
        <r>
          <rPr>
            <sz val="9"/>
            <color indexed="81"/>
            <rFont val="Tahoma"/>
            <family val="2"/>
          </rPr>
          <t xml:space="preserve">
Impresos, operador logistico, Central de Medios</t>
        </r>
      </text>
    </comment>
    <comment ref="D24" authorId="0" shapeId="0" xr:uid="{00000000-0006-0000-0500-000006000000}">
      <text>
        <r>
          <rPr>
            <b/>
            <sz val="9"/>
            <color indexed="81"/>
            <rFont val="Tahoma"/>
            <family val="2"/>
          </rPr>
          <t>USUARIO:</t>
        </r>
        <r>
          <rPr>
            <sz val="9"/>
            <color indexed="81"/>
            <rFont val="Tahoma"/>
            <family val="2"/>
          </rPr>
          <t xml:space="preserve">
Transporte, SIMISIONAL, adición operador logistico, chalecos, PSP Derly, Adición PSP Luis, Adición PSP Ana, Adición PSP Carol Rozo, Central de Medios</t>
        </r>
      </text>
    </comment>
    <comment ref="E24" authorId="0" shapeId="0" xr:uid="{00000000-0006-0000-0500-000007000000}">
      <text>
        <r>
          <rPr>
            <b/>
            <sz val="9"/>
            <color indexed="81"/>
            <rFont val="Tahoma"/>
            <family val="2"/>
          </rPr>
          <t>USUARIO:</t>
        </r>
        <r>
          <rPr>
            <sz val="9"/>
            <color indexed="81"/>
            <rFont val="Tahoma"/>
            <family val="2"/>
          </rPr>
          <t xml:space="preserve">
Adición operador logistico</t>
        </r>
      </text>
    </comment>
    <comment ref="F24" authorId="0" shapeId="0" xr:uid="{00000000-0006-0000-0500-000008000000}">
      <text>
        <r>
          <rPr>
            <b/>
            <sz val="9"/>
            <color indexed="81"/>
            <rFont val="Tahoma"/>
            <family val="2"/>
          </rPr>
          <t>USUARIO:</t>
        </r>
        <r>
          <rPr>
            <sz val="9"/>
            <color indexed="81"/>
            <rFont val="Tahoma"/>
            <family val="2"/>
          </rPr>
          <t xml:space="preserve">
Adición operador logistico</t>
        </r>
      </text>
    </comment>
    <comment ref="R24" authorId="0" shapeId="0" xr:uid="{00000000-0006-0000-0500-000009000000}">
      <text>
        <r>
          <rPr>
            <b/>
            <sz val="9"/>
            <color indexed="81"/>
            <rFont val="Tahoma"/>
            <family val="2"/>
          </rPr>
          <t>USUARIO:</t>
        </r>
        <r>
          <rPr>
            <sz val="9"/>
            <color indexed="81"/>
            <rFont val="Tahoma"/>
            <family val="2"/>
          </rPr>
          <t xml:space="preserve">
PSP</t>
        </r>
      </text>
    </comment>
    <comment ref="S24" authorId="0" shapeId="0" xr:uid="{00000000-0006-0000-0500-00000A000000}">
      <text>
        <r>
          <rPr>
            <b/>
            <sz val="9"/>
            <color indexed="81"/>
            <rFont val="Tahoma"/>
            <family val="2"/>
          </rPr>
          <t>USUARIO:</t>
        </r>
        <r>
          <rPr>
            <sz val="9"/>
            <color indexed="81"/>
            <rFont val="Tahoma"/>
            <family val="2"/>
          </rPr>
          <t xml:space="preserve">
PSP</t>
        </r>
      </text>
    </comment>
    <comment ref="T24" authorId="0" shapeId="0" xr:uid="{00000000-0006-0000-0500-00000B000000}">
      <text>
        <r>
          <rPr>
            <b/>
            <sz val="9"/>
            <color indexed="81"/>
            <rFont val="Tahoma"/>
            <family val="2"/>
          </rPr>
          <t>USUARIO:</t>
        </r>
        <r>
          <rPr>
            <sz val="9"/>
            <color indexed="81"/>
            <rFont val="Tahoma"/>
            <family val="2"/>
          </rPr>
          <t xml:space="preserve">
PSP, transporte</t>
        </r>
      </text>
    </comment>
    <comment ref="U24" authorId="0" shapeId="0" xr:uid="{00000000-0006-0000-0500-00000C000000}">
      <text>
        <r>
          <rPr>
            <b/>
            <sz val="9"/>
            <color indexed="81"/>
            <rFont val="Tahoma"/>
            <family val="2"/>
          </rPr>
          <t>USUARIO:</t>
        </r>
        <r>
          <rPr>
            <sz val="9"/>
            <color indexed="81"/>
            <rFont val="Tahoma"/>
            <family val="2"/>
          </rPr>
          <t xml:space="preserve">
PSP, transporte, operador logistico, licenciamiento</t>
        </r>
      </text>
    </comment>
    <comment ref="V24" authorId="0" shapeId="0" xr:uid="{00000000-0006-0000-0500-00000D000000}">
      <text>
        <r>
          <rPr>
            <b/>
            <sz val="9"/>
            <color indexed="81"/>
            <rFont val="Tahoma"/>
            <family val="2"/>
          </rPr>
          <t>USUARIO:</t>
        </r>
        <r>
          <rPr>
            <sz val="9"/>
            <color indexed="81"/>
            <rFont val="Tahoma"/>
            <family val="2"/>
          </rPr>
          <t xml:space="preserve">
PSP, transporte, operador logistico</t>
        </r>
      </text>
    </comment>
    <comment ref="W24" authorId="0" shapeId="0" xr:uid="{00000000-0006-0000-0500-00000E000000}">
      <text>
        <r>
          <rPr>
            <b/>
            <sz val="9"/>
            <color indexed="81"/>
            <rFont val="Tahoma"/>
            <family val="2"/>
          </rPr>
          <t>USUARIO:</t>
        </r>
        <r>
          <rPr>
            <sz val="9"/>
            <color indexed="81"/>
            <rFont val="Tahoma"/>
            <family val="2"/>
          </rPr>
          <t xml:space="preserve">
PSP, transporte, papeleria, operador logistico, central de medios</t>
        </r>
      </text>
    </comment>
    <comment ref="X24" authorId="0" shapeId="0" xr:uid="{00000000-0006-0000-0500-00000F000000}">
      <text>
        <r>
          <rPr>
            <b/>
            <sz val="9"/>
            <color indexed="81"/>
            <rFont val="Tahoma"/>
            <family val="2"/>
          </rPr>
          <t>USUARIO:</t>
        </r>
        <r>
          <rPr>
            <sz val="9"/>
            <color indexed="81"/>
            <rFont val="Tahoma"/>
            <family val="2"/>
          </rPr>
          <t xml:space="preserve">
PSP, transporte, operador logistico</t>
        </r>
      </text>
    </comment>
    <comment ref="Y24" authorId="0" shapeId="0" xr:uid="{00000000-0006-0000-0500-000010000000}">
      <text>
        <r>
          <rPr>
            <b/>
            <sz val="9"/>
            <color indexed="81"/>
            <rFont val="Tahoma"/>
            <family val="2"/>
          </rPr>
          <t>USUARIO:</t>
        </r>
        <r>
          <rPr>
            <sz val="9"/>
            <color indexed="81"/>
            <rFont val="Tahoma"/>
            <family val="2"/>
          </rPr>
          <t xml:space="preserve">
PSP, transporte, operador logistico, central de medios</t>
        </r>
      </text>
    </comment>
    <comment ref="Z24" authorId="0" shapeId="0" xr:uid="{00000000-0006-0000-0500-000011000000}">
      <text>
        <r>
          <rPr>
            <b/>
            <sz val="9"/>
            <color indexed="81"/>
            <rFont val="Tahoma"/>
            <family val="2"/>
          </rPr>
          <t>USUARIO:</t>
        </r>
        <r>
          <rPr>
            <sz val="9"/>
            <color indexed="81"/>
            <rFont val="Tahoma"/>
            <family val="2"/>
          </rPr>
          <t xml:space="preserve">
PSP, transporte, operador logistico</t>
        </r>
      </text>
    </comment>
    <comment ref="AA24" authorId="0" shapeId="0" xr:uid="{00000000-0006-0000-0500-000012000000}">
      <text>
        <r>
          <rPr>
            <b/>
            <sz val="9"/>
            <color indexed="81"/>
            <rFont val="Tahoma"/>
            <family val="2"/>
          </rPr>
          <t>USUARIO:</t>
        </r>
        <r>
          <rPr>
            <sz val="9"/>
            <color indexed="81"/>
            <rFont val="Tahoma"/>
            <family val="2"/>
          </rPr>
          <t xml:space="preserve">
PSP, transporte, operador logistico, central de medios</t>
        </r>
      </text>
    </comment>
    <comment ref="AB24" authorId="0" shapeId="0" xr:uid="{00000000-0006-0000-0500-000013000000}">
      <text>
        <r>
          <rPr>
            <b/>
            <sz val="9"/>
            <color indexed="81"/>
            <rFont val="Tahoma"/>
            <family val="2"/>
          </rPr>
          <t>USUARIO:</t>
        </r>
        <r>
          <rPr>
            <sz val="9"/>
            <color indexed="81"/>
            <rFont val="Tahoma"/>
            <family val="2"/>
          </rPr>
          <t xml:space="preserve">
PSP, transporte, operador logistico</t>
        </r>
      </text>
    </comment>
    <comment ref="C32" authorId="1" shapeId="0" xr:uid="{00000000-0006-0000-0500-000014000000}">
      <text>
        <r>
          <rPr>
            <b/>
            <sz val="9"/>
            <color indexed="8"/>
            <rFont val="Tahoma"/>
            <family val="2"/>
          </rPr>
          <t>Microsoft Office User:</t>
        </r>
        <r>
          <rPr>
            <sz val="9"/>
            <color indexed="8"/>
            <rFont val="Tahoma"/>
            <family val="2"/>
          </rPr>
          <t xml:space="preserve">
</t>
        </r>
        <r>
          <rPr>
            <sz val="9"/>
            <color indexed="8"/>
            <rFont val="Tahoma"/>
            <family val="2"/>
          </rPr>
          <t xml:space="preserve">Corresponde a la magnitud programada en coherencia con la unidad de medida de la meta proyecto. </t>
        </r>
      </text>
    </comment>
    <comment ref="Q32" authorId="2" shapeId="0" xr:uid="{00000000-0006-0000-0500-000015000000}">
      <text>
        <r>
          <rPr>
            <b/>
            <sz val="9"/>
            <color rgb="FF000000"/>
            <rFont val="Tahoma"/>
            <family val="2"/>
          </rPr>
          <t xml:space="preserve">OFICINA ASESORA DE PLANEACIÓN:
</t>
        </r>
        <r>
          <rPr>
            <sz val="9"/>
            <color rgb="FF000000"/>
            <rFont val="Tahoma"/>
            <family val="2"/>
          </rPr>
          <t xml:space="preserve">Máximo de caracteres Avances y logros:  2.000 (Incluidos espacios)
</t>
        </r>
        <r>
          <rPr>
            <sz val="9"/>
            <color rgb="FF000000"/>
            <rFont val="Tahoma"/>
            <family val="2"/>
          </rPr>
          <t xml:space="preserve">Máximo de caracteres Retrasos y alternativas de solución: 1.000 (Incluidos espacios)
</t>
        </r>
        <r>
          <rPr>
            <sz val="9"/>
            <color rgb="FF000000"/>
            <rFont val="Tahoma"/>
            <family val="2"/>
          </rPr>
          <t xml:space="preserve">Para la caracterización del avance de la meta, ésta debe ser cualitativa y cuantitativa. Teniendo en cuenta el número de caracteres que permite el sistema SEGPLAN, se recomienda dejar la información que se considere estratégica desde el área misional y de mayor relevancia. </t>
        </r>
      </text>
    </comment>
    <comment ref="W33" authorId="1" shapeId="0" xr:uid="{00000000-0006-0000-0500-000016000000}">
      <text>
        <r>
          <rPr>
            <b/>
            <sz val="9"/>
            <color indexed="8"/>
            <rFont val="Tahoma"/>
            <family val="2"/>
          </rPr>
          <t>Microsoft Office User:</t>
        </r>
        <r>
          <rPr>
            <sz val="9"/>
            <color indexed="8"/>
            <rFont val="Tahoma"/>
            <family val="2"/>
          </rPr>
          <t xml:space="preserve">
</t>
        </r>
        <r>
          <rPr>
            <sz val="9"/>
            <color indexed="8"/>
            <rFont val="Tahoma"/>
            <family val="2"/>
          </rPr>
          <t xml:space="preserve">En el caso de no presentarse retrasos en el periodo de reporte, incluir una nota indicando que las cifras son acordes con la programación. 
</t>
        </r>
      </text>
    </comment>
    <comment ref="Q38" authorId="3" shapeId="0" xr:uid="{BE0B6ADB-B609-4F9B-9FD9-E8A6F6D98B27}">
      <text>
        <r>
          <rPr>
            <b/>
            <sz val="11"/>
            <color rgb="FF000000"/>
            <rFont val="Tahoma"/>
            <family val="2"/>
          </rPr>
          <t>ANGELA MARCELA FORERO RUIZ:</t>
        </r>
        <r>
          <rPr>
            <sz val="11"/>
            <color rgb="FF000000"/>
            <rFont val="Tahoma"/>
            <family val="2"/>
          </rPr>
          <t xml:space="preserve">
</t>
        </r>
        <r>
          <rPr>
            <sz val="11"/>
            <color rgb="FF000000"/>
            <rFont val="Tahoma"/>
            <family val="2"/>
          </rPr>
          <t>Incluir adicional el avance acumulado</t>
        </r>
      </text>
    </comment>
    <comment ref="Q40" authorId="3" shapeId="0" xr:uid="{27EA5C29-DE63-4031-9851-7CAD4B9D545F}">
      <text>
        <r>
          <rPr>
            <b/>
            <sz val="11"/>
            <color rgb="FF000000"/>
            <rFont val="Tahoma"/>
            <family val="2"/>
          </rPr>
          <t>ANGELA MARCELA FORERO RUIZ:</t>
        </r>
        <r>
          <rPr>
            <sz val="11"/>
            <color rgb="FF000000"/>
            <rFont val="Tahoma"/>
            <family val="2"/>
          </rPr>
          <t xml:space="preserve">
</t>
        </r>
        <r>
          <rPr>
            <sz val="11"/>
            <color rgb="FF000000"/>
            <rFont val="Tahoma"/>
            <family val="2"/>
          </rPr>
          <t>Incluir adicional el avance acumulado</t>
        </r>
      </text>
    </comment>
    <comment ref="Q42" authorId="3" shapeId="0" xr:uid="{0B436EB4-E83B-4BA7-BABA-A64536CCD58D}">
      <text>
        <r>
          <rPr>
            <b/>
            <sz val="11"/>
            <color rgb="FF000000"/>
            <rFont val="Tahoma"/>
            <family val="2"/>
          </rPr>
          <t>ANGELA MARCELA FORERO RUIZ:</t>
        </r>
        <r>
          <rPr>
            <sz val="11"/>
            <color rgb="FF000000"/>
            <rFont val="Tahoma"/>
            <family val="2"/>
          </rPr>
          <t xml:space="preserve">
</t>
        </r>
        <r>
          <rPr>
            <sz val="11"/>
            <color rgb="FF000000"/>
            <rFont val="Tahoma"/>
            <family val="2"/>
          </rPr>
          <t>Incuir además el avance acumulado</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ANGELA MARCELA FORERO RUIZ</author>
    <author>USUARIO</author>
    <author>Microsoft Office User</author>
    <author/>
    <author>Angela Marcela Forero Ruiz</author>
  </authors>
  <commentList>
    <comment ref="O8" authorId="0" shapeId="0" xr:uid="{79C39D15-6B98-4278-A5B5-9CE42980EEF0}">
      <text>
        <r>
          <rPr>
            <b/>
            <sz val="11"/>
            <color indexed="81"/>
            <rFont val="Tahoma"/>
            <family val="2"/>
          </rPr>
          <t>ANGELA MARCELA FORERO RUIZ:</t>
        </r>
        <r>
          <rPr>
            <sz val="11"/>
            <color indexed="81"/>
            <rFont val="Tahoma"/>
            <family val="2"/>
          </rPr>
          <t xml:space="preserve">
Marcar actualización dado que se realizó ajuste a la programación presupuestal de las metas proyecto de inversión</t>
        </r>
      </text>
    </comment>
    <comment ref="Q22" authorId="1" shapeId="0" xr:uid="{9B9B9FE4-79C0-5D48-8F04-F2566F688E4D}">
      <text>
        <r>
          <rPr>
            <b/>
            <sz val="9"/>
            <color indexed="81"/>
            <rFont val="Tahoma"/>
            <family val="2"/>
          </rPr>
          <t>USUARIO:</t>
        </r>
        <r>
          <rPr>
            <sz val="9"/>
            <color indexed="81"/>
            <rFont val="Tahoma"/>
            <family val="2"/>
          </rPr>
          <t xml:space="preserve">
PSP</t>
        </r>
      </text>
    </comment>
    <comment ref="T22" authorId="1" shapeId="0" xr:uid="{C24F8766-804A-B74C-8840-BF0FA977C91B}">
      <text>
        <r>
          <rPr>
            <b/>
            <sz val="9"/>
            <color indexed="81"/>
            <rFont val="Tahoma"/>
            <family val="2"/>
          </rPr>
          <t>USUARIO:</t>
        </r>
        <r>
          <rPr>
            <sz val="9"/>
            <color indexed="81"/>
            <rFont val="Tahoma"/>
            <family val="2"/>
          </rPr>
          <t xml:space="preserve">
Licenciamiento</t>
        </r>
      </text>
    </comment>
    <comment ref="V22" authorId="1" shapeId="0" xr:uid="{8FF217B0-A300-F145-B7C6-05E4CC6065F2}">
      <text>
        <r>
          <rPr>
            <b/>
            <sz val="9"/>
            <color indexed="81"/>
            <rFont val="Tahoma"/>
            <family val="2"/>
          </rPr>
          <t>USUARIO:</t>
        </r>
        <r>
          <rPr>
            <sz val="9"/>
            <color indexed="81"/>
            <rFont val="Tahoma"/>
            <family val="2"/>
          </rPr>
          <t xml:space="preserve">
Papeleria, central de medios</t>
        </r>
      </text>
    </comment>
    <comment ref="C24" authorId="1" shapeId="0" xr:uid="{3AC2F764-B360-D94A-B77F-421CCA39690E}">
      <text>
        <r>
          <rPr>
            <b/>
            <sz val="9"/>
            <color indexed="81"/>
            <rFont val="Tahoma"/>
            <family val="2"/>
          </rPr>
          <t>USUARIO:</t>
        </r>
        <r>
          <rPr>
            <sz val="9"/>
            <color indexed="81"/>
            <rFont val="Tahoma"/>
            <family val="2"/>
          </rPr>
          <t xml:space="preserve">
Central de Medios</t>
        </r>
      </text>
    </comment>
    <comment ref="D24" authorId="1" shapeId="0" xr:uid="{2AEEF1B5-CB04-8941-925A-EC658A124522}">
      <text>
        <r>
          <rPr>
            <b/>
            <sz val="9"/>
            <color indexed="81"/>
            <rFont val="Tahoma"/>
            <family val="2"/>
          </rPr>
          <t>USUARIO:</t>
        </r>
        <r>
          <rPr>
            <sz val="9"/>
            <color indexed="81"/>
            <rFont val="Tahoma"/>
            <family val="2"/>
          </rPr>
          <t xml:space="preserve">
PSP Derly, Adición PSP Ana, Adición PSP Carol Rozo, Central de Medios</t>
        </r>
      </text>
    </comment>
    <comment ref="R24" authorId="1" shapeId="0" xr:uid="{3B8B047E-59B2-0243-980B-B9D1D2E4C9D0}">
      <text>
        <r>
          <rPr>
            <b/>
            <sz val="9"/>
            <color indexed="81"/>
            <rFont val="Tahoma"/>
            <family val="2"/>
          </rPr>
          <t>USUARIO:</t>
        </r>
        <r>
          <rPr>
            <sz val="9"/>
            <color indexed="81"/>
            <rFont val="Tahoma"/>
            <family val="2"/>
          </rPr>
          <t xml:space="preserve">
PSP</t>
        </r>
      </text>
    </comment>
    <comment ref="S24" authorId="1" shapeId="0" xr:uid="{7308AA7A-84A7-FA4D-AE8D-1F45ED1E6414}">
      <text>
        <r>
          <rPr>
            <b/>
            <sz val="9"/>
            <color indexed="81"/>
            <rFont val="Tahoma"/>
            <family val="2"/>
          </rPr>
          <t>USUARIO:</t>
        </r>
        <r>
          <rPr>
            <sz val="9"/>
            <color indexed="81"/>
            <rFont val="Tahoma"/>
            <family val="2"/>
          </rPr>
          <t xml:space="preserve">
PSP</t>
        </r>
      </text>
    </comment>
    <comment ref="T24" authorId="1" shapeId="0" xr:uid="{93899F26-24E2-1B42-9B77-0E1461A2ECB5}">
      <text>
        <r>
          <rPr>
            <b/>
            <sz val="9"/>
            <color indexed="81"/>
            <rFont val="Tahoma"/>
            <family val="2"/>
          </rPr>
          <t>USUARIO:</t>
        </r>
        <r>
          <rPr>
            <sz val="9"/>
            <color indexed="81"/>
            <rFont val="Tahoma"/>
            <family val="2"/>
          </rPr>
          <t xml:space="preserve">
PSP</t>
        </r>
      </text>
    </comment>
    <comment ref="U24" authorId="1" shapeId="0" xr:uid="{4C84F406-96B9-254A-8067-5563F8C45D41}">
      <text>
        <r>
          <rPr>
            <b/>
            <sz val="9"/>
            <color indexed="81"/>
            <rFont val="Tahoma"/>
            <family val="2"/>
          </rPr>
          <t>USUARIO:</t>
        </r>
        <r>
          <rPr>
            <sz val="9"/>
            <color indexed="81"/>
            <rFont val="Tahoma"/>
            <family val="2"/>
          </rPr>
          <t xml:space="preserve">
PSP, licenciamiento</t>
        </r>
      </text>
    </comment>
    <comment ref="V24" authorId="1" shapeId="0" xr:uid="{281CE66B-1AE1-5A44-9EE8-DEF0D90FA257}">
      <text>
        <r>
          <rPr>
            <b/>
            <sz val="9"/>
            <color indexed="81"/>
            <rFont val="Tahoma"/>
            <family val="2"/>
          </rPr>
          <t>USUARIO:</t>
        </r>
        <r>
          <rPr>
            <sz val="9"/>
            <color indexed="81"/>
            <rFont val="Tahoma"/>
            <family val="2"/>
          </rPr>
          <t xml:space="preserve">
PSP</t>
        </r>
      </text>
    </comment>
    <comment ref="W24" authorId="1" shapeId="0" xr:uid="{91CD3B0F-F421-5445-B494-42894F843A0A}">
      <text>
        <r>
          <rPr>
            <b/>
            <sz val="9"/>
            <color indexed="81"/>
            <rFont val="Tahoma"/>
            <family val="2"/>
          </rPr>
          <t>USUARIO:</t>
        </r>
        <r>
          <rPr>
            <sz val="9"/>
            <color indexed="81"/>
            <rFont val="Tahoma"/>
            <family val="2"/>
          </rPr>
          <t xml:space="preserve">
PSP, papeleria, central de medios</t>
        </r>
      </text>
    </comment>
    <comment ref="X24" authorId="1" shapeId="0" xr:uid="{8309DD05-9A58-794D-8225-DF0E85EDF032}">
      <text>
        <r>
          <rPr>
            <b/>
            <sz val="9"/>
            <color indexed="81"/>
            <rFont val="Tahoma"/>
            <family val="2"/>
          </rPr>
          <t>USUARIO:</t>
        </r>
        <r>
          <rPr>
            <sz val="9"/>
            <color indexed="81"/>
            <rFont val="Tahoma"/>
            <family val="2"/>
          </rPr>
          <t xml:space="preserve">
PSP</t>
        </r>
      </text>
    </comment>
    <comment ref="Y24" authorId="1" shapeId="0" xr:uid="{4BF8DBF7-21CF-6B49-8B42-FA344FE4E76B}">
      <text>
        <r>
          <rPr>
            <b/>
            <sz val="9"/>
            <color indexed="81"/>
            <rFont val="Tahoma"/>
            <family val="2"/>
          </rPr>
          <t>USUARIO:</t>
        </r>
        <r>
          <rPr>
            <sz val="9"/>
            <color indexed="81"/>
            <rFont val="Tahoma"/>
            <family val="2"/>
          </rPr>
          <t xml:space="preserve">
PSP, central de medios</t>
        </r>
      </text>
    </comment>
    <comment ref="Z24" authorId="1" shapeId="0" xr:uid="{35C3ED67-0F44-234A-A38E-151FF293C283}">
      <text>
        <r>
          <rPr>
            <b/>
            <sz val="9"/>
            <color indexed="81"/>
            <rFont val="Tahoma"/>
            <family val="2"/>
          </rPr>
          <t>USUARIO:</t>
        </r>
        <r>
          <rPr>
            <sz val="9"/>
            <color indexed="81"/>
            <rFont val="Tahoma"/>
            <family val="2"/>
          </rPr>
          <t xml:space="preserve">
PSP</t>
        </r>
      </text>
    </comment>
    <comment ref="AA24" authorId="1" shapeId="0" xr:uid="{772639D7-5162-E649-8340-96FA728CC3F8}">
      <text>
        <r>
          <rPr>
            <b/>
            <sz val="9"/>
            <color indexed="81"/>
            <rFont val="Tahoma"/>
            <family val="2"/>
          </rPr>
          <t>USUARIO:</t>
        </r>
        <r>
          <rPr>
            <sz val="9"/>
            <color indexed="81"/>
            <rFont val="Tahoma"/>
            <family val="2"/>
          </rPr>
          <t xml:space="preserve">
PSP, central de medios</t>
        </r>
      </text>
    </comment>
    <comment ref="AB24" authorId="1" shapeId="0" xr:uid="{C9AAFB46-38FC-BC4B-B25E-AD2223BC045E}">
      <text>
        <r>
          <rPr>
            <b/>
            <sz val="9"/>
            <color indexed="81"/>
            <rFont val="Tahoma"/>
            <family val="2"/>
          </rPr>
          <t>USUARIO:</t>
        </r>
        <r>
          <rPr>
            <sz val="9"/>
            <color indexed="81"/>
            <rFont val="Tahoma"/>
            <family val="2"/>
          </rPr>
          <t xml:space="preserve">
PSP</t>
        </r>
      </text>
    </comment>
    <comment ref="C32" authorId="2" shapeId="0" xr:uid="{0FE5CF96-BE50-B148-A40A-D9A5098325C2}">
      <text>
        <r>
          <rPr>
            <b/>
            <sz val="9"/>
            <color indexed="8"/>
            <rFont val="Tahoma"/>
            <family val="2"/>
          </rPr>
          <t>Microsoft Office User:</t>
        </r>
        <r>
          <rPr>
            <sz val="9"/>
            <color indexed="8"/>
            <rFont val="Tahoma"/>
            <family val="2"/>
          </rPr>
          <t xml:space="preserve">
</t>
        </r>
        <r>
          <rPr>
            <sz val="9"/>
            <color indexed="8"/>
            <rFont val="Tahoma"/>
            <family val="2"/>
          </rPr>
          <t xml:space="preserve">Corresponde a la magnitud programada en coherencia con la unidad de medida de la meta proyecto. </t>
        </r>
      </text>
    </comment>
    <comment ref="Q32" authorId="3" shapeId="0" xr:uid="{08FCEEBE-4942-B14B-82B2-5D80C783224B}">
      <text>
        <r>
          <rPr>
            <b/>
            <sz val="9"/>
            <color rgb="FF000000"/>
            <rFont val="Tahoma"/>
            <family val="2"/>
          </rPr>
          <t xml:space="preserve">OFICINA ASESORA DE PLANEACIÓN:
</t>
        </r>
        <r>
          <rPr>
            <sz val="9"/>
            <color rgb="FF000000"/>
            <rFont val="Tahoma"/>
            <family val="2"/>
          </rPr>
          <t xml:space="preserve">Máximo de caracteres Avances y logros:  2.000 (Incluidos espacios)
</t>
        </r>
        <r>
          <rPr>
            <sz val="9"/>
            <color rgb="FF000000"/>
            <rFont val="Tahoma"/>
            <family val="2"/>
          </rPr>
          <t xml:space="preserve">Máximo de caracteres Retrasos y alternativas de solución: 1.000 (Incluidos espacios)
</t>
        </r>
        <r>
          <rPr>
            <sz val="9"/>
            <color rgb="FF000000"/>
            <rFont val="Tahoma"/>
            <family val="2"/>
          </rPr>
          <t xml:space="preserve">Para la caracterización del avance de la meta, ésta debe ser cualitativa y cuantitativa. Teniendo en cuenta el número de caracteres que permite el sistema SEGPLAN, se recomienda dejar la información que se considere estratégica desde el área misional y de mayor relevancia. </t>
        </r>
      </text>
    </comment>
    <comment ref="O38" authorId="4" shapeId="0" xr:uid="{6EB6BF81-4F63-4D95-80E4-C62DD7117130}">
      <text>
        <r>
          <rPr>
            <b/>
            <sz val="11"/>
            <color rgb="FF000000"/>
            <rFont val="Tahoma"/>
            <family val="2"/>
          </rPr>
          <t>Angela Marcela Forero Ruiz:</t>
        </r>
        <r>
          <rPr>
            <sz val="11"/>
            <color rgb="FF000000"/>
            <rFont val="Tahoma"/>
            <family val="2"/>
          </rPr>
          <t xml:space="preserve">
</t>
        </r>
        <r>
          <rPr>
            <sz val="11"/>
            <color rgb="FF000000"/>
            <rFont val="Tahoma"/>
            <family val="2"/>
          </rPr>
          <t>Mantener la programación que se tenía programada, en las actividades no aplica la meta creciente.</t>
        </r>
      </text>
    </comment>
    <comment ref="Q38" authorId="0" shapeId="0" xr:uid="{CE2CD0F5-FD6F-45ED-838C-DBB1B56C095E}">
      <text>
        <r>
          <rPr>
            <b/>
            <sz val="9"/>
            <color rgb="FF000000"/>
            <rFont val="Tahoma"/>
            <family val="2"/>
          </rPr>
          <t>ANGELA MARCELA FORERO RUIZ</t>
        </r>
        <r>
          <rPr>
            <b/>
            <sz val="11"/>
            <color rgb="FF000000"/>
            <rFont val="Tahoma"/>
            <family val="2"/>
          </rPr>
          <t>:</t>
        </r>
        <r>
          <rPr>
            <sz val="11"/>
            <color rgb="FF000000"/>
            <rFont val="Tahoma"/>
            <family val="2"/>
          </rPr>
          <t xml:space="preserve">
</t>
        </r>
        <r>
          <rPr>
            <sz val="11"/>
            <color rgb="FF000000"/>
            <rFont val="Tahoma"/>
            <family val="2"/>
          </rPr>
          <t xml:space="preserve">Es necesario que el avance del mes se evidencie claramente, que de lo que mencionan se reailzó en el mes de junio
</t>
        </r>
        <r>
          <rPr>
            <sz val="11"/>
            <color rgb="FF000000"/>
            <rFont val="Tahoma"/>
            <family val="2"/>
          </rPr>
          <t>Adicionalmente, incluir el avance acumulado correspondiente al primer semestre</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ANGELA MARCELA FORERO RUIZ</author>
    <author>USUARIO</author>
    <author>Microsoft Office User</author>
    <author/>
  </authors>
  <commentList>
    <comment ref="O8" authorId="0" shapeId="0" xr:uid="{32875DE0-270D-4DDF-8009-044D253EF927}">
      <text>
        <r>
          <rPr>
            <b/>
            <sz val="11"/>
            <color indexed="81"/>
            <rFont val="Tahoma"/>
            <family val="2"/>
          </rPr>
          <t>ANGELA MARCELA FORERO RUIZ:</t>
        </r>
        <r>
          <rPr>
            <sz val="11"/>
            <color indexed="81"/>
            <rFont val="Tahoma"/>
            <family val="2"/>
          </rPr>
          <t xml:space="preserve">
Marcar actualización dado que se realizó ajuste a la programación presupuestal de las metas proyecto de inversión</t>
        </r>
      </text>
    </comment>
    <comment ref="Q22" authorId="1" shapeId="0" xr:uid="{917115C2-A172-AB41-87DC-48A4A7ACBE77}">
      <text>
        <r>
          <rPr>
            <b/>
            <sz val="9"/>
            <color indexed="81"/>
            <rFont val="Tahoma"/>
            <family val="2"/>
          </rPr>
          <t>USUARIO:</t>
        </r>
        <r>
          <rPr>
            <sz val="9"/>
            <color indexed="81"/>
            <rFont val="Tahoma"/>
            <family val="2"/>
          </rPr>
          <t xml:space="preserve">
PSP</t>
        </r>
      </text>
    </comment>
    <comment ref="S22" authorId="1" shapeId="0" xr:uid="{04DB8BE9-A4A7-7B45-9A76-AE848F87D74A}">
      <text>
        <r>
          <rPr>
            <b/>
            <sz val="9"/>
            <color indexed="81"/>
            <rFont val="Tahoma"/>
            <family val="2"/>
          </rPr>
          <t>USUARIO:</t>
        </r>
        <r>
          <rPr>
            <sz val="9"/>
            <color indexed="81"/>
            <rFont val="Tahoma"/>
            <family val="2"/>
          </rPr>
          <t xml:space="preserve">
Transporte</t>
        </r>
      </text>
    </comment>
    <comment ref="T22" authorId="1" shapeId="0" xr:uid="{8200768A-139A-2749-824F-FA86494B88F0}">
      <text>
        <r>
          <rPr>
            <b/>
            <sz val="9"/>
            <color indexed="81"/>
            <rFont val="Tahoma"/>
            <family val="2"/>
          </rPr>
          <t>USUARIO:</t>
        </r>
        <r>
          <rPr>
            <sz val="9"/>
            <color indexed="81"/>
            <rFont val="Tahoma"/>
            <family val="2"/>
          </rPr>
          <t xml:space="preserve">
Operador logistico, licenciamiento</t>
        </r>
      </text>
    </comment>
    <comment ref="V22" authorId="1" shapeId="0" xr:uid="{372CC988-56A3-AA4C-89F7-0374F5C51CD5}">
      <text>
        <r>
          <rPr>
            <b/>
            <sz val="9"/>
            <color indexed="81"/>
            <rFont val="Tahoma"/>
            <family val="2"/>
          </rPr>
          <t>USUARIO:</t>
        </r>
        <r>
          <rPr>
            <sz val="9"/>
            <color indexed="81"/>
            <rFont val="Tahoma"/>
            <family val="2"/>
          </rPr>
          <t xml:space="preserve">
papeleria, central de medios</t>
        </r>
      </text>
    </comment>
    <comment ref="C24" authorId="1" shapeId="0" xr:uid="{B9611FEC-2D75-A04F-85F3-70B3036C5E29}">
      <text>
        <r>
          <rPr>
            <b/>
            <sz val="9"/>
            <color indexed="81"/>
            <rFont val="Tahoma"/>
            <family val="2"/>
          </rPr>
          <t>USUARIO:</t>
        </r>
        <r>
          <rPr>
            <sz val="9"/>
            <color indexed="81"/>
            <rFont val="Tahoma"/>
            <family val="2"/>
          </rPr>
          <t xml:space="preserve">
Impresos, operador logistico, Central de Medios</t>
        </r>
      </text>
    </comment>
    <comment ref="D24" authorId="1" shapeId="0" xr:uid="{3D08E083-A605-5945-ADC6-9EDC7A94D44E}">
      <text>
        <r>
          <rPr>
            <b/>
            <sz val="9"/>
            <color indexed="81"/>
            <rFont val="Tahoma"/>
            <family val="2"/>
          </rPr>
          <t>USUARIO:</t>
        </r>
        <r>
          <rPr>
            <sz val="9"/>
            <color indexed="81"/>
            <rFont val="Tahoma"/>
            <family val="2"/>
          </rPr>
          <t xml:space="preserve">
Transporte, SIMISIONAL, adición operador logistico, chalecos, PSP Derly, Adición PSP Luis, Adición PSP Ana, Adición PSP Carol Rozo, Central de Medios</t>
        </r>
      </text>
    </comment>
    <comment ref="E24" authorId="1" shapeId="0" xr:uid="{0F494500-B80A-2F43-80DD-0ABCB6866A28}">
      <text>
        <r>
          <rPr>
            <b/>
            <sz val="9"/>
            <color indexed="81"/>
            <rFont val="Tahoma"/>
            <family val="2"/>
          </rPr>
          <t>USUARIO:</t>
        </r>
        <r>
          <rPr>
            <sz val="9"/>
            <color indexed="81"/>
            <rFont val="Tahoma"/>
            <family val="2"/>
          </rPr>
          <t xml:space="preserve">
Adición operador logistico</t>
        </r>
      </text>
    </comment>
    <comment ref="F24" authorId="1" shapeId="0" xr:uid="{DD18A177-078F-B444-98F9-8C69AAE69638}">
      <text>
        <r>
          <rPr>
            <b/>
            <sz val="9"/>
            <color indexed="81"/>
            <rFont val="Tahoma"/>
            <family val="2"/>
          </rPr>
          <t>USUARIO:</t>
        </r>
        <r>
          <rPr>
            <sz val="9"/>
            <color indexed="81"/>
            <rFont val="Tahoma"/>
            <family val="2"/>
          </rPr>
          <t xml:space="preserve">
Adición operador logistico</t>
        </r>
      </text>
    </comment>
    <comment ref="R24" authorId="1" shapeId="0" xr:uid="{928FB3A8-2B9A-7F4D-98AB-C731B975F910}">
      <text>
        <r>
          <rPr>
            <b/>
            <sz val="9"/>
            <color indexed="81"/>
            <rFont val="Tahoma"/>
            <family val="2"/>
          </rPr>
          <t>USUARIO:</t>
        </r>
        <r>
          <rPr>
            <sz val="9"/>
            <color indexed="81"/>
            <rFont val="Tahoma"/>
            <family val="2"/>
          </rPr>
          <t xml:space="preserve">
PSP</t>
        </r>
      </text>
    </comment>
    <comment ref="S24" authorId="1" shapeId="0" xr:uid="{53E9FF31-24C2-E84E-8E1D-3A03DC453C2A}">
      <text>
        <r>
          <rPr>
            <b/>
            <sz val="9"/>
            <color indexed="81"/>
            <rFont val="Tahoma"/>
            <family val="2"/>
          </rPr>
          <t>USUARIO:</t>
        </r>
        <r>
          <rPr>
            <sz val="9"/>
            <color indexed="81"/>
            <rFont val="Tahoma"/>
            <family val="2"/>
          </rPr>
          <t xml:space="preserve">
PSP</t>
        </r>
      </text>
    </comment>
    <comment ref="T24" authorId="1" shapeId="0" xr:uid="{B129119E-F2D3-764C-8B4C-092E89E493ED}">
      <text>
        <r>
          <rPr>
            <b/>
            <sz val="9"/>
            <color indexed="81"/>
            <rFont val="Tahoma"/>
            <family val="2"/>
          </rPr>
          <t>USUARIO:</t>
        </r>
        <r>
          <rPr>
            <sz val="9"/>
            <color indexed="81"/>
            <rFont val="Tahoma"/>
            <family val="2"/>
          </rPr>
          <t xml:space="preserve">
PSP, transporte</t>
        </r>
      </text>
    </comment>
    <comment ref="U24" authorId="1" shapeId="0" xr:uid="{9EA4449F-44C8-A944-89C0-9EA4E0F50A19}">
      <text>
        <r>
          <rPr>
            <b/>
            <sz val="9"/>
            <color indexed="81"/>
            <rFont val="Tahoma"/>
            <family val="2"/>
          </rPr>
          <t>USUARIO:</t>
        </r>
        <r>
          <rPr>
            <sz val="9"/>
            <color indexed="81"/>
            <rFont val="Tahoma"/>
            <family val="2"/>
          </rPr>
          <t xml:space="preserve">
PSP, transporte, operador logistico, licenciamiento</t>
        </r>
      </text>
    </comment>
    <comment ref="V24" authorId="1" shapeId="0" xr:uid="{1487F7C4-C232-F744-AAA7-096049711983}">
      <text>
        <r>
          <rPr>
            <b/>
            <sz val="9"/>
            <color indexed="81"/>
            <rFont val="Tahoma"/>
            <family val="2"/>
          </rPr>
          <t>USUARIO:</t>
        </r>
        <r>
          <rPr>
            <sz val="9"/>
            <color indexed="81"/>
            <rFont val="Tahoma"/>
            <family val="2"/>
          </rPr>
          <t xml:space="preserve">
PSP, transporte, operador logistico</t>
        </r>
      </text>
    </comment>
    <comment ref="W24" authorId="1" shapeId="0" xr:uid="{36AE6568-0A05-1943-8298-AFE3A1694A37}">
      <text>
        <r>
          <rPr>
            <b/>
            <sz val="9"/>
            <color indexed="81"/>
            <rFont val="Tahoma"/>
            <family val="2"/>
          </rPr>
          <t>USUARIO:</t>
        </r>
        <r>
          <rPr>
            <sz val="9"/>
            <color indexed="81"/>
            <rFont val="Tahoma"/>
            <family val="2"/>
          </rPr>
          <t xml:space="preserve">
PSP, transporte, papeleria, operador logistico, central de medios</t>
        </r>
      </text>
    </comment>
    <comment ref="X24" authorId="1" shapeId="0" xr:uid="{E0F0BC43-2F71-5342-80DD-47B5A8CADF1F}">
      <text>
        <r>
          <rPr>
            <b/>
            <sz val="9"/>
            <color indexed="81"/>
            <rFont val="Tahoma"/>
            <family val="2"/>
          </rPr>
          <t>USUARIO:</t>
        </r>
        <r>
          <rPr>
            <sz val="9"/>
            <color indexed="81"/>
            <rFont val="Tahoma"/>
            <family val="2"/>
          </rPr>
          <t xml:space="preserve">
PSP, transporte, operador logistico</t>
        </r>
      </text>
    </comment>
    <comment ref="Y24" authorId="1" shapeId="0" xr:uid="{69264D0C-4384-6A47-8ED7-000FFD90741A}">
      <text>
        <r>
          <rPr>
            <b/>
            <sz val="9"/>
            <color indexed="81"/>
            <rFont val="Tahoma"/>
            <family val="2"/>
          </rPr>
          <t>USUARIO:</t>
        </r>
        <r>
          <rPr>
            <sz val="9"/>
            <color indexed="81"/>
            <rFont val="Tahoma"/>
            <family val="2"/>
          </rPr>
          <t xml:space="preserve">
PSP, transporte, operador logistico, central de medios</t>
        </r>
      </text>
    </comment>
    <comment ref="Z24" authorId="1" shapeId="0" xr:uid="{4E629920-08DA-DB42-A771-B677A92F7D81}">
      <text>
        <r>
          <rPr>
            <b/>
            <sz val="9"/>
            <color indexed="81"/>
            <rFont val="Tahoma"/>
            <family val="2"/>
          </rPr>
          <t>USUARIO:</t>
        </r>
        <r>
          <rPr>
            <sz val="9"/>
            <color indexed="81"/>
            <rFont val="Tahoma"/>
            <family val="2"/>
          </rPr>
          <t xml:space="preserve">
PSP, transporte, operador logistico</t>
        </r>
      </text>
    </comment>
    <comment ref="AA24" authorId="1" shapeId="0" xr:uid="{6DC1FF73-FF78-1147-93A3-16D0E3BA43CB}">
      <text>
        <r>
          <rPr>
            <b/>
            <sz val="9"/>
            <color indexed="81"/>
            <rFont val="Tahoma"/>
            <family val="2"/>
          </rPr>
          <t>USUARIO:</t>
        </r>
        <r>
          <rPr>
            <sz val="9"/>
            <color indexed="81"/>
            <rFont val="Tahoma"/>
            <family val="2"/>
          </rPr>
          <t xml:space="preserve">
PSP, transporte, operador logistico, central de medios</t>
        </r>
      </text>
    </comment>
    <comment ref="AB24" authorId="1" shapeId="0" xr:uid="{FB92FC34-1DC9-434C-BECD-7A4C8EC09259}">
      <text>
        <r>
          <rPr>
            <b/>
            <sz val="9"/>
            <color indexed="81"/>
            <rFont val="Tahoma"/>
            <family val="2"/>
          </rPr>
          <t>USUARIO:</t>
        </r>
        <r>
          <rPr>
            <sz val="9"/>
            <color indexed="81"/>
            <rFont val="Tahoma"/>
            <family val="2"/>
          </rPr>
          <t xml:space="preserve">
PSP, transporte, operador logistico</t>
        </r>
      </text>
    </comment>
    <comment ref="C32" authorId="2" shapeId="0" xr:uid="{7EA78C79-5CE5-0748-AD0B-A4BF9740CA10}">
      <text>
        <r>
          <rPr>
            <b/>
            <sz val="9"/>
            <color indexed="8"/>
            <rFont val="Tahoma"/>
            <family val="2"/>
          </rPr>
          <t>Microsoft Office User:</t>
        </r>
        <r>
          <rPr>
            <sz val="9"/>
            <color indexed="8"/>
            <rFont val="Tahoma"/>
            <family val="2"/>
          </rPr>
          <t xml:space="preserve">
</t>
        </r>
        <r>
          <rPr>
            <sz val="9"/>
            <color indexed="8"/>
            <rFont val="Tahoma"/>
            <family val="2"/>
          </rPr>
          <t xml:space="preserve">Corresponde a la magnitud programada en coherencia con la unidad de medida de la meta proyecto. </t>
        </r>
      </text>
    </comment>
    <comment ref="Q32" authorId="3" shapeId="0" xr:uid="{6BD0BCC5-5FC3-4D4A-87E8-18998F175D59}">
      <text>
        <r>
          <rPr>
            <b/>
            <sz val="9"/>
            <color rgb="FF000000"/>
            <rFont val="Tahoma"/>
            <family val="2"/>
          </rPr>
          <t xml:space="preserve">OFICINA ASESORA DE PLANEACIÓN:
</t>
        </r>
        <r>
          <rPr>
            <sz val="9"/>
            <color rgb="FF000000"/>
            <rFont val="Tahoma"/>
            <family val="2"/>
          </rPr>
          <t xml:space="preserve">Máximo de caracteres Avances y logros:  2.000 (Incluidos espacios)
</t>
        </r>
        <r>
          <rPr>
            <sz val="9"/>
            <color rgb="FF000000"/>
            <rFont val="Tahoma"/>
            <family val="2"/>
          </rPr>
          <t xml:space="preserve">Máximo de caracteres Retrasos y alternativas de solución: 1.000 (Incluidos espacios)
</t>
        </r>
        <r>
          <rPr>
            <sz val="9"/>
            <color rgb="FF000000"/>
            <rFont val="Tahoma"/>
            <family val="2"/>
          </rPr>
          <t xml:space="preserve">Para la caracterización del avance de la meta, ésta debe ser cualitativa y cuantitativa. Teniendo en cuenta el número de caracteres que permite el sistema SEGPLAN, se recomienda dejar la información que se considere estratégica desde el área misional y de mayor relevancia. </t>
        </r>
      </text>
    </comment>
    <comment ref="W33" authorId="2" shapeId="0" xr:uid="{DEBD36C4-9D0E-CA43-BE23-44AFA2E7AED3}">
      <text>
        <r>
          <rPr>
            <b/>
            <sz val="9"/>
            <color indexed="8"/>
            <rFont val="Tahoma"/>
            <family val="2"/>
          </rPr>
          <t>Microsoft Office User:</t>
        </r>
        <r>
          <rPr>
            <sz val="9"/>
            <color indexed="8"/>
            <rFont val="Tahoma"/>
            <family val="2"/>
          </rPr>
          <t xml:space="preserve">
</t>
        </r>
        <r>
          <rPr>
            <sz val="9"/>
            <color indexed="8"/>
            <rFont val="Tahoma"/>
            <family val="2"/>
          </rPr>
          <t xml:space="preserve">En el caso de no presentarse retrasos en el periodo de reporte, incluir una nota indicando que las cifras son acordes con la programación. 
</t>
        </r>
      </text>
    </comment>
    <comment ref="Q40" authorId="0" shapeId="0" xr:uid="{AE84A8C8-27AC-4F3D-BAF9-6946267601C3}">
      <text>
        <r>
          <rPr>
            <b/>
            <sz val="11"/>
            <color rgb="FF000000"/>
            <rFont val="Tahoma"/>
            <family val="2"/>
          </rPr>
          <t>ANGELA MARCELA FORERO RUIZ:</t>
        </r>
        <r>
          <rPr>
            <sz val="11"/>
            <color rgb="FF000000"/>
            <rFont val="Tahoma"/>
            <family val="2"/>
          </rPr>
          <t xml:space="preserve">
</t>
        </r>
        <r>
          <rPr>
            <sz val="11"/>
            <color rgb="FF000000"/>
            <rFont val="Tahoma"/>
            <family val="2"/>
          </rPr>
          <t>Incluir el avance acumulado en lo corrido del año, es decir del primer semestre</t>
        </r>
      </text>
    </comment>
    <comment ref="Q42" authorId="0" shapeId="0" xr:uid="{3C97B3E6-6588-4EAB-9CDA-E7EF2C848E5D}">
      <text>
        <r>
          <rPr>
            <b/>
            <sz val="11"/>
            <color rgb="FF000000"/>
            <rFont val="Tahoma"/>
            <family val="2"/>
          </rPr>
          <t>ANGELA MARCELA FORERO RUIZ:</t>
        </r>
        <r>
          <rPr>
            <sz val="11"/>
            <color rgb="FF000000"/>
            <rFont val="Tahoma"/>
            <family val="2"/>
          </rPr>
          <t xml:space="preserve">
</t>
        </r>
        <r>
          <rPr>
            <sz val="11"/>
            <color rgb="FF000000"/>
            <rFont val="Tahoma"/>
            <family val="2"/>
          </rPr>
          <t>Incluir el avance acumulado en lo corrido del año, es decir del primer semestre</t>
        </r>
      </text>
    </comment>
    <comment ref="P46" authorId="0" shapeId="0" xr:uid="{F79E95A9-7A32-6842-83C0-3597F47E9EF3}">
      <text>
        <r>
          <rPr>
            <b/>
            <sz val="11"/>
            <color rgb="FF000000"/>
            <rFont val="Tahoma"/>
            <family val="2"/>
          </rPr>
          <t>ANGELA MARCELA FORERO RUIZ:</t>
        </r>
        <r>
          <rPr>
            <sz val="11"/>
            <color rgb="FF000000"/>
            <rFont val="Tahoma"/>
            <family val="2"/>
          </rPr>
          <t xml:space="preserve">
</t>
        </r>
        <r>
          <rPr>
            <sz val="11"/>
            <color rgb="FF000000"/>
            <rFont val="Tahoma"/>
            <family val="2"/>
          </rPr>
          <t>Incuir además el avance acumulado</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ANGELA MARCELA FORERO RUIZ</author>
    <author>USUARIO</author>
    <author>Microsoft Office User</author>
    <author/>
  </authors>
  <commentList>
    <comment ref="O8" authorId="0" shapeId="0" xr:uid="{2836E707-46B1-4058-B4BB-A1728BA6D049}">
      <text>
        <r>
          <rPr>
            <b/>
            <sz val="11"/>
            <color rgb="FF000000"/>
            <rFont val="Tahoma"/>
            <family val="2"/>
          </rPr>
          <t>ANGELA MARCELA FORERO RUIZ:</t>
        </r>
        <r>
          <rPr>
            <sz val="11"/>
            <color rgb="FF000000"/>
            <rFont val="Tahoma"/>
            <family val="2"/>
          </rPr>
          <t xml:space="preserve">
</t>
        </r>
        <r>
          <rPr>
            <sz val="11"/>
            <color rgb="FF000000"/>
            <rFont val="Tahoma"/>
            <family val="2"/>
          </rPr>
          <t>Marcar actualización dado que se realizó ajuste a la programación presupuestal de las metas proyecto de inversión</t>
        </r>
      </text>
    </comment>
    <comment ref="Q22" authorId="1" shapeId="0" xr:uid="{00000000-0006-0000-0600-000001000000}">
      <text>
        <r>
          <rPr>
            <b/>
            <sz val="9"/>
            <color indexed="81"/>
            <rFont val="Tahoma"/>
            <family val="2"/>
          </rPr>
          <t>USUARIO:</t>
        </r>
        <r>
          <rPr>
            <sz val="9"/>
            <color indexed="81"/>
            <rFont val="Tahoma"/>
            <family val="2"/>
          </rPr>
          <t xml:space="preserve">
PSP, Unidades Moviles</t>
        </r>
      </text>
    </comment>
    <comment ref="S22" authorId="1" shapeId="0" xr:uid="{00000000-0006-0000-0600-000002000000}">
      <text>
        <r>
          <rPr>
            <b/>
            <sz val="9"/>
            <color indexed="81"/>
            <rFont val="Tahoma"/>
            <family val="2"/>
          </rPr>
          <t>USUARIO:</t>
        </r>
        <r>
          <rPr>
            <sz val="9"/>
            <color indexed="81"/>
            <rFont val="Tahoma"/>
            <family val="2"/>
          </rPr>
          <t xml:space="preserve">
Transporte</t>
        </r>
      </text>
    </comment>
    <comment ref="T22" authorId="1" shapeId="0" xr:uid="{00000000-0006-0000-0600-000003000000}">
      <text>
        <r>
          <rPr>
            <b/>
            <sz val="9"/>
            <color indexed="81"/>
            <rFont val="Tahoma"/>
            <family val="2"/>
          </rPr>
          <t>USUARIO:</t>
        </r>
        <r>
          <rPr>
            <sz val="9"/>
            <color indexed="81"/>
            <rFont val="Tahoma"/>
            <family val="2"/>
          </rPr>
          <t xml:space="preserve">
Operador logistico, licenciamiento</t>
        </r>
      </text>
    </comment>
    <comment ref="V22" authorId="1" shapeId="0" xr:uid="{00000000-0006-0000-0600-000004000000}">
      <text>
        <r>
          <rPr>
            <b/>
            <sz val="9"/>
            <color indexed="81"/>
            <rFont val="Tahoma"/>
            <family val="2"/>
          </rPr>
          <t>USUARIO:</t>
        </r>
        <r>
          <rPr>
            <sz val="9"/>
            <color indexed="81"/>
            <rFont val="Tahoma"/>
            <family val="2"/>
          </rPr>
          <t xml:space="preserve">
papeleria, central de medios</t>
        </r>
      </text>
    </comment>
    <comment ref="C24" authorId="1" shapeId="0" xr:uid="{00000000-0006-0000-0600-000005000000}">
      <text>
        <r>
          <rPr>
            <b/>
            <sz val="9"/>
            <color indexed="81"/>
            <rFont val="Tahoma"/>
            <family val="2"/>
          </rPr>
          <t>USUARIO:</t>
        </r>
        <r>
          <rPr>
            <sz val="9"/>
            <color indexed="81"/>
            <rFont val="Tahoma"/>
            <family val="2"/>
          </rPr>
          <t xml:space="preserve">
Impresos, operador logistico, Central de Medios</t>
        </r>
      </text>
    </comment>
    <comment ref="D24" authorId="1" shapeId="0" xr:uid="{00000000-0006-0000-0600-000006000000}">
      <text>
        <r>
          <rPr>
            <b/>
            <sz val="9"/>
            <color indexed="81"/>
            <rFont val="Tahoma"/>
            <family val="2"/>
          </rPr>
          <t>USUARIO:</t>
        </r>
        <r>
          <rPr>
            <sz val="9"/>
            <color indexed="81"/>
            <rFont val="Tahoma"/>
            <family val="2"/>
          </rPr>
          <t xml:space="preserve">
Transporte, SIMISIONAL, adición operador logistico, chalecos, PSP Jesica, Adición PSP Luis, Adición PSP Laura, Adición PSP Johanna, Adición PSP Sandra, Adición PSP Angela, Adición PSP Ana, Adición PSP Pilar, Adición PSP Carol Rozo, Central de Medios</t>
        </r>
      </text>
    </comment>
    <comment ref="E24" authorId="1" shapeId="0" xr:uid="{00000000-0006-0000-0600-000007000000}">
      <text>
        <r>
          <rPr>
            <b/>
            <sz val="9"/>
            <color indexed="81"/>
            <rFont val="Tahoma"/>
            <family val="2"/>
          </rPr>
          <t>USUARIO:</t>
        </r>
        <r>
          <rPr>
            <sz val="9"/>
            <color indexed="81"/>
            <rFont val="Tahoma"/>
            <family val="2"/>
          </rPr>
          <t xml:space="preserve">
Adición operador logistico</t>
        </r>
      </text>
    </comment>
    <comment ref="F24" authorId="1" shapeId="0" xr:uid="{00000000-0006-0000-0600-000008000000}">
      <text>
        <r>
          <rPr>
            <b/>
            <sz val="9"/>
            <color indexed="81"/>
            <rFont val="Tahoma"/>
            <family val="2"/>
          </rPr>
          <t>USUARIO:</t>
        </r>
        <r>
          <rPr>
            <sz val="9"/>
            <color indexed="81"/>
            <rFont val="Tahoma"/>
            <family val="2"/>
          </rPr>
          <t xml:space="preserve">
Adición operador logistico</t>
        </r>
      </text>
    </comment>
    <comment ref="R24" authorId="1" shapeId="0" xr:uid="{00000000-0006-0000-0600-000009000000}">
      <text>
        <r>
          <rPr>
            <b/>
            <sz val="9"/>
            <color indexed="81"/>
            <rFont val="Tahoma"/>
            <family val="2"/>
          </rPr>
          <t>USUARIO:</t>
        </r>
        <r>
          <rPr>
            <sz val="9"/>
            <color indexed="81"/>
            <rFont val="Tahoma"/>
            <family val="2"/>
          </rPr>
          <t xml:space="preserve">
PSP</t>
        </r>
      </text>
    </comment>
    <comment ref="S24" authorId="1" shapeId="0" xr:uid="{00000000-0006-0000-0600-00000A000000}">
      <text>
        <r>
          <rPr>
            <b/>
            <sz val="9"/>
            <color indexed="81"/>
            <rFont val="Tahoma"/>
            <family val="2"/>
          </rPr>
          <t>USUARIO:</t>
        </r>
        <r>
          <rPr>
            <sz val="9"/>
            <color indexed="81"/>
            <rFont val="Tahoma"/>
            <family val="2"/>
          </rPr>
          <t xml:space="preserve">
PSP</t>
        </r>
      </text>
    </comment>
    <comment ref="T24" authorId="1" shapeId="0" xr:uid="{00000000-0006-0000-0600-00000B000000}">
      <text>
        <r>
          <rPr>
            <b/>
            <sz val="9"/>
            <color indexed="81"/>
            <rFont val="Tahoma"/>
            <family val="2"/>
          </rPr>
          <t>USUARIO:</t>
        </r>
        <r>
          <rPr>
            <sz val="9"/>
            <color indexed="81"/>
            <rFont val="Tahoma"/>
            <family val="2"/>
          </rPr>
          <t xml:space="preserve">
PSP, Transporte</t>
        </r>
      </text>
    </comment>
    <comment ref="U24" authorId="1" shapeId="0" xr:uid="{00000000-0006-0000-0600-00000C000000}">
      <text>
        <r>
          <rPr>
            <b/>
            <sz val="9"/>
            <color indexed="81"/>
            <rFont val="Tahoma"/>
            <family val="2"/>
          </rPr>
          <t>USUARIO:</t>
        </r>
        <r>
          <rPr>
            <sz val="9"/>
            <color indexed="81"/>
            <rFont val="Tahoma"/>
            <family val="2"/>
          </rPr>
          <t xml:space="preserve">
PSP, transporte, operador logistico, licenciamiento</t>
        </r>
      </text>
    </comment>
    <comment ref="V24" authorId="1" shapeId="0" xr:uid="{00000000-0006-0000-0600-00000D000000}">
      <text>
        <r>
          <rPr>
            <b/>
            <sz val="9"/>
            <color indexed="81"/>
            <rFont val="Tahoma"/>
            <family val="2"/>
          </rPr>
          <t>USUARIO:</t>
        </r>
        <r>
          <rPr>
            <sz val="9"/>
            <color indexed="81"/>
            <rFont val="Tahoma"/>
            <family val="2"/>
          </rPr>
          <t xml:space="preserve">
PSP, transporte, operador  logistico</t>
        </r>
      </text>
    </comment>
    <comment ref="W24" authorId="1" shapeId="0" xr:uid="{00000000-0006-0000-0600-00000E000000}">
      <text>
        <r>
          <rPr>
            <b/>
            <sz val="9"/>
            <color indexed="81"/>
            <rFont val="Tahoma"/>
            <family val="2"/>
          </rPr>
          <t>USUARIO:</t>
        </r>
        <r>
          <rPr>
            <sz val="9"/>
            <color indexed="81"/>
            <rFont val="Tahoma"/>
            <family val="2"/>
          </rPr>
          <t xml:space="preserve">
PSP, transporte, papeleria, operador logistico, central de medios</t>
        </r>
      </text>
    </comment>
    <comment ref="X24" authorId="1" shapeId="0" xr:uid="{00000000-0006-0000-0600-00000F000000}">
      <text>
        <r>
          <rPr>
            <b/>
            <sz val="9"/>
            <color indexed="81"/>
            <rFont val="Tahoma"/>
            <family val="2"/>
          </rPr>
          <t>USUARIO:</t>
        </r>
        <r>
          <rPr>
            <sz val="9"/>
            <color indexed="81"/>
            <rFont val="Tahoma"/>
            <family val="2"/>
          </rPr>
          <t xml:space="preserve">
PSP, transporte, operador logistico</t>
        </r>
      </text>
    </comment>
    <comment ref="Y24" authorId="1" shapeId="0" xr:uid="{00000000-0006-0000-0600-000010000000}">
      <text>
        <r>
          <rPr>
            <b/>
            <sz val="9"/>
            <color indexed="81"/>
            <rFont val="Tahoma"/>
            <family val="2"/>
          </rPr>
          <t>USUARIO:</t>
        </r>
        <r>
          <rPr>
            <sz val="9"/>
            <color indexed="81"/>
            <rFont val="Tahoma"/>
            <family val="2"/>
          </rPr>
          <t xml:space="preserve">
PSP, transporte, operador logistico, central de medios</t>
        </r>
      </text>
    </comment>
    <comment ref="Z24" authorId="1" shapeId="0" xr:uid="{00000000-0006-0000-0600-000011000000}">
      <text>
        <r>
          <rPr>
            <b/>
            <sz val="9"/>
            <color indexed="81"/>
            <rFont val="Tahoma"/>
            <family val="2"/>
          </rPr>
          <t>USUARIO:</t>
        </r>
        <r>
          <rPr>
            <sz val="9"/>
            <color indexed="81"/>
            <rFont val="Tahoma"/>
            <family val="2"/>
          </rPr>
          <t xml:space="preserve">
PSP, transporte, operador logistico</t>
        </r>
      </text>
    </comment>
    <comment ref="AA24" authorId="1" shapeId="0" xr:uid="{00000000-0006-0000-0600-000012000000}">
      <text>
        <r>
          <rPr>
            <b/>
            <sz val="9"/>
            <color indexed="81"/>
            <rFont val="Tahoma"/>
            <family val="2"/>
          </rPr>
          <t>USUARIO:</t>
        </r>
        <r>
          <rPr>
            <sz val="9"/>
            <color indexed="81"/>
            <rFont val="Tahoma"/>
            <family val="2"/>
          </rPr>
          <t xml:space="preserve">
PSP, transporte, operador logistico, central de medios</t>
        </r>
      </text>
    </comment>
    <comment ref="AB24" authorId="1" shapeId="0" xr:uid="{00000000-0006-0000-0600-000013000000}">
      <text>
        <r>
          <rPr>
            <b/>
            <sz val="9"/>
            <color indexed="81"/>
            <rFont val="Tahoma"/>
            <family val="2"/>
          </rPr>
          <t>USUARIO:</t>
        </r>
        <r>
          <rPr>
            <sz val="9"/>
            <color indexed="81"/>
            <rFont val="Tahoma"/>
            <family val="2"/>
          </rPr>
          <t xml:space="preserve">
PSP, transporte, operador logistico</t>
        </r>
      </text>
    </comment>
    <comment ref="C32" authorId="2" shapeId="0" xr:uid="{00000000-0006-0000-0600-000014000000}">
      <text>
        <r>
          <rPr>
            <b/>
            <sz val="9"/>
            <color indexed="8"/>
            <rFont val="Tahoma"/>
            <family val="2"/>
          </rPr>
          <t>Microsoft Office User:</t>
        </r>
        <r>
          <rPr>
            <sz val="9"/>
            <color indexed="8"/>
            <rFont val="Tahoma"/>
            <family val="2"/>
          </rPr>
          <t xml:space="preserve">
</t>
        </r>
        <r>
          <rPr>
            <sz val="9"/>
            <color indexed="8"/>
            <rFont val="Tahoma"/>
            <family val="2"/>
          </rPr>
          <t xml:space="preserve">Corresponde a la magnitud programada en coherencia con la unidad de medida de la meta proyecto. </t>
        </r>
      </text>
    </comment>
    <comment ref="Q32" authorId="3" shapeId="0" xr:uid="{00000000-0006-0000-0600-000015000000}">
      <text>
        <r>
          <rPr>
            <b/>
            <sz val="9"/>
            <color indexed="8"/>
            <rFont val="Tahoma"/>
            <family val="2"/>
          </rPr>
          <t xml:space="preserve">OFICINA ASESORA DE PLANEACIÓN:
</t>
        </r>
        <r>
          <rPr>
            <sz val="9"/>
            <color indexed="8"/>
            <rFont val="Tahoma"/>
            <family val="2"/>
          </rPr>
          <t xml:space="preserve">Máximo de caracteres Avances y logros:  2.000 (Incluidos espacios)
</t>
        </r>
        <r>
          <rPr>
            <sz val="9"/>
            <color indexed="8"/>
            <rFont val="Tahoma"/>
            <family val="2"/>
          </rPr>
          <t xml:space="preserve">Máximo de caracteres Retrasos y alternativas de solución: 1.000 (Incluidos espacios)
</t>
        </r>
        <r>
          <rPr>
            <sz val="9"/>
            <color indexed="8"/>
            <rFont val="Tahoma"/>
            <family val="2"/>
          </rPr>
          <t xml:space="preserve">Para la caracterización del avance de la meta, ésta debe ser cualitativa y cuantitativa. Teniendo en cuenta el número de caracteres que permite el sistema SEGPLAN, se recomienda dejar la información que se considere estratégica desde el área misional y de mayor relevancia. </t>
        </r>
      </text>
    </comment>
    <comment ref="W33" authorId="2" shapeId="0" xr:uid="{00000000-0006-0000-0600-000016000000}">
      <text>
        <r>
          <rPr>
            <b/>
            <sz val="9"/>
            <color indexed="8"/>
            <rFont val="Tahoma"/>
            <family val="2"/>
          </rPr>
          <t>Microsoft Office User:</t>
        </r>
        <r>
          <rPr>
            <sz val="9"/>
            <color indexed="8"/>
            <rFont val="Tahoma"/>
            <family val="2"/>
          </rPr>
          <t xml:space="preserve">
</t>
        </r>
        <r>
          <rPr>
            <sz val="9"/>
            <color indexed="8"/>
            <rFont val="Tahoma"/>
            <family val="2"/>
          </rPr>
          <t xml:space="preserve">En el caso de no presentarse retrasos en el periodo de reporte, incluir una nota indicando que las cifras son acordes con la programación. 
</t>
        </r>
      </text>
    </comment>
    <comment ref="W34" authorId="0" shapeId="0" xr:uid="{63783635-2D0F-4341-AB06-AE8BDCF648EC}">
      <text>
        <r>
          <rPr>
            <b/>
            <sz val="11"/>
            <color rgb="FF000000"/>
            <rFont val="Tahoma"/>
            <family val="2"/>
          </rPr>
          <t>ANGELA MARCELA FORERO RUIZ:</t>
        </r>
        <r>
          <rPr>
            <sz val="11"/>
            <color rgb="FF000000"/>
            <rFont val="Tahoma"/>
            <family val="2"/>
          </rPr>
          <t xml:space="preserve">
</t>
        </r>
        <r>
          <rPr>
            <sz val="11"/>
            <color rgb="FF000000"/>
            <rFont val="Tahoma"/>
            <family val="2"/>
          </rPr>
          <t xml:space="preserve">Se menciona esto como un retraso, sin embargo el avance de la meta se ha dado de acuerdo a la programación.
</t>
        </r>
        <r>
          <rPr>
            <sz val="11"/>
            <color rgb="FF000000"/>
            <rFont val="Tahoma"/>
            <family val="2"/>
          </rPr>
          <t xml:space="preserve">Verificar si a la fecha sigue sin firma el anexo mencionado o si se puede quitar este comentario.
</t>
        </r>
        <r>
          <rPr>
            <sz val="11"/>
            <color rgb="FF000000"/>
            <rFont val="Tahoma"/>
            <family val="2"/>
          </rPr>
          <t xml:space="preserve">
</t>
        </r>
        <r>
          <rPr>
            <sz val="11"/>
            <color rgb="FF000000"/>
            <rFont val="Tahoma"/>
            <family val="2"/>
          </rPr>
          <t>Como se incluye el retraso, mencionar cual es la alternativa para este.</t>
        </r>
      </text>
    </comment>
    <comment ref="Q38" authorId="0" shapeId="0" xr:uid="{12DDC5AD-1108-48E7-B4E4-906638FF7603}">
      <text>
        <r>
          <rPr>
            <b/>
            <sz val="11"/>
            <color rgb="FF000000"/>
            <rFont val="Tahoma"/>
            <family val="2"/>
          </rPr>
          <t>ANGELA MARCELA FORERO RUIZ:</t>
        </r>
        <r>
          <rPr>
            <sz val="11"/>
            <color rgb="FF000000"/>
            <rFont val="Tahoma"/>
            <family val="2"/>
          </rPr>
          <t xml:space="preserve">
</t>
        </r>
        <r>
          <rPr>
            <sz val="11"/>
            <color rgb="FF000000"/>
            <rFont val="Tahoma"/>
            <family val="2"/>
          </rPr>
          <t xml:space="preserve">Menionar que este avance se dio en el mes de junio
</t>
        </r>
        <r>
          <rPr>
            <sz val="11"/>
            <color rgb="FF000000"/>
            <rFont val="Tahoma"/>
            <family val="2"/>
          </rPr>
          <t>Adicionalmente, incluir el avance acumulado durante el primer semestre</t>
        </r>
      </text>
    </comment>
    <comment ref="Q40" authorId="0" shapeId="0" xr:uid="{4363C1B5-F855-4132-A54D-BF67152AF234}">
      <text>
        <r>
          <rPr>
            <b/>
            <sz val="11"/>
            <color rgb="FF000000"/>
            <rFont val="Tahoma"/>
            <family val="2"/>
          </rPr>
          <t>ANGELA MARCELA FORERO RUIZ:</t>
        </r>
        <r>
          <rPr>
            <sz val="11"/>
            <color rgb="FF000000"/>
            <rFont val="Tahoma"/>
            <family val="2"/>
          </rPr>
          <t xml:space="preserve">
</t>
        </r>
        <r>
          <rPr>
            <sz val="11"/>
            <color rgb="FF000000"/>
            <rFont val="Tahoma"/>
            <family val="2"/>
          </rPr>
          <t xml:space="preserve">Mencionar que este avance se dio en el mes de junio
</t>
        </r>
        <r>
          <rPr>
            <sz val="11"/>
            <color rgb="FF000000"/>
            <rFont val="Tahoma"/>
            <family val="2"/>
          </rPr>
          <t>Adicionalmente, incluir el avance acumulado durante el primer semestre</t>
        </r>
      </text>
    </comment>
  </commentList>
</comments>
</file>

<file path=xl/sharedStrings.xml><?xml version="1.0" encoding="utf-8"?>
<sst xmlns="http://schemas.openxmlformats.org/spreadsheetml/2006/main" count="2306" uniqueCount="585">
  <si>
    <t>SECRETARÍA DISTRITAL DE LA MUJER</t>
  </si>
  <si>
    <t>Código: DE-FO-5</t>
  </si>
  <si>
    <t xml:space="preserve">DIRECCIONAMIENTO ESTRATÉGICO </t>
  </si>
  <si>
    <t>Versión: 09</t>
  </si>
  <si>
    <t xml:space="preserve">FORMULACIÓN Y SEGUIMIENTO  PLAN DE ACCIÓN </t>
  </si>
  <si>
    <t>Fecha de Emisión: 10/01/2023</t>
  </si>
  <si>
    <t>Página 1 de 3</t>
  </si>
  <si>
    <t>PERIODO REPORTADO</t>
  </si>
  <si>
    <t>JUN</t>
  </si>
  <si>
    <t>FECHA DE REPORTE</t>
  </si>
  <si>
    <t>TIPO DE REPORTE</t>
  </si>
  <si>
    <t>FORMULACIÓN</t>
  </si>
  <si>
    <t>ACTUALIZACIÓN</t>
  </si>
  <si>
    <t>SEGUIMIENTO</t>
  </si>
  <si>
    <t>X</t>
  </si>
  <si>
    <t>NOMBRE DEL PROYECTO</t>
  </si>
  <si>
    <t>7718 - Implementación del Sistema Distrital de Cuidado</t>
  </si>
  <si>
    <t>PROPÓSITO</t>
  </si>
  <si>
    <t>Hacer un nuevo contrato social con igualdad de oportunidades para la inclusión social, productiva y política.</t>
  </si>
  <si>
    <t>LOGRO</t>
  </si>
  <si>
    <t>Implementar el sistema distrital de cuidado y la estrategia de transversalización y territorialización de los enfoques de género y diferencial para garantizar la igualdad de género, los derechos de las mujeres y el desarrollo de capacidades de la ciudadanía en el nivel distrital y local</t>
  </si>
  <si>
    <t>PROGRAMA</t>
  </si>
  <si>
    <t>Sistema Distrital de Cuidado</t>
  </si>
  <si>
    <t xml:space="preserve">Teniendo en cuenta que el indicador implica que las mujeres reciban el certificado del cusro de formación complementaría; como estos son realizados por el SENA y requiere de un proceso de verificación y autenticación de los datos de las cursantes, el proceso de emisión de los certificados presenta un rezago. Sin embargo, dentro de la planeación se tiene contemplado la estabilización de dicho proceso con la finalidad de dar cumplimiento a la meta.    </t>
  </si>
  <si>
    <t>DESCRIPCIÓN DE LA META (ACTIVIDAD MGA)</t>
  </si>
  <si>
    <t>Diseñar 1 documento de lineamientos técnicos para la formulación de las bases del sistema distrital de cuidado. (Objetivo 1) (Indicador 2. Meta PDD)</t>
  </si>
  <si>
    <t xml:space="preserve">MAGNITUD META VIGENCIA ACTUAL	</t>
  </si>
  <si>
    <t>PONDERACIÓN META (%)</t>
  </si>
  <si>
    <t>EJECUCIÓN PRESUPUESTAL DEL PROYECTO</t>
  </si>
  <si>
    <t>RESERVAS VIGENCIA ANTERIOR (en pesos, sin decimales)</t>
  </si>
  <si>
    <t>PRESUPUESTO ASIGNADO EN LA VIGENCIA ACTUAL (en pesos, sin decimales)</t>
  </si>
  <si>
    <t>ENE</t>
  </si>
  <si>
    <t>FEB</t>
  </si>
  <si>
    <t>MAR</t>
  </si>
  <si>
    <t>ABR</t>
  </si>
  <si>
    <t>MAY</t>
  </si>
  <si>
    <t>JUL</t>
  </si>
  <si>
    <t>AGO</t>
  </si>
  <si>
    <t>SEP</t>
  </si>
  <si>
    <t>OCT</t>
  </si>
  <si>
    <t>NOV</t>
  </si>
  <si>
    <t>DIC</t>
  </si>
  <si>
    <t>TOTAL</t>
  </si>
  <si>
    <t>AVANCE</t>
  </si>
  <si>
    <t>PROGRAMACIÓN DE COMPROMISOS</t>
  </si>
  <si>
    <t>Nombre: Constanza Liliana Gomez Romero</t>
  </si>
  <si>
    <t>Es importante precisar la consulta realizada de Carol a nuestro enlace en OAP Angela Forero, quien informa que en el reporte del Plan de Acción se puede incluir valores negativos en lo comprometido en el mes de abril, esto se debe a que en este mes se presentaron anulaciones contra segundos pagos y liberación contra registros presupuestales, lo que implica un valor neto comprometido menor al reportado en el mes de marzo.
Se precisa que en el mes de junio en reservas el valor negativo corresponde a liberaciones de saldos con acta de liquidaciòn.</t>
  </si>
  <si>
    <t>COMPROMISOS</t>
  </si>
  <si>
    <t>Cargo: Directora del Sistema de Cuidado</t>
  </si>
  <si>
    <t>PROGRAMACIÓN DE GIROS</t>
  </si>
  <si>
    <t>GIROS</t>
  </si>
  <si>
    <t xml:space="preserve">                                     -  </t>
  </si>
  <si>
    <t xml:space="preserve">                        -  </t>
  </si>
  <si>
    <t xml:space="preserve">REPORTE METAS VIGENCIA ANTERIOR - Pendientes de cumplir por contratos sin ejecutar a 31.DIC (Reservas Presupuestales) </t>
  </si>
  <si>
    <t>DESCRIPCIÓN DE LA META (ACTIVIDAD)</t>
  </si>
  <si>
    <t>PROG.</t>
  </si>
  <si>
    <t>AVANCE MENSUAL</t>
  </si>
  <si>
    <t>DESCRIPCIÓN CUALITATIVA DEL AVANCE POR META
(Logros y beneficios, y retrasos y alternativas de solución (2.000 caracteres))</t>
  </si>
  <si>
    <t xml:space="preserve">1. Diseñar 1 documento de lineamientos técnicos para la formulación de las bases del sistema distrital de cuidado. </t>
  </si>
  <si>
    <t>REPORTE METAS VIGENCIA (Ejecución vigencia)</t>
  </si>
  <si>
    <t xml:space="preserve">DESCRIPCIÓN DE LA META (ACTIVIDAD) </t>
  </si>
  <si>
    <t>PONDERACIÓN META</t>
  </si>
  <si>
    <t xml:space="preserve">AVANCE DE META </t>
  </si>
  <si>
    <t>DESCRIPCIÓN CUALITATIVA DEL AVANCE POR META</t>
  </si>
  <si>
    <t>Avances y Logros Mensual (2.000 caracteres)</t>
  </si>
  <si>
    <t>Avances y Logros Acumulado 
(2.000 caracteres)</t>
  </si>
  <si>
    <t>Retrasos y alternativas de solución (1.000 caracteres)</t>
  </si>
  <si>
    <t>Beneficios</t>
  </si>
  <si>
    <t>Programación</t>
  </si>
  <si>
    <t>Durante el mes de junio se realizaron 10 jornadas de socialización del Sistema Distrital de Cuidado y sus lineamientos técnicos. También se elaboró un plan de trabajo para desarrollar la estrategia "Pactos locales de cuidado", cuyo objetivo es la apropiación de las Manzanas del Cuidado por parte de la ciudadanía.</t>
  </si>
  <si>
    <t>Durante los meses de enero a junio de 2023 se avanzó en: La retroalimentación del documento “Desarrollo técnico del Sistema Distrital de Cuidado”, entregado por el equipo consultor de la Fundación Barco – Open Society Fundación en diciembre de 2022, La actualización de las delegaciones a la Unidad Técnica de Apoyo de la Comisión intersectorial del Sistema Distrital de Cuidado para retomar el funcionamiento de la Mesa Intersectorial de Seguimiento al Convenio Marco Interadministrativo 913 de 2021, La publicación en SECOP II del Anexo Técnico II de la Manzana del Cuidado de Ciudad Bolívar - Manitas, correspondiente al Acuerdo de Coordinación con el Instituto Distrital para las Artes y la Secretaría General, La suscripción de los Anexos I y II del Convenio Marco Interadministrativo 913 de 2021 para las Manzanas del Cuidado de Fontibón y Teusaquillo, La terminación anticipada del Convenio 725 de 2020, con el objetivo de adoptar dentro del Convenio Marco Interadministrativo 913 de 2021 el funcionamiento de las Manzanas del Cuidado de Bosa - Porvenir, San Cristóbal - San Blas y Usme - Julio César Sánchez, Revisión y firma Anexos II de adhesión al Convenio Marco Interadministrativo 913 de 2021 para las Manzanas del Cuidado de San Cristobal, Usme y Bosa - Porvenir, en lo que respecta a la Secretaría Distrital de la Mujer (SDMujer), La realización de 35 jornadas de socialización del Sistema Distrital de Cuidado y sus lineamientos técnicos y la Elaboración de la estrategia "Pactos locales de cuidado", cuyo objetivo es la apropiación de las Manzanas del Cuidado por parte de la ciudadanía.</t>
  </si>
  <si>
    <t>La socialización de los lineamientos técnicos del Sistema Distrital de Cuidado contribuye a su posicionamiento como un referente imprescindible de política social innovadora a nivel distrital, nacional e internacional. Igualmente, la difusión de sus principales desarrollos y servicios entre la ciudadanía y actores estratégicos estatales y no estatales impulsa la ampliación de su cobertura y la armonización de otras políticas sociales e iniciativas de los sectores privado y comunitario con los objetivos y lineamientos técnicos del Sistema Distrital de Cuidado.</t>
  </si>
  <si>
    <t>Ejecución</t>
  </si>
  <si>
    <t>DESCRIPCIÓN DE LA ACTIVIDAD (ACCIÓN)</t>
  </si>
  <si>
    <t>PONDERACIÓN VERTICAL (Porcentual)</t>
  </si>
  <si>
    <t>CRONOGRAMA %</t>
  </si>
  <si>
    <t>DESCRIPCIÓN CUALITATIVA DEL AVANCE POR ACTIVIDAD</t>
  </si>
  <si>
    <t>CRITERIOS DE SEGUIMIENTO</t>
  </si>
  <si>
    <t>MES 1</t>
  </si>
  <si>
    <t>MES 2</t>
  </si>
  <si>
    <t>MES 3</t>
  </si>
  <si>
    <t>MES 4</t>
  </si>
  <si>
    <t>MES 5</t>
  </si>
  <si>
    <t>MES 6</t>
  </si>
  <si>
    <t>MES 7</t>
  </si>
  <si>
    <t>MES 8</t>
  </si>
  <si>
    <t>MES 9</t>
  </si>
  <si>
    <t>MES 10</t>
  </si>
  <si>
    <t>MES 11</t>
  </si>
  <si>
    <t>MES 12</t>
  </si>
  <si>
    <t>ACUMULADO</t>
  </si>
  <si>
    <t xml:space="preserve">Logros y beneficios y Retrasos y alternativas de solución (2.000 caracteres) </t>
  </si>
  <si>
    <t xml:space="preserve">1. Socializar los lineamientos técnicos del Sistema Distrital de Cuidado con espacios e instancias de participación y ciudadanía en general. </t>
  </si>
  <si>
    <t>2. Hacer seguimiento a la implementación del Convenio 913 de 2021 cuyo objeto es "Aunar esfuerzos administrativos para la articulación de servicios intersectoriales en el marco del Sistema Distrital de Cuidado que garantice la prestación efectiva, oportuna, eficiente y eficaz de los servicios"</t>
  </si>
  <si>
    <t xml:space="preserve">Durante el mes de junio de 2023 se realizó el seguimiento y gestión de implementación del convenio 913 de 2021 mediante la realización de 5 acciones:  1) Gestión y seguimiento de firma del Anexo 2 del CDC Bosa - El Porvenir entre la Secretaría Distrital de Integración Social y la Secretaría Distrital de La Mujer. 2) Gestión, seguimiento y publicación del Anexo 1, mediante el cual, el Fondo de Desarrollo Local de Antonio Nariño se adhiere al convenio interadministrativo 913 de 2021. 3) Seguimiento e identificación de anexos pendientes de firma a cargo de la Secretaría Distrital de Integración Social al mes de junio de 2023. 4) Consolidación y seguimiento de la información de delegados de las distintas entidades para el convenio 913 de 2021. y 5) Gestión y seguimiento de citaciones para la quinta mesa de seguimiento del convenio del segundo semestre del 2023 requiriendo actualización y/o confirmación de delegados. </t>
  </si>
  <si>
    <t>*Incluir tantas filas sean necesarias</t>
  </si>
  <si>
    <t>DESCRIPCIÓN DE LA ACTIVIDAD</t>
  </si>
  <si>
    <t xml:space="preserve">DIRECCIONAMIENTO ESTRATEGICO </t>
  </si>
  <si>
    <t>FORMULACION</t>
  </si>
  <si>
    <t>ACTUALIZACION</t>
  </si>
  <si>
    <t>Coordinar y articular 13 secretarías del nivel distrital para la implementación del sistema distrital de cuidado. (Objetivo 1) (Indicador 2. Meta PDD)</t>
  </si>
  <si>
    <t>PROGRAMACION DE COMPROMISOS</t>
  </si>
  <si>
    <t>Es importante precisar la consulta realizada de Carol a nuestro enlace en OAP Angela Forero, quien informa que en el reporte del Plan de Acción se puede incluir valores negativos en lo comprometido en el mes de abril, esto se debe a que en este mes se presentaron anulaciones contra segundos pagos y liberación contra registros presupuestales, lo que implica un valor neto comprometido menor al reportado en el mes de marzo. 
Se precisa que en el mes de junio en reservas el valor negativo corresponde a liberaciones de saldos con acta de liquidaciòn.</t>
  </si>
  <si>
    <t>PROGRAMACION DE GIROS</t>
  </si>
  <si>
    <t xml:space="preserve">               -  </t>
  </si>
  <si>
    <t xml:space="preserve">2. Coordinar y articular 13 secretarías del nivel distrital para la implementación del sistema distrital de cuidado. </t>
  </si>
  <si>
    <t>Retrasos y Alternativas de solución (1.000 caracteres)</t>
  </si>
  <si>
    <t>Se articularon 12 entidades del Sector Central, 6 entidades del Sector Descentralizado y 1 entidad del Sector de las Localidades en una (1) sesión ordinaria de la Unidad Técnica de Apoyo (26 de junio) y dos sesiones de las Mesas de Trabajo de la Unidad Técnica de Apoyo: Infraestructura del Cuidado (27.06.23) y Relevos Domiciliarios (27.06.23), donde se avanzó lo pertinente para la inauguración de las Manzana del Cuidado de Antonio Nariño y el funcionamiento de los diferentes modelos de operación del Sistema Distrital del Cuidado, de tal manera que se cumplió con lo establecido en el Decreto 237 de 2020 en aras de coordinar, articular y hacer la gestión intersectorial de las entidades que hacen parte del Sistema Distrital de Cuidado para definirlo, implementarlo y hacerle seguimiento. Además, se elaboraron, convalidaron, suscribieron y publicaron las actas No. 35 de la UTA, la No. 11 de la Comisión Intersectorial del Sistema de Cuidado y la No. 8 del Mecanismo de Participación y Seguimiento.</t>
  </si>
  <si>
    <t>A. Articulación de las entidades de la Administración Distrital para avanzar en la implementación y seguimiento de Sistema Distrital de Cuidado, tanto a nivel distrital como territorial, para la inauguración de las Manzana del Cuidado de Antonio Nariño prevista para el 24 de julio de 2023. Además, se están implementando 19 manzanas del cuidado, el ciclo V de los buses del cuidado urbano y rural en 6 localidades, 3 zonas urbanas y 3 zonas rurales, y tres proyectos/programas de asistencia domiciliaria en el D.C. B. Se esta avanzando en la reglamentación del Acuerdo 893 de 2023 “Por el cual se institucionaliza el Sistema Distrital de Cuidado y se dictan otras disposiciones”. C. Implementación del Decreto 237 de 2020 "Por medio del cual se crea la Comisión Intersectorial del Sistema Distrital de Cuidado" y del Acuerdo 001 de 2020 "Por el cual se adopta el Reglamento Interno de la Comisión Intersectorial del Sistema Distrital de Cuidado", así como de la Resolución 233 de 2018 y la Resolución 753 de 2020 “Por la cual se modifica la Resolución 233 del 08 de junio de 2018 “Por la cual se expiden lineamientos para el funcionamiento, operación, seguimiento e informes de las Instancias de Coordinación del Distrito Capital”.</t>
  </si>
  <si>
    <t xml:space="preserve">Las personas cuidadoras en sus diferencias y diversidades y las personas que requieren cuidado y apoyo cuentan con 19 manzanas de cuidado implementadas, con un aumento en la cobertura a través de los servicios intersectoriales que se prestan en cinco componentes: formación, bienestar/respiro, generación de ingresos, cuidado y transformación cultural. También pueden acceder a los buses del cuidado, los cuales garantizaron la prestación de los servicios intersectoriales en 3 zonas rurales de 3 localidades y en 3 zonas urbanas alejadas o donde no hay ubicadas manzanas del cuidado, en el marco del ciclo VI y recientemente inició la implementación del ciclo V, con recursos de la Administración Distrital, así como a ofertas que brindan servicios a personas cuidadoras, personas con discapacidad y mayores directamente en sus casas. Además de los programas/proyectos de las Secretarías de Salud e Integración Social, ya inició la implementación del Programa de Asistencia Domiciliaria con recursos de Bloomberg liderado por el PNUD. </t>
  </si>
  <si>
    <t>3. Convocar y gestionar las sesiones de la Comisión Intersectorial del Sistema de Cuidado según lo establecido en el Decreto 237 de 2020</t>
  </si>
  <si>
    <t xml:space="preserve">De acuerdo con lo establecido en el Decreto 237 de 2020, en el artículo 7: "La Comisión se reunirá ordinariamente cada trimestre, es decir, cuatro (4) veces al año". De acuerdo con lo anterior, en el mes de junio no se convocó sesión de esta instancia de coordinación. Sin embargo, en el mes de junio frente al acta de la 2da sesión ordinaria del año y la No. 11 desde la expedición del Decreto 237 de 2020 realizada el 25 de mayo de 2023, se convalidó y se realizaron los ajustes solicitados por: el Idartes y la Secretaría de Gobierno. Finalmente, se tramitó la suscripción del acta por parte de la Presidencia y Secretaría Técnica de la Comisión (27.06.23) y su publicación en las páginas Web de la Secretaría de la Mujer y el Sistema Distrital del Cuidado (28.06.23). </t>
  </si>
  <si>
    <t>4. Convocar y gestionar las sesiones de la Unidad Técnica de Apoyo de la Comisión Intersectorial del Sistema de Cuidado según lo establecido en el Decreto 237 de 2020</t>
  </si>
  <si>
    <t>5. Convocar y gestionar las sesiones del Mecanismo de Participación y Seguimiento de la Comisión Intersectorial del Sistema de Cuidado según lo establecido en el Decreto 237 de 2020</t>
  </si>
  <si>
    <t xml:space="preserve">La tercera sesión del Mecanismo de Participación y Seguimiento (la segunda sesión ordinaria de 2023 y la octava desde que se expidió el Decreto 237 de 2020). Se convalidó el acta (08, 09  y 14.06.23) y se suscribió (27.06.23). Por otra parte, se realizó tramite de publicación y publicación en páginas Web de la Secretaría de la Mujer y el Sistema Distrital de Cuidado. </t>
  </si>
  <si>
    <t>Gestionar 1 estrategia para la adecuación de infraestructura de manzanas de cuidado</t>
  </si>
  <si>
    <t>Es importante precisar la consulta realizada de Carol a nuestro enlace en OAP Angela Forero, quien informa que en el reporte del Plan de Acción se puede incluir valores negativos en lo comprometido en el mes de abril, esto se debe a que en este mes se presentaron anulaciones contra segundos pagos y liberación contra registros presupuestales, lo que implica un valor neto comprometido menor al reportado en el mes de marzo.</t>
  </si>
  <si>
    <t xml:space="preserve">3. Gestionar 1 estrategia para la adecuación de infraestructura de manzanas de cuidado </t>
  </si>
  <si>
    <t>Durante el mes de junio de 2023, se logró avanzar en las gestiones para la  inaguración de la Manzana del Cuidado en la localidad de Antonio Nariño, la cual está proyectada para el 24 de julio del 2023. Así mismo, se lograron llevar a cabo las acciones de articulación intersectorial requeridas para la concertación y aprobación de la ficha técnica que establece los servicios ofertados por el Distrito, en beneficio de las personas cuidadoras y de las personas que requieren cuidados en esta localidad.</t>
  </si>
  <si>
    <t>Las 19  Manzanas del Cuidado inauguradas  vienen ampliando la cobertura de atenciones y el posicionamiento de la estrategia territorial de las Manzanas del Cuidado, en beneficio de las personas cuidadoras y de las personas que requieren cuidados o altos niveles de apoyo en Bogotá.</t>
  </si>
  <si>
    <t xml:space="preserve">6. Implementar actividades de difusión del programa de Sistema de Cuidado con ciudadanía y actores territoriales </t>
  </si>
  <si>
    <t>7. Articular las acciones intersectoriales para la puesta en operación de cinco (5) manzanas del cuidado</t>
  </si>
  <si>
    <t>8. Convocar y gestionar las sesiones de las Mesas Locales de las Manzanas del Cuidado que se encuentran en funcionamiento</t>
  </si>
  <si>
    <t>Diseñar e implementar 1 estrategia de cuidado a cuidadoras</t>
  </si>
  <si>
    <t>4. Diseñar e implementar 1 estrategia de cuidado a cuidadoras</t>
  </si>
  <si>
    <r>
      <rPr>
        <sz val="11"/>
        <color rgb="FF000000"/>
        <rFont val="Times New Roman"/>
        <family val="1"/>
      </rPr>
      <t xml:space="preserve">En el mes de junio de 2023 se obtuvieron los siguientes logros en el proceso de formación de la Estrategia Cuidado a Cuidadoras:  
1) Formación Complementaria: </t>
    </r>
    <r>
      <rPr>
        <b/>
        <sz val="11"/>
        <color rgb="FF000000"/>
        <rFont val="Times New Roman"/>
        <family val="1"/>
      </rPr>
      <t>300 cuidadoras graduadas</t>
    </r>
    <r>
      <rPr>
        <sz val="11"/>
        <color rgb="FF000000"/>
        <rFont val="Times New Roman"/>
        <family val="1"/>
      </rPr>
      <t xml:space="preserve">.  
2) Homologación de Saberes: </t>
    </r>
    <r>
      <rPr>
        <b/>
        <sz val="11"/>
        <color rgb="FF000000"/>
        <rFont val="Times New Roman"/>
        <family val="1"/>
      </rPr>
      <t>71 cuidadoras certificadas</t>
    </r>
    <r>
      <rPr>
        <sz val="11"/>
        <color rgb="FF000000"/>
        <rFont val="Times New Roman"/>
        <family val="1"/>
      </rPr>
      <t xml:space="preserve">. 
3) Número de Espacios Respiro: </t>
    </r>
    <r>
      <rPr>
        <b/>
        <sz val="11"/>
        <color rgb="FF000000"/>
        <rFont val="Times New Roman"/>
        <family val="1"/>
      </rPr>
      <t>19 y</t>
    </r>
    <r>
      <rPr>
        <sz val="11"/>
        <color rgb="FF000000"/>
        <rFont val="Times New Roman"/>
        <family val="1"/>
      </rPr>
      <t xml:space="preserve"> </t>
    </r>
    <r>
      <rPr>
        <b/>
        <sz val="11"/>
        <color rgb="FF000000"/>
        <rFont val="Times New Roman"/>
        <family val="1"/>
      </rPr>
      <t>262</t>
    </r>
    <r>
      <rPr>
        <sz val="11"/>
        <color rgb="FF000000"/>
        <rFont val="Times New Roman"/>
        <family val="1"/>
      </rPr>
      <t xml:space="preserve"> atenciones.  
4) Orientación y asesoría psico jurídica: 1.027 cuidadoras (552 atención jurídica y 475 atención psicosocial).	</t>
    </r>
  </si>
  <si>
    <t xml:space="preserve">En lo referente a diseñar e implementar una estrategia de cuidado a cuidadoras, durante enero a junio del 2023 no se han presentado dificultades que alteren la normal ejecución de esta meta. 
En lo que respecta a la implementación del Plan Integral de Acciones Afirmativas se avanzó en proyección de espacios a realizar atendiendo los requerimientos diferenciales y a la disponibilidad de garantías con el operador logístico contratado el cual inicia operación en el mes de julio del presente año. 	</t>
  </si>
  <si>
    <t>9. Implementar el componente de formación para cuidadoras</t>
  </si>
  <si>
    <t xml:space="preserve">10. Implementar el componente de orientación psicojurídica para cuidadoras </t>
  </si>
  <si>
    <t xml:space="preserve">11. Implementar, monitorear y hacer seguimiento al Plan Integral de Acciones Afirmativas </t>
  </si>
  <si>
    <t xml:space="preserve">Durante el mes de junio se implementaron diecinueve (19) espacios respiro y se logró doscientas sesenta y dos (262) atenciones a mujeres cuidadoras, así:  Cuatro espacios, (103) atenciones a cuidadoras Negras y Afrodescendientes, Seis espacios, (87) atenciones a cuidadoras Raizales y  Nueve espacios, (72) atenciones a cuidadoras Gitanas. A la fecha, el balance en la implementación de espacios respiro asciende a 35. 
a) Natación con ritmos afro caribeños: Atenciones: 7 cuidadoras Negras y Afrodescendientes 
b) Circuito "Medicina tradicional, cuidado y autocuidado- Celebración día de Afrocolombianidad" espacio elaboración de alcoholes Jardín Botánico JJB: Atenciones: 32 
c) Rumba con ritmos Afrocaribeños- IDRD: Atenciones: 32  d) Yoga dirigido a mujeres negras/afrocolombianas- IDRD: Atenciones: 32  e) y f) Meditar y estirar:15 atenciones g) Actividad Física- Raizales: Atenciones: 21 h) Rumba Terapia Folclórica- Raizales: Atenciones: 21  i) Actividad Física- Raizales: Atenciones: 15  j) Rumba Terapia Folclórica- Raizales: Atenciones: 15  k) Natación Mujeres Unión Romaní- Gitanas: Atenciones: 6  l) Salida Jardín Botánico Mujeres Rrom- Gitanas: Atenciones: 5  m) Natación Mujeres Pro Rrom- Gitanas: Atenciones: 9  n) Natación Mujeres Unión Romaní- Gitanas: Atenciones: 8  o) Natación Mujeres Pro Rrom- Gitanas: Atenciones: 9  p) Natación Mujeres Unión Romaní- Gitanas: Atenciones: 8  q) Natación Mujeres Pro Rrom- Gitanas: Atenciones: 9  r) Natación Mujeres Unión Romaní- Gitanas: Atenciones: 9  s) Natación Mujeres Pro Rrom- Gitanas: Atenciones: 9 
</t>
  </si>
  <si>
    <t>Diseñar 1 documento para la implementación de la estrategia pedagógica para la valoración, la resignificación, el reconocimiento y la redistribución del trabajo de cuidado no remunerado que realizan las mujeres en Bogotá</t>
  </si>
  <si>
    <t xml:space="preserve">5. Diseñar 1 documento para la implementación de la estrategia pedagógica para la valoración, la resignificación, el reconocimiento y la redistribución del trabajo de cuidado no remunerado que realizan las mujeres en Bogotá </t>
  </si>
  <si>
    <t>En el marco de diseñar un documento que abarque la implementación de la estrategia pedagógica para la valoración, la resignificación, el reconocimiento y la redistribución del trabajo de cuidado no remunerado que realizan las mujeres en Bogotá, en el mes de marzo se continuo con las actividades requeridas dentro del diseño de la caja de herramientas de la Estrategia Pedagógica y de Cambio Cultural, logrando así la elaboración de la primera versión del documento “Caja de herramientas EPCC”.</t>
  </si>
  <si>
    <t xml:space="preserve">Durante el primer trimestre, con relación al proceso de diseño y  socialización de la caja de herramientas de la estrategia pedagógica de cambio cultural, se avanzó en la construcción de dos documentos metodológicos, los cuales están dirigidos a aportar a los beneficiarios del programa "A cuidar se aprende", versión familias. También, se elaboró la primera versión del documento “Caja de herramientas EPCC”.	</t>
  </si>
  <si>
    <t xml:space="preserve">En lo referente a diseñar un documento para la implementación de la estrategia pedagógica para la valoración, la resignificación, el reconocimiento y la redistribución del trabajo de cuidado no remunerado que realizan las mujeres en Bogotá, durante el primer trimestre del 2023 no se han presentado dificultades que alteren la mormal ejecución de esta meta.			
			</t>
  </si>
  <si>
    <t xml:space="preserve">12. Diseñar, publicar y socializar una caja de herramientas de la Estrategia Pedagógica y de Cambio Cultural.  </t>
  </si>
  <si>
    <t>Posterior a la construcción de dos metodologias dirigidos a familias beneficiarias del programa Casa a Casa, y sumado las actividades desarrolladas durante el mes de marzo, dan como balance que a la fecha ya se cuente y presentado la primera versión del documento “Caja de herramientas EPCC”.</t>
  </si>
  <si>
    <t>Implementar 1 estrategia para el reconocimiento y la redistribución del trabajo de cuidado no remunerado entre hombres y mujeres.</t>
  </si>
  <si>
    <t>6. Implementar 1 estrategia para el reconocimiento y la redistribución del trabajo de cuidado no remunerado entre hombres y mujeres.</t>
  </si>
  <si>
    <t xml:space="preserve">En el mes de marzo se logró beneficiar a 542 personas en los talleres de cambio cultural. Adicionalmente, se realizó la actualización y ajuste del documento “Estrategia de conformación y fortalecimiento de la red de alianzas del cuidado - RAC” y se llevo a cabo la primera Mesa Técnica de Transformación Cultural del 2023.
</t>
  </si>
  <si>
    <t xml:space="preserve">Durante el primer trimestre se han beneficiado a 670 personas en los talleres de cambio cultural. Se avanzó en el rastreo y organización de documentos RAC, actualización y ajuste del documento “Estrategia de conformación y fortalecimiento de la red de alianzas del cuidado - RAC” y se realizó la primera Mesa Técnica de Transformación Cultural del 2023.
</t>
  </si>
  <si>
    <t>Durante el mes de marzo y, de acuerdo al informe de SIMISIONAL, se vincularon a talleres de Cambio Cultural a 587 personas, sin embargo, de estas personas solamente 542 fueron nuevos ingresos. De igual forma, en el reporte del mes de marzo no se evidenciaron dos talleres con 27 participantes.
Actualmente se presentan demoras en la contratación de la coordinadora de la RAC, no obstante, para no afectar significativamente el desarrollo de las acciones programadas, se distribuyó las responsabilidades en los lideres y talleristas del equipo de Cambio Cultural.</t>
  </si>
  <si>
    <t xml:space="preserve">13. Implementar los talleres de cambio cultural </t>
  </si>
  <si>
    <t xml:space="preserve">En el mes de marzo se implementaron 46 talleres de Cambio Cultural, a través de los cuales se vincularon 542 beneficiarias. En la localidad de Bosa se realizaron 2 talleres y se vincularon 18 beneficiarias, en Chapinero se realizaron 5 talleres y se vincularon 41 beneficiaria, en Engativá se realizaron 7 talleres y se vincularon 120 beneficiarias; en Fontibón se realizaron 2 talleres y se vincularon 34 beneficiarias, en Kennedy se realizaron 3 talleres y se vincularon 22 beneficiarias, en  La Candelaria se realizaron 2 talleres y se vincularon 13 beneficiarias, en  Los Mártires se realizaron 2 talleres y se vincularon 31 beneficiarias, en  Puente Aranda se realizaron 4 talleres y se vincularon 67 beneficiarias, en Rafael Uribe  se realizó 1 taller y se vincularon 6 beneficiarias, en  San Cristóbal se realizaron 3 talleres y se vincularon 35 beneficiarias, en Santa Fe se realizaron 2 talleres y se vincularon 8 beneficiarias, en Suba se realizaron 3 talleres y se vincularon 48 beneficiarias, en Tunjuelito se realizó 1 taller y se vincularon 10 beneficiarias, en Usaquén se realizaron 5 talleres y se vincularon 62 beneficiarias, en Usme se realizaron 2 talleres y se vincularon 12 beneficiarias y a nivel Distrital se realizaron 2 talleres y se vincularon 15 beneficiarias. Sumando los beneficiarios del primer bimestre del 2023, dan como balance 677 beneficiarios vinculados. </t>
  </si>
  <si>
    <t>14. Implementar la Red de Alianzas del Cuidado</t>
  </si>
  <si>
    <t xml:space="preserve">En el mes de marzo se realizó la revisión y perfeccionamiento del documento “Estrategia de conformación y fortalecimiento de la red de alianzas del cuidado - RAC”. Por otra parte, frente a la implementación de la Red de Alianzas del Cuidado, las acciones de los enlaces y la vinculación con diferentes actores como lo son: empresas, organizaciones no gubernamentales, entidades e instituciones publicas; requiere contar con una persona que se desempeñe como coordinadora de la RAC, en este sentido se están adelantando los tramites pertinentes para hacer la vinculación de este rol a través de un contrato de prestación de servicios profesionales, la cual se espera se realice en el mes de abril.	
</t>
  </si>
  <si>
    <t>15. Convocar y gestionar las sesiones de la Mesa de Transformación Cultural de la Unidad Técnica de Apoyo de la Comisión Intersectorial del Sistema de Cuidado</t>
  </si>
  <si>
    <r>
      <t xml:space="preserve">En el marco de las gestiones realizadas en el mes de febrero, en la cual se realizaron las convocatoria y gestiones pertinentes, se logro que se realizara el 16 de marzo la primera Mesa técnica de Transformación Cultural. </t>
    </r>
    <r>
      <rPr>
        <sz val="11"/>
        <color rgb="FFFF0000"/>
        <rFont val="Times New Roman"/>
        <family val="1"/>
      </rPr>
      <t xml:space="preserve">En este sentido, a lo largo del primer trimestre se han desarrollado las gestiones pertinentes, las cuales permitieron el cumplimiento de realizar la seseión trimestral programada </t>
    </r>
  </si>
  <si>
    <t xml:space="preserve">En el mes de junio, según el reporte enviado por Gestión del Conocimiento, se logró beneficiar a 454 personas en los talleres de cambio cultural. Adicionalmente, durante el mes de junio se realizaron las siguientes actividades en el marco de la Red de Alianzas del Cuidado: Reunión interna para planeación de las acciones de la RAC,  acercamientos preliminares con la Fundación Bolívar Davivienda- Filarmónica Joven de Colombia para la inclusión de la RAC y el agendamiento de talleres a sus grupos de interés, reuniones de presentación de la RAC con la Universidad Ecci, la Universidad UNAD, las empresas  ZTE y EWay quienes llevan avances relevantes para la obtención del Sello de Igualdad, asimismo se avanzó en el primer contacto con nueve organizaciones de  personas que se comunicaron vía página oficial. Finalmente se realizó la tercera Mesa de Trabajo de Transformación Cultural en la que se presentó a la directora del Sistema Distrital del Cuidado, se verificaron los espacios de sensibilización para los equipos territoriales de Biblored y Nidos, se actualizaron fechas y escenarios importantes para realizar actividades conjuntas, además se realizó la primera formación cruzada a cargo de Secretaria de Cultura, Recreación y Deporte.
</t>
  </si>
  <si>
    <t>Al mes de junio se beneficiaron a 2.709 personas en los talleres de cambio cultural. Se hace la salvedad de que esta información presenta inconsistencias en relación con el número total de personas vinculadas al mes, tal como se explicó en el apartado “Avances y logros mensuales”.  Se realizaron cuatro reuniones con actores privados y académicos y se estableció un primer acercamiento  con nueve organizaciones. Finalmente, se han organizado y ejecutado tres Mesas de transformación cultural en el 2023.</t>
  </si>
  <si>
    <t xml:space="preserve">Si bien, solamente hasta el mes de junio se logró avanzar con la contratación de la coordinadora de la RAC, durante la ausencia de esta profesional la situación se logró solventar con el apoyo del equipo Cambio Cultural.  Uno de los principales logros de este periodo fue la definición del Portafolio RAC, así como de los insumos y materiales de apoyo que lo componen. Consolidar el kit de comunicaciones, las ayudas audiovisuales y las herramientas con las que permanentemente se alimenta el documento “Repositorio” se constituye en una de las acciones relevantes que permitirán cumplir el objetivo de amplificar los objetivos del Sistema de Cuidado. De igual manera se resalta como avance del mes la articulación en mesa de trabajo con el Sello de Igualdad y la Estrategia de Sostenibilidad con el fin de presentar una única oferta consolidada a los potenciales aliados del sector privado de la Secretaría de la Mujer.  A la fecha también se cuenta con una presentación que expone de manera sintética los pasos que las organizaciones deben seguir para hacer parte de la RAC.
</t>
  </si>
  <si>
    <t>En el marco de acciones de la Red de Alianzas de Cuidado durante el mes de junio inició su contrato la Coordinadora de la RAC, lo que implicó la definición de su Plan de Acción, la estructuración del Portafolio de Servicios, la articulación con otros grupos de la entidad como Cuidado Comunitario, Sello de Igualdad y Estrategia de Emprendimiento y la realización de sesiones de socialización de la RAC con agentes del Sector Privado.</t>
  </si>
  <si>
    <t>Gestionar la implementación de 1 estrategia de unidades móviles de cuidado</t>
  </si>
  <si>
    <t> </t>
  </si>
  <si>
    <t>7. Gestionar la implementación de 1 estrategia de unidades móviles de cuidado</t>
  </si>
  <si>
    <t>1. Se realizaron actividades de cierre en cada uno de los Buses del cuidado (rural y urbano) para los puntos de operación del ciclo IV, dentro de las cuales las personas cuidadoras valoraron y evaluaron cada uno de los servicios prestados. En las actividades de cierre se indagó a las cuidadoras sobre ¿Qué se lleva del Bus del cuidado? la mayoría coincide en aspectos tales como aprendizaje/conocimiento, redes de apoyo comunitarias – amistades – y agradecimiento por los servicios prestados. 
2. Sobre la puesta en marcha den ciclo V, se están realizando socializaciones con actores comunitarios en cada uno de lo seis puntos de operación, estas cuentan con la presencia de los sectores que prestan servicios en los Buses del Cuidado. Además de las socializaciones, se hacen avanzadas en el sector: casa a casa, en locales comerciales y en el espacio público. Por último, en las redes de la Secretaría Distrital de la Mujer se han publicado piezas gráficas y videos donde se mencionan los servicios y puntos de operación del ciclo V.</t>
  </si>
  <si>
    <t>Presencia del Sistema Distrital de Cuidado en zonas rurales y urbanas prestando servicios de formación, respiro, generación de ingresos y cuidado. Con la implementación del Ciclo V, la estrategia de Buses del Cuidado llegó a todas las localidades con suelo rural.</t>
  </si>
  <si>
    <t xml:space="preserve"> </t>
  </si>
  <si>
    <t>16. Hacer seguimiento a la ejecución del Contrato No. 928 de 2022 cuyo objeto es: "Prestar los servicios requeridos para la operación y puesta en marcha de las Unidades Móviles en el marco de la implementación de la estrategia territorial del Sistema Distrital de Cuidado, de acuerdo con el anexo técnico"</t>
  </si>
  <si>
    <t>17. Convocar y gestionar las sesiones de las Mesa de Unidades Móviles de Servicios del Cuidado</t>
  </si>
  <si>
    <t>Código: DE-FO-05</t>
  </si>
  <si>
    <t xml:space="preserve">Versión: </t>
  </si>
  <si>
    <t xml:space="preserve">Fecha de Emisión: </t>
  </si>
  <si>
    <t>dd/mm/aaaa</t>
  </si>
  <si>
    <t>MAGNITUD META VIGENCIA ACTUAL</t>
  </si>
  <si>
    <t>mmmm</t>
  </si>
  <si>
    <t>RESERVAS VIGENCIA ANTERIOR</t>
  </si>
  <si>
    <t>PRESUPUESTO ASIGNADO EN LA VIGENCIA ACTUAL</t>
  </si>
  <si>
    <t>Recursos Programados</t>
  </si>
  <si>
    <t>Recursos Ejecutados (giros)</t>
  </si>
  <si>
    <t>Recursos Ejecutados</t>
  </si>
  <si>
    <t>Recursos girados</t>
  </si>
  <si>
    <t>AVANCE TRIMESTRE</t>
  </si>
  <si>
    <t>EXPLICACIÓN: Información correspondiente a reservas presupuestales.</t>
  </si>
  <si>
    <t>Avances y Logros (2.000 caracteres)</t>
  </si>
  <si>
    <t>EXPLICACIÓN: En este campo se deberá diligenciar lo relacionando a los logros y avances de forma acumulada e integrada.</t>
  </si>
  <si>
    <t>EXPLICACIÓN: En este campo se deberá diligenciar lo relacionando a las dificultades y alternativas de solución presentadas de forma acumulada e integrada.</t>
  </si>
  <si>
    <t>EXPLICACIÓN: En este campo se deberá diligenciar lo relacionando a los beneficios de forma acumulada e integrada.</t>
  </si>
  <si>
    <t xml:space="preserve"> EXPLICACIÓN: Este campo debe contener:
- El avance de la gestión mensual señalando las alertas que puedan afectar el cumplimiento de la actividad o producto. 
- El avance acumulado y los productos obtenidos, señalando las alternativas de solución que se emplearon para mitigar la alerta presentada.</t>
  </si>
  <si>
    <t>FORMULACIÓN Y SEGUIMIENTO PLAN DE ACCIÓN</t>
  </si>
  <si>
    <t>Página 2 de 3</t>
  </si>
  <si>
    <t xml:space="preserve">PROGRAMACIÓN </t>
  </si>
  <si>
    <t>DESCRIPCIÓN CUALITATIVA DEL AVANCE MES</t>
  </si>
  <si>
    <t>DESCRIPCIÓN CUALITATIVA DEL AVANCE ACUMULADO</t>
  </si>
  <si>
    <t>RETRASOS Y FACTORES LIMITANTES PARA EL CUMPLIMIENTO</t>
  </si>
  <si>
    <t>SOLUCIONES PROPUESTAS PARA RESOLVER LOS RETRASOS Y FACTORES LIMITANTES PARA EL CUMPLIMIENTO</t>
  </si>
  <si>
    <t>PRODUCTO INSTITUCIONAL (PMR):</t>
  </si>
  <si>
    <t>OBJETIVO ESTRATEGICO:</t>
  </si>
  <si>
    <t>Gestionar la puesta en marcha y articulación de un Sistema Distrital de Cuidado, que, bajo un modelo de corresponsabilidad en conjunto con otros actores como el sector privado, las comunidades y los hogares, asegure el acceso al cuidado para personas que requieren un nivel alto de apoyo</t>
  </si>
  <si>
    <t>NIVEL</t>
  </si>
  <si>
    <t>INFORMACIÓN PLANES OPERATIVOS ANUALES</t>
  </si>
  <si>
    <t xml:space="preserve"> META</t>
  </si>
  <si>
    <t>INDICADOR</t>
  </si>
  <si>
    <t>TIPO DE ANUALIZACIÓN  (Según aplique)</t>
  </si>
  <si>
    <t xml:space="preserve">MAGNITUD CUATRIENIO  (Según aplique) </t>
  </si>
  <si>
    <t>UNIDAD DE MEDIDAD</t>
  </si>
  <si>
    <t xml:space="preserve">DESCRIPCIÓN DE LA MEDICIÓN </t>
  </si>
  <si>
    <t>PROGRAMACIÓN ANUAL</t>
  </si>
  <si>
    <t>PERIODICIDAD</t>
  </si>
  <si>
    <t xml:space="preserve">MEDIOS DE VERIFICACIÓN </t>
  </si>
  <si>
    <t>PROGRAMACIÓN</t>
  </si>
  <si>
    <t xml:space="preserve">AVANCE META </t>
  </si>
  <si>
    <t>Meta sectorial</t>
  </si>
  <si>
    <t>Meta trazadora</t>
  </si>
  <si>
    <t>Meta estratégica</t>
  </si>
  <si>
    <t>PMR</t>
  </si>
  <si>
    <t xml:space="preserve"> De actividad  </t>
  </si>
  <si>
    <t>Otro</t>
  </si>
  <si>
    <t xml:space="preserve"> Proceso</t>
  </si>
  <si>
    <t>Planes Decreto 612</t>
  </si>
  <si>
    <t>MAGNITUD EJECUTADA</t>
  </si>
  <si>
    <t>AVANCE %</t>
  </si>
  <si>
    <t>Formular e implementar una estrategia pedagógica para la valoración, la resignificación, el reconocimiento y la redistribución del trabajo de cuidado no remunerado que realizan las mujeres en Bogotá</t>
  </si>
  <si>
    <t>Estrategia pedagógica para la valoración, la resignificación, el reconocimiento y la redistribución del trabajo de cuidado no remunerado implementada</t>
  </si>
  <si>
    <t>Creciente</t>
  </si>
  <si>
    <t>Estrategia</t>
  </si>
  <si>
    <t>Avance en la  implementación de la estrategia pedagógica para la valoración, la resignificación, el reconocimiento y la redistribución del trabajo de cuidado no remunerado que realizan las mujeres en Bogotá.</t>
  </si>
  <si>
    <t>Trimestral</t>
  </si>
  <si>
    <t xml:space="preserve">Documento consolidado del Sistema Distrital de Cuidado </t>
  </si>
  <si>
    <t>Ninguno</t>
  </si>
  <si>
    <t>Formular las bases técnicas y coordinar la implementación del sistema distrital del cuidado</t>
  </si>
  <si>
    <t>Porcentaje de avance en la definición técnica y coordinación para la implementación del sistema distrital de cuidado</t>
  </si>
  <si>
    <t>Suma</t>
  </si>
  <si>
    <t>Porcentaje</t>
  </si>
  <si>
    <t>Avance en la construcción del documento de lineamientos técnicos para la formulación de las bases del Sistema Distrital de Cuidado y los resultados de articulación con las entidades distritales que hacen parte del sistema</t>
  </si>
  <si>
    <t>Gestionar la implementación, en la ciudad y la ruralidad, de la estrategia de manzanas del cuidado y unidades móviles de servicios del cuidado para las personas que requieren cuidado y para los y las cuidadoras de personas y animales domésticos</t>
  </si>
  <si>
    <t>Estrategias de manzanas del cuidado y unidades móviles de servicios del cuidado implementadas</t>
  </si>
  <si>
    <t>Informes de gestión de las manzanas y unidades de cuidado implementadas</t>
  </si>
  <si>
    <t>Gestión del Sistema Distrital de Cuidado</t>
  </si>
  <si>
    <t>Número de mujeres formadas en cuidados, en el marco de la estrategia cuidado a cuidadoras</t>
  </si>
  <si>
    <t>Mujeres formadas</t>
  </si>
  <si>
    <t>Mujeres únicas formadas (Incluye certificadas).</t>
  </si>
  <si>
    <t>Mensual</t>
  </si>
  <si>
    <t>SiMisional</t>
  </si>
  <si>
    <t xml:space="preserve">El número total de cuidadoras graduadas en el mes de junio fue de 300
En cuanto al proceso de Homologación de Saberes, se certificaron 71 cuidadoras certificadas en el mes de junio. </t>
  </si>
  <si>
    <t>Durante lo corrido del año, se ha logrado que 1.220 cuidadoras se graduen en cursos de formación complementaria. y en cuanto al proceso de Homologación de Saberes, se han certificado a 264 cuidadoras. En este sentido, el balance total es de 1.484</t>
  </si>
  <si>
    <t>De acuerdo a la programación, a mayo se deberian terener 2.000 mujeres unicas formadas y certificadas. Sin embargo la ejecución acumulada es de 1.484 lo que representa un avance del 74,2%. Este retraso se presenta por efecto de que los cursos son dictados y certificados por un tercero, lo que conlleva a que el proceso de validar la información de los beneficuarios toma un tiempo. No osbtante, se esta trabajando en agilizar el procesony en este sentido.</t>
  </si>
  <si>
    <t>Se esta trabajando en agilizar los procesos de validación de las beneficiarias del curso.</t>
  </si>
  <si>
    <t>Número de personas vinculadas a los talleres de cambio cultural</t>
  </si>
  <si>
    <t>Personas vinculadas</t>
  </si>
  <si>
    <t xml:space="preserve">Número de personas vinculadas en talleres presenciales y virtual de cambio cultural.  </t>
  </si>
  <si>
    <t>En el mes de junio se implementaron 62 talleres 46 Cambio Cultural, a través de los cuales se vincularon 454 beneficiarias</t>
  </si>
  <si>
    <t>Durante lo corrido del año, se han vinculado en talleres de cambio cultural a 2.709 beneficiarios.</t>
  </si>
  <si>
    <t>Número de manzanas inauguradas</t>
  </si>
  <si>
    <t>Manzanas puestas en operación</t>
  </si>
  <si>
    <t>Número de manzanas del cuidado puestas en operación en Bogotá</t>
  </si>
  <si>
    <t/>
  </si>
  <si>
    <t>Implementar la estrategia territorial y los servicios que presta la Dirección del Sistema de Cuidado, así como liderar la coordinación intersectorial a nivel distrital.</t>
  </si>
  <si>
    <t xml:space="preserve">Porcentaje de cumplimiento de la programación para la implementación del Sistema Distrital de Cuidado durante la vigencia anual </t>
  </si>
  <si>
    <t xml:space="preserve">Constante </t>
  </si>
  <si>
    <t xml:space="preserve">Porcentaje </t>
  </si>
  <si>
    <t xml:space="preserve">Avance en la implementación del Sistema Distrital de Cuidado </t>
  </si>
  <si>
    <t xml:space="preserve">Matriz de programación mensual </t>
  </si>
  <si>
    <t xml:space="preserve">Durante el mes de junio de 2023, se logró avanzar en las gestiones para la  inaguración de la Manzana del Cuidado en la localidad de Antonio Nariño, la cual está proyectada para el 24 de julio del 2023. Con relación a los talleres de cambio cultural, a traves de estos se logró antender 454 personas y frente a las orientaciones psicosociales, jurídicas y psico jurídicas, se logro atender a 1.027 personas. </t>
  </si>
  <si>
    <t>ELABORÓ</t>
  </si>
  <si>
    <t xml:space="preserve">Firma: </t>
  </si>
  <si>
    <t>APROBÓ (Según aplique Gerenta de proyecto, Lider técnica y responsable de proceso)</t>
  </si>
  <si>
    <t>Firma:</t>
  </si>
  <si>
    <t>REVISÓ OFICINA ASESORA DE PLANEACIÓN</t>
  </si>
  <si>
    <t xml:space="preserve">VoBo. </t>
  </si>
  <si>
    <t>Nombre:  Jacqueline Marín Pérez</t>
  </si>
  <si>
    <t>Nombre: Angie Paola Mesa Rojas</t>
  </si>
  <si>
    <t>Nombre:</t>
  </si>
  <si>
    <t>Nombre: Catalina Campos Romero</t>
  </si>
  <si>
    <t>Cargo:  Profesional Universitario</t>
  </si>
  <si>
    <t xml:space="preserve">Cargo:  Subsecretaría del Cuidado y Políticas de Igualdad </t>
  </si>
  <si>
    <t xml:space="preserve">Cargo: </t>
  </si>
  <si>
    <t>Cargo: Jefa Oficina Asesora de Planeación</t>
  </si>
  <si>
    <t>cambio cultural</t>
  </si>
  <si>
    <t>cuidado a cuidaoras</t>
  </si>
  <si>
    <t xml:space="preserve">FORMULACIÓN Y SEGUIMIENTO PLAN DE ACCIÓN </t>
  </si>
  <si>
    <t>ANEXO - TERRITORIALIZACIÓN</t>
  </si>
  <si>
    <t>Página 3 de 3</t>
  </si>
  <si>
    <t xml:space="preserve">SEGUIMIENTO </t>
  </si>
  <si>
    <t>PERIODO DE REPORTE:</t>
  </si>
  <si>
    <t>INDICADOR / META:</t>
  </si>
  <si>
    <t>Número de mujeres formadas en cuidados, en el marco de la Estrategia de Cuidado a Cuidadoras. La meta para el año 2023 son 4.000 cuidadoras</t>
  </si>
  <si>
    <t>LOCALIDAD</t>
  </si>
  <si>
    <t>TOTAL POR LOCALIDAD</t>
  </si>
  <si>
    <t xml:space="preserve">ENFOQUE DIFERENCIAL </t>
  </si>
  <si>
    <t>GRUPO ETARIO</t>
  </si>
  <si>
    <t>Magnitud</t>
  </si>
  <si>
    <t>Presupuesto</t>
  </si>
  <si>
    <t>Indigenas</t>
  </si>
  <si>
    <t>Afrodescendientes</t>
  </si>
  <si>
    <t>Raizales</t>
  </si>
  <si>
    <t>Rrom</t>
  </si>
  <si>
    <t>Discapacidad</t>
  </si>
  <si>
    <t>LGBTI</t>
  </si>
  <si>
    <t>Menor de 12</t>
  </si>
  <si>
    <t>Entre 12 y 14</t>
  </si>
  <si>
    <t>Entre 15 y 28</t>
  </si>
  <si>
    <t>Entre 29 y 59</t>
  </si>
  <si>
    <t xml:space="preserve">Igual o mayo a 60 </t>
  </si>
  <si>
    <t>No responde</t>
  </si>
  <si>
    <t xml:space="preserve">Bogotá Distrito Capital </t>
  </si>
  <si>
    <t>1. Usaquen</t>
  </si>
  <si>
    <t>2. Chapinero</t>
  </si>
  <si>
    <t>3. Santafe</t>
  </si>
  <si>
    <t>4. San Cristobal</t>
  </si>
  <si>
    <t>5. Usme</t>
  </si>
  <si>
    <t>6. Tunjuelito</t>
  </si>
  <si>
    <t>7. Bosa</t>
  </si>
  <si>
    <t>8. Kennedy</t>
  </si>
  <si>
    <t>9. Fontibon</t>
  </si>
  <si>
    <t>10. Engativa</t>
  </si>
  <si>
    <t>11. Suba</t>
  </si>
  <si>
    <t>12. Barrios Unidos</t>
  </si>
  <si>
    <t>13. Teusaquillo</t>
  </si>
  <si>
    <t>14. Los Martires</t>
  </si>
  <si>
    <t>15. Antonio Nariño</t>
  </si>
  <si>
    <t>16. Puente Aranda</t>
  </si>
  <si>
    <t>17. La Candelaria</t>
  </si>
  <si>
    <t>18. Rafael Uribe Uribe</t>
  </si>
  <si>
    <t>19. Ciudad Bolivar</t>
  </si>
  <si>
    <t>20. Sumapaz</t>
  </si>
  <si>
    <t>TOTAL POR MES</t>
  </si>
  <si>
    <t xml:space="preserve">Número de personas vinculadas a los talleres de cambio cultural. La meta para el año 2023 son 5.000 ciudadanas y ciudadanos
(Criterio de territorialización para este indicador: Se toma el territorio donde se desarrolló el taller de cambio cultural, para aquellos que no reportan localidad, se reportará en Bogotá Distrito Capital. </t>
  </si>
  <si>
    <t>PRODUCTO INSTITUCIONAL</t>
  </si>
  <si>
    <t xml:space="preserve">PROCESO ASOCIADO - PLAN OPERATIVO </t>
  </si>
  <si>
    <t xml:space="preserve">NOMBRE PROYECTO DE INVERSIÓN </t>
  </si>
  <si>
    <t>NOMBRE META / INDICADOR</t>
  </si>
  <si>
    <t>UNIDAD DE MEDIDA</t>
  </si>
  <si>
    <t xml:space="preserve">TIPO DE ANUALIZACIÓN </t>
  </si>
  <si>
    <t xml:space="preserve">GRUPO ETARIO </t>
  </si>
  <si>
    <t>PLANES DECRETO 612</t>
  </si>
  <si>
    <t>1. Vida libre de Violencias y justicia con enfoque de género para las mujeres</t>
  </si>
  <si>
    <t>DIRECCIONAMIENTO ESTRATÉGICO</t>
  </si>
  <si>
    <t>7662.Fortalecimiento a la gestión institucional de la SDMujer en Bogotá</t>
  </si>
  <si>
    <t>INDICADORES PMR</t>
  </si>
  <si>
    <t>MUJERES</t>
  </si>
  <si>
    <t xml:space="preserve">CRECIENTE </t>
  </si>
  <si>
    <t>Infancia (Menor de 12 años)</t>
  </si>
  <si>
    <t xml:space="preserve">Discapacidad </t>
  </si>
  <si>
    <t>Plan institucional de archivos - PINAR</t>
  </si>
  <si>
    <t>2. Gestión del conocimiento e información para la toma de decisiones y garantía de derechos de las mujeres</t>
  </si>
  <si>
    <t xml:space="preserve">PLANEACIÓN Y GESTIÓN </t>
  </si>
  <si>
    <t>7668.Levantamiento y análisis de información para la garantía de derechos de las mujeres en Bogotá</t>
  </si>
  <si>
    <t>35.Mujeres atendidas en Casas de Justicia, escenarios de Fiscalía y Sede Central</t>
  </si>
  <si>
    <t>MUJERES, HIJOS E HIJAS</t>
  </si>
  <si>
    <t>DECRECIENTE</t>
  </si>
  <si>
    <t>Juventud (Entre 12 y 14 años)</t>
  </si>
  <si>
    <t>Plan Anual de Adquisiciones</t>
  </si>
  <si>
    <t>3. Igualdad de oportunidades y desarrollo de capacidades para las mujeres</t>
  </si>
  <si>
    <t xml:space="preserve">COMUNICACIÓN ESTRATÉGICA </t>
  </si>
  <si>
    <t>7671.Implementación de acciones afirmativas dirigidas a las mujeres con enfoque diferencial y de género en Bogotá</t>
  </si>
  <si>
    <t xml:space="preserve">31.Casos nuevos de violencias contra las mujeres con representación jurídica en instancias judiciales y administrativas </t>
  </si>
  <si>
    <t>INTERVENCIONES</t>
  </si>
  <si>
    <t xml:space="preserve">CONSTANTE </t>
  </si>
  <si>
    <t>Juventud (Entre 15 y 28 años)</t>
  </si>
  <si>
    <t>Plan anticorrupción y de atención al ciudadano</t>
  </si>
  <si>
    <t>4. Inclusión y equidad de género en la participación y la representación de las mujeres</t>
  </si>
  <si>
    <t>GESTIÓN DEL CONOCIMIENTO</t>
  </si>
  <si>
    <t>7672.Contribución acceso efectivo de las mujeres a la justicia con enfoque de género y de la ruta integral de atención para el acceso a la justicia de las mujeres en Bogotá</t>
  </si>
  <si>
    <t>36.Número de mujeres víctimas de violencias y su sistema familiar, acogidas y atendidas a través del modelo de Casas Refugio incluyendo modalidad intermedia de acogida y ruralidad</t>
  </si>
  <si>
    <t>CONSULTAS</t>
  </si>
  <si>
    <t>SUMA</t>
  </si>
  <si>
    <t>Adultez (Entre 29 y 59 años)</t>
  </si>
  <si>
    <t xml:space="preserve">Plan de incentivos institucionales </t>
  </si>
  <si>
    <t>5. Sistema Distrital de Cuidado</t>
  </si>
  <si>
    <t>PREVENCIÓN Y ATENCIÓN INTEGRAL A MUJERES VÍCTIMAS DE VIOLENCIA</t>
  </si>
  <si>
    <t>7673.Desarrollo de capacidades para aumentar la autonomía y empoderamiento de las mujeres en toda su diversidad en Bogotá</t>
  </si>
  <si>
    <t>37.Número de atenciones a mujeres víctimas de violencias, a través de las Duplas de atención psicosocial</t>
  </si>
  <si>
    <t>CASAS</t>
  </si>
  <si>
    <t>Mayores (Igual o superior a 60 años)</t>
  </si>
  <si>
    <t>Plan de previsión de recursos humanos</t>
  </si>
  <si>
    <t>PROMOCIÓN DEL ACCESO A LA JUSTICICA PARA LAS MUJERES</t>
  </si>
  <si>
    <t>7675.Implementación de la Estrategia de Territorialización de la Política Pública de Mujeres y Equidad de Género a través de las Casas de Igualdad de Oportunidades para las Mujeres en Bogotá</t>
  </si>
  <si>
    <t xml:space="preserve">18.Número de mujeres participantes en las actividades implementadas en el marco de los Planes Locales de Seguridad para las Mujeres </t>
  </si>
  <si>
    <t>PERSONAS</t>
  </si>
  <si>
    <t>Plan institucional de capacitación - PIC</t>
  </si>
  <si>
    <t xml:space="preserve">PROMOCIÓN DE LA PARTICIPACIÓN Y REPRESENTACIÓN DE LAS MUJERES </t>
  </si>
  <si>
    <t>7676.Fortalecimiento a los liderazgos para la inclusión y equidad de género en la participación y la representación política en Bogotá</t>
  </si>
  <si>
    <t>32.Atenciones efectivas a través de la Línea Púrpura Distrital</t>
  </si>
  <si>
    <t>ATENCIONES</t>
  </si>
  <si>
    <t xml:space="preserve">Plan estrategico de Talento Humano </t>
  </si>
  <si>
    <t>TRANSVERSALIZACIÓN DEL ENFOQUE DE GÉNERO Y DIFERENCIAL PARA MUJERES</t>
  </si>
  <si>
    <t>7718.Implementación del Sistema Distrital de Cuidado en Bogotá</t>
  </si>
  <si>
    <t xml:space="preserve">38.Número de ciudadanos y ciudadanas informados a partir de la implementación de estrategias de divulgación pedagógica con enfoques de género y de derechos </t>
  </si>
  <si>
    <t>ORIENTACIONES Y ASESORÍAS</t>
  </si>
  <si>
    <t>Plan Anual de vacantes</t>
  </si>
  <si>
    <t>TERRITORIALIZACIÓN DE LA POLÍTICA PÚBLICA</t>
  </si>
  <si>
    <t>7734.Fortalecimiento a la implementación del Sistema Distrital de Protección integral a las mujeres víctimas de violencias - SOFIA en Bogotá</t>
  </si>
  <si>
    <t>34.Estudios y/o investigaciones producidas y divulgadas por el Observatorio de Mujer y Equidad de Género, con relación a situaciones y derechos de las mujeres en Bogotá</t>
  </si>
  <si>
    <t>ORIENTACIONES</t>
  </si>
  <si>
    <t xml:space="preserve">Plan trabajo anual en seguridad y salud en el trabajo </t>
  </si>
  <si>
    <t xml:space="preserve">GESTIÓN DE LAS POLÍTICAS PÚBLICAS </t>
  </si>
  <si>
    <t>7738.Implementación de Políticas Públicas lideradas por la Secretaria de la Mujer y Transversalización de género para promover igualdad, desarrollo de capacidades y reconocimiento de las mujeres de Bogotá</t>
  </si>
  <si>
    <t>12.Número de mujeres vinculadas a procesos de las Casas de Igualdad de Oportunidades</t>
  </si>
  <si>
    <t>ESTUDIOS Y/O INVESTIGACIONES</t>
  </si>
  <si>
    <t xml:space="preserve">Plan estrategico de tecnología de la información y privacidad de la información </t>
  </si>
  <si>
    <t xml:space="preserve">DESARROLLO DE CAPACIDADES PARA LA VIDA DE LAS MUJERES </t>
  </si>
  <si>
    <t>7739.Implementación de estrategia de divulgación pedagógica con enfoques de género y de derechos Bogotá</t>
  </si>
  <si>
    <t>39.Atenciones socio jurídicas brindadas a través de la Estrategia Casa de Todas, a mujeres que realizan actividades sexuales pagadas (asesorias, seguimientos y valoraciones iniciales)</t>
  </si>
  <si>
    <t>CONTENIDOS</t>
  </si>
  <si>
    <t xml:space="preserve">Plan de seguridad y privacidad de la información </t>
  </si>
  <si>
    <t>GESTIÓN DEL SISTEMA DISTRITAL DE CUIDADO</t>
  </si>
  <si>
    <t>40.Atenciones psicosociales brindadas a través de la Estrategia Casa de Todas, a mujeres que realizan actividades sexuales pagadas (asesorias, seguimientos y valoraciones iniciales)</t>
  </si>
  <si>
    <t>CASOS NUEVOS</t>
  </si>
  <si>
    <t>Plan de participación ciudadana</t>
  </si>
  <si>
    <t>GESTIÓN  TALENTO HUMANO</t>
  </si>
  <si>
    <t>41.Atenciones en trabajo social brindadas a través de la Estrategia Casa de Todas, a mujeres que realizan actividades sexuales pagadas (asesorias, seguimientos y valoraciones iniciales)</t>
  </si>
  <si>
    <t>CIUDADANOS Y CIUDADANAS</t>
  </si>
  <si>
    <t>GESTIÓN CONTRACTUAL</t>
  </si>
  <si>
    <t xml:space="preserve">42.Número de contenidos diseñados para el desarrollo de capacidades socioemocionales, ocupacionales, técnicas y educación financiera para las mujeres (Módulos y diplomados) </t>
  </si>
  <si>
    <t>PORCIENTO</t>
  </si>
  <si>
    <t>GESTIÓN ADMINISTRATIVA</t>
  </si>
  <si>
    <t>29.Mujeres formadas en derechos a través de procesos de desarrollo de capacidades en los Centros de Inclusión Digital</t>
  </si>
  <si>
    <t>GESTIÓN FINANCIERA</t>
  </si>
  <si>
    <t xml:space="preserve">30.Número de orientaciones y asesorías socio jurídicas con enfoque de derechos de las mujeres y enfoque de género a través de las Casas de Igualdad de Oportunidades para las Mujeres </t>
  </si>
  <si>
    <t>GESTIÓN DOCUMENTAL</t>
  </si>
  <si>
    <t xml:space="preserve">108.Número de orientaciones  y acompañamientos psicosociales a mujeres a través de las Casas de Igualdad de Oportunidades para las Mujeres </t>
  </si>
  <si>
    <t>GESTIÓN JURÍDICA</t>
  </si>
  <si>
    <t xml:space="preserve">33.Número de mujeres vinculadas a procesos formativos para el desarrollo de capacidades de incidencia, liderazgo, empoderamiento y participación política </t>
  </si>
  <si>
    <t xml:space="preserve">GESTIÓN TECNOLÓGICA </t>
  </si>
  <si>
    <t>43.Número de mujeres formadas en cuidados, en el marco de la estrategia cuidado a cuidadoras</t>
  </si>
  <si>
    <t>ATENCIÓN A LA CIUDADANÍA</t>
  </si>
  <si>
    <t>44.Número de atenciones brindadas a través de Espacios respiro, en el marco de la estrategia cuidado a cuidadoras</t>
  </si>
  <si>
    <t xml:space="preserve">SEGUIMIENTO, EVALUACIÓN Y CONTROL </t>
  </si>
  <si>
    <t>45.Número de atenciones de relevo de cuidado en casa, en el marco de la estrategia cuidado a cuidadoras</t>
  </si>
  <si>
    <t>GESTIÓN DISCIPLINARIA</t>
  </si>
  <si>
    <t>46.Número de personas vinculadas a los talleres de cambio cultural</t>
  </si>
  <si>
    <t>METAS SECTORIALES</t>
  </si>
  <si>
    <t>INDICADORES PDD</t>
  </si>
  <si>
    <t>9. Aumentar en un 30% el número de mujeres formadas en los centros de inclusión digital.</t>
  </si>
  <si>
    <t>9. Número de mujeres formadas en los Centros de Inclusión Digital</t>
  </si>
  <si>
    <t>10. Diseñar y acompañar la estrategia de emprendimiento y empleabilidad para la autonomía económica de las mujeres</t>
  </si>
  <si>
    <t>10. Porcentaje de avance en el diseño y acompañamiento de la estrategia de emprendimiento y empleabilidad para la autonomía económica de las mujeres</t>
  </si>
  <si>
    <t>11. Territorializar la política pública de mujeres y equidad de género a través de las Casas de Igualdad de Oportunidades en las 20 localidades</t>
  </si>
  <si>
    <t>11. Número de localidades con el modelo de atención Casas de Igualdad de Oportunidades para las mujeres implementado</t>
  </si>
  <si>
    <t>667. Número de mujeres vinculadas a procesos de información, sensibilización y campañas de difusión de sus derechos</t>
  </si>
  <si>
    <t>668. Número de orientaciones y acompañamientos psicosociales a mujeres</t>
  </si>
  <si>
    <t>669. Número de orientaciones y asesorías socio jurídicas a mujeres víctimas de violencias</t>
  </si>
  <si>
    <t>37. Diseñar acciones afirmativas con enfoque diferencial, para desarrollar capacidades y promover el bienestar socio emocional y los derechos de las mujeres en todas sus diversidades, en los sectores de la administración distrital y en las localidades</t>
  </si>
  <si>
    <t>39. Número de sectores que implementan acciones afirmativas con enfoque diferencial para desarrollar capacidades y promover los derechos de las mujeres en todas sus diversidades</t>
  </si>
  <si>
    <t xml:space="preserve">38. Implementar la política pública de mujeres y equidad de género en los sectores responsables del cumplimiento de su plan de acción </t>
  </si>
  <si>
    <t>40. Política Pública de Mujeres y Equidad de Género implementada en articulación con los sectores responsables en su Plan de Acción</t>
  </si>
  <si>
    <t>39. Incorporar de manera transversal, en los 15 sectores de la administración distrital y en las localidades, el enfoque de género y de derechos de las mujeres</t>
  </si>
  <si>
    <t>41. Estrategia de transversalización implementada en los 15 sectores de la Administración Distrital</t>
  </si>
  <si>
    <t>52. Formular e implementar una estrategia pedagógica para la valoración, la resignificación, el reconocimiento y la redistribución del trabajo de cuidado no remunerado que realizan las mujeres en Bogotá</t>
  </si>
  <si>
    <t>54. Estrategia pedagógica para la valoración, la resignificación, el reconocimiento y la redistribución del trabajo de cuidado no remunerado implementada</t>
  </si>
  <si>
    <t>53. Formular las bases técnicas y coordinar la implementación del sistema distrital del cuidado</t>
  </si>
  <si>
    <t>55. Porcentaje de avance en la definición técnica y coordinación para la implementación del sistema distrital de cuidado</t>
  </si>
  <si>
    <t>56. Gestionar la implementación, en la ciudad y la ruralidad, de la estrategia de manzanas del cuidado y unidades móviles de servicios del cuidado para las personas que requieren cuidado y para los y las cuidadoras de personas y animales domésticos</t>
  </si>
  <si>
    <t>58. Estrategias de manzanas del cuidado y unidades móviles de servicios del cuidado implementadas</t>
  </si>
  <si>
    <t>304. Alcanzar al menos el 80% de efectividad (respuesta inmediata, llamadas devueltas y contactos por chat) en la atención de la linea purpura  “Mujeres escuchan mujeres” integrando un equipo de la misma a la linea de emergencias 123</t>
  </si>
  <si>
    <t>324. Efectividad en la atención de la Línea Púrpura</t>
  </si>
  <si>
    <t>305. Ampliar a 6 el modelo de operación de Casa refugio priorizando la ruralidad (Acuerdo 631/2015) y modalidad intermedia.</t>
  </si>
  <si>
    <t>325. Número de Casas Refugio en operación</t>
  </si>
  <si>
    <t>306. Diseñar e implementar estrategias de divulgación pedagógica y de transformación cultural para el cambio social con enfoques de género, diferencial, de derechos de las mujeres e interseccional que articulen la oferta institucional con el ejercicio pleno de los derechos de las mujeres</t>
  </si>
  <si>
    <t>326. Número de estrategias de comunicación y divulgación con enfoque de género, diferencial e interseccional diseñadas e implementadas</t>
  </si>
  <si>
    <t>307. Implementar en 7 casas de justicia priorizadas un modelo de atención con ruta integral para mujeres y Garantizar en 8 casas de justicia y CAPIV - CENTROS DE ATENCIÓN PENAL INTEGRAL PARA VICTIMAS y CAIVAS - CENTROS DE ATENCIÓN INTEGRAL A VICTIMAS DE ABUSO SEXUAL la estrategia de justicia de género</t>
  </si>
  <si>
    <t>327. Número de mujeres atendidas con perspectiva de género y derechos de las mujeres a través de Casas de Justicia y espacios de atención integral de la Fiscalía (CAPIV, CAIVAS)</t>
  </si>
  <si>
    <t>308. Implementar una estrategia semi permanente para la protección de las mujeres víctimas de violencia y su acceso a la justicia en 3 Unidades de Reacción Inmediata - URI de la Fiscalía General de la Nación y articulada a la línea 123 y Línea púrpura</t>
  </si>
  <si>
    <t>328. Número de URIs con estrategia de atención semi permanente para la protección de las mujeres víctimas de violencia y acceso a la justicia implementada</t>
  </si>
  <si>
    <t>309. Implementar el protocolo de prevención, atención, y sanción a la violencia contra las mujeres en el transporte público que garantice la atención del 100% de los casos y promueva su disminución.</t>
  </si>
  <si>
    <t>329. Acciones estratégicas realizadas en el marco de los componentes del Sistema SOFIA</t>
  </si>
  <si>
    <t>452. Crear y fortalecer la infraestructura tecnológica del Observatorio de Mujer y Equidad de Género que permita la articulación con los sectores distritales pertinentes</t>
  </si>
  <si>
    <t>487. Porcentaje de avance en la creación y fortalecimiento de infraestructura tecnológica del OMEG para la articulación con los sectores distritales</t>
  </si>
  <si>
    <t>454. Diseñar e implementar investigaciones  para diagnosticar y divulgar la situación de los derechos de las mujeres y transversalizar el enfoque de género y diferencial metodológicamente</t>
  </si>
  <si>
    <t>489. Investigaciones realizadas</t>
  </si>
  <si>
    <t>404. Alcanzar la paridad en al menos el 50% de las instancias de participación del Distrito Capital</t>
  </si>
  <si>
    <t>431. Porcentaje de instancias con participación paritaria en el Distrito</t>
  </si>
  <si>
    <t>426. Implementar una estrategia de formación para el desarrollo de capacidades de incidencia, liderazgo, empoderamiento y participación política de las Mujeres</t>
  </si>
  <si>
    <t>459. Número de mujeres vinculadas a procesos de formación para el desarrollo de capacidades de incidencia, liderazgo, empoderamiento y participación política de las mujeres</t>
  </si>
  <si>
    <t>428. Incorporar e implementar el enfoque de género y diferencial en los ejercicios de los presupuestos participativos.</t>
  </si>
  <si>
    <t>461. Documento de lineamiento de presupuesto participativo sensible al género, formulado y adoptado</t>
  </si>
  <si>
    <t>518. Implementar buenas prácticas de gestión administrativa y organizacional para el cumplimiento de las metas misionales a cargo de la Secretaría Distrital de la Mujer</t>
  </si>
  <si>
    <t>567. Número de buenas prácticas de gestión administrativa y organizacionales implementadas</t>
  </si>
  <si>
    <t>METAS ESTRATEGICAS</t>
  </si>
  <si>
    <t>Número de acciones estratégicas realizadas para la prevención, atención y sanción de las violencias contra las mujeres en el marco de los componente del Sistema Sofía</t>
  </si>
  <si>
    <t>Porcentaje (%) de Implementación de la estrategia para enfrentar y prevenir el acoso contra la mujer dentro del sistema Transmilenio</t>
  </si>
  <si>
    <t>METAS TRAZADORAS</t>
  </si>
  <si>
    <t>Disminuir el porcentaje de percepción de las mujeres que consideran que las mujeres son mejores para el trabajo doméstico que los hombres</t>
  </si>
  <si>
    <t>Disminuir el porcentaje de percepción de los hombres que consideran que las mujeres son mejores para el trabajo doméstico que los hombres</t>
  </si>
  <si>
    <t>Número de registros por presunto delito sexual</t>
  </si>
  <si>
    <t>Reducir el porcentaje de aceptación social a las violencias contra las mujeres</t>
  </si>
  <si>
    <t>PESTAÑA No. 1 METAS PA PROYECTO</t>
  </si>
  <si>
    <t>ITEM</t>
  </si>
  <si>
    <t xml:space="preserve">DESCRIPCIÓN </t>
  </si>
  <si>
    <t>En este campo se debe diligenciar la fecha en que es radicado el intrumento.</t>
  </si>
  <si>
    <r>
      <rPr>
        <sz val="11"/>
        <color indexed="8"/>
        <rFont val="Times New Roman"/>
        <family val="1"/>
      </rPr>
      <t>En este campo se selecciona según aplique.</t>
    </r>
    <r>
      <rPr>
        <b/>
        <sz val="11"/>
        <color indexed="8"/>
        <rFont val="Times New Roman"/>
        <family val="1"/>
      </rPr>
      <t xml:space="preserve">
Programación: </t>
    </r>
    <r>
      <rPr>
        <sz val="11"/>
        <color indexed="8"/>
        <rFont val="Times New Roman"/>
        <family val="1"/>
      </rPr>
      <t xml:space="preserve">Corresponde al proceso de formulación del plan de acción, el cual se realiza una vez por vigencia. </t>
    </r>
    <r>
      <rPr>
        <b/>
        <sz val="11"/>
        <color indexed="8"/>
        <rFont val="Times New Roman"/>
        <family val="1"/>
      </rPr>
      <t xml:space="preserve">
Actualización: </t>
    </r>
    <r>
      <rPr>
        <sz val="11"/>
        <color indexed="8"/>
        <rFont val="Times New Roman"/>
        <family val="1"/>
      </rPr>
      <t xml:space="preserve">Corresponde al proceso mediante el cual la gerencia del proyecto modifica o ajusta la información contenida en la formulación. 
</t>
    </r>
    <r>
      <rPr>
        <b/>
        <sz val="11"/>
        <color indexed="8"/>
        <rFont val="Times New Roman"/>
        <family val="1"/>
      </rPr>
      <t xml:space="preserve">Seguimiento: </t>
    </r>
    <r>
      <rPr>
        <sz val="11"/>
        <color indexed="8"/>
        <rFont val="Times New Roman"/>
        <family val="1"/>
      </rPr>
      <t xml:space="preserve">Corresponde al proceso de reporte de avance de las metas y actividades programadas. </t>
    </r>
  </si>
  <si>
    <t xml:space="preserve">En estos campos se debe diligenciar el detalle de la estructura Plan de Desarrollo vigente, bajo la cual se encuentra articulado el proyecto de inversión </t>
  </si>
  <si>
    <t>PROGRMA</t>
  </si>
  <si>
    <t>En este campo se debe diligenciar el mes de reporte de la información. Favor recordar que la información debe ser acumulada vigencia.</t>
  </si>
  <si>
    <t>En este campo se debe diligenciar la información correspondiente al presupuesto programado y recursos ejecutados, según aplique vigencia y reservas. (Cifras en pesos)</t>
  </si>
  <si>
    <t>En este campo se debe diligenciar el peso porcentual de la meta con relación al total de las metas (100%) del proyecto de inversión y la ponderacion vertical de las actividades, este peso debe estar directamente relacionado con la asignación presupuestal y la relevancia técnica.</t>
  </si>
  <si>
    <t>CRONOGRAMA</t>
  </si>
  <si>
    <t xml:space="preserve">En este campo se debe diligenciar la ponderación horizontal de las actividades a desarrollar para el cumplimiento de las metas durante la vigencia. </t>
  </si>
  <si>
    <t>META (PROGRAMACIÓN Y SEGUIMIENTO)</t>
  </si>
  <si>
    <t xml:space="preserve">En este campo se debe diligenciar la magnitud física de la meta programada y ejecutada de acuerdo con la unidad de medida de la meta, según aplique vigencia o reserva. </t>
  </si>
  <si>
    <t>REPORTE METAS VIGENCIA ANTERIOR
DESCRIPCIÓN CUALITATIVA DEL AVANCE POR META
(Logros y beneficios, y retrasos y alternativas de solución (2.000 caracteres))</t>
  </si>
  <si>
    <t xml:space="preserve">En este campo se debe diligenciar la información correspondiente a las reservas presupuestales, se debe relacionar si aporta al cumplimiento de la magnitud física de la meta. </t>
  </si>
  <si>
    <t xml:space="preserve">REPORTE METAS VIGENCIA
DESCRIPCIÓN CUALITATIVA DEL AVANCE POR META </t>
  </si>
  <si>
    <r>
      <t xml:space="preserve">Avances y Logros (2.000 caracteres): </t>
    </r>
    <r>
      <rPr>
        <sz val="11"/>
        <color indexed="8"/>
        <rFont val="Times New Roman"/>
        <family val="1"/>
      </rPr>
      <t>En este campo se debe diligenciar lo relacionando a los logros y avances de la meta de forma acumulada e integrada.</t>
    </r>
    <r>
      <rPr>
        <b/>
        <sz val="11"/>
        <color indexed="8"/>
        <rFont val="Times New Roman"/>
        <family val="1"/>
      </rPr>
      <t xml:space="preserve">
Retrasos y Alternativas de solución (1.000 caracteres): </t>
    </r>
    <r>
      <rPr>
        <sz val="11"/>
        <color indexed="8"/>
        <rFont val="Times New Roman"/>
        <family val="1"/>
      </rPr>
      <t xml:space="preserve">En este campo se debe diligenciar lo relacionando a las dificultades y alternativas de solución presentadas de forma acumulada e integrada. En el caso de no presentarse retrasos en el periodo de reporte, incluir una nota indicando que las cifras son acordes con la programación. </t>
    </r>
    <r>
      <rPr>
        <b/>
        <sz val="11"/>
        <color indexed="8"/>
        <rFont val="Times New Roman"/>
        <family val="1"/>
      </rPr>
      <t xml:space="preserve">
Beneficios (2.000 caracteres): </t>
    </r>
    <r>
      <rPr>
        <sz val="11"/>
        <color indexed="8"/>
        <rFont val="Times New Roman"/>
        <family val="1"/>
      </rPr>
      <t xml:space="preserve">En este campo se debe diligenciar lo relacionando a los beneficios de forma acumulada e integrada.
</t>
    </r>
    <r>
      <rPr>
        <b/>
        <sz val="11"/>
        <color indexed="8"/>
        <rFont val="Times New Roman"/>
        <family val="1"/>
      </rPr>
      <t xml:space="preserve">
Nota:</t>
    </r>
    <r>
      <rPr>
        <sz val="11"/>
        <color indexed="8"/>
        <rFont val="Times New Roman"/>
        <family val="1"/>
      </rPr>
      <t xml:space="preserve"> El número límite de cartarteres se establece t</t>
    </r>
    <r>
      <rPr>
        <sz val="11"/>
        <color indexed="8"/>
        <rFont val="Times New Roman"/>
        <family val="1"/>
      </rPr>
      <t xml:space="preserve">eniendo en cuenta lo permitido en el sistema SEGPLAN, se recomienda dejar la información que se considere estratégica desde el área misional y de mayor relevancia. </t>
    </r>
  </si>
  <si>
    <t>PESTAÑA No. 2 INDICADORES PA</t>
  </si>
  <si>
    <r>
      <rPr>
        <sz val="11"/>
        <color indexed="8"/>
        <rFont val="Times New Roman"/>
        <family val="1"/>
      </rPr>
      <t>En este campo se selecciona según aplique.</t>
    </r>
    <r>
      <rPr>
        <b/>
        <sz val="11"/>
        <color indexed="8"/>
        <rFont val="Times New Roman"/>
        <family val="1"/>
      </rPr>
      <t xml:space="preserve">
Programación: </t>
    </r>
    <r>
      <rPr>
        <sz val="11"/>
        <color indexed="8"/>
        <rFont val="Times New Roman"/>
        <family val="1"/>
      </rPr>
      <t xml:space="preserve">Corresponde al proceso de formulación del plan de acción, el cual se realiza una ves por vigencia. </t>
    </r>
    <r>
      <rPr>
        <b/>
        <sz val="11"/>
        <color indexed="8"/>
        <rFont val="Times New Roman"/>
        <family val="1"/>
      </rPr>
      <t xml:space="preserve">
Actualización: </t>
    </r>
    <r>
      <rPr>
        <sz val="11"/>
        <color indexed="8"/>
        <rFont val="Times New Roman"/>
        <family val="1"/>
      </rPr>
      <t xml:space="preserve">Corresponde al proceso mediante el cual la gerencia del proyecto modifica o ajusta la información contenida en la formulación. 
</t>
    </r>
    <r>
      <rPr>
        <b/>
        <sz val="11"/>
        <color indexed="8"/>
        <rFont val="Times New Roman"/>
        <family val="1"/>
      </rPr>
      <t xml:space="preserve">Seguimiento: </t>
    </r>
    <r>
      <rPr>
        <sz val="11"/>
        <color indexed="8"/>
        <rFont val="Times New Roman"/>
        <family val="1"/>
      </rPr>
      <t xml:space="preserve">Corresponde al proceso de reporte de avance de las metas y actividades programadas. </t>
    </r>
  </si>
  <si>
    <t xml:space="preserve">PRODUCTO INSTITUCIONAL </t>
  </si>
  <si>
    <t>En este campo se debe diligenciar la descripción del Producto, meta, resultado - PMR al cual aportan las acciones e indicadores que se van a medir</t>
  </si>
  <si>
    <t xml:space="preserve">OBJETIVO ESTRATÉGICO </t>
  </si>
  <si>
    <t>En este campo se debe diligenciar la descripción del objetivo estratégico que se detalla en el Plan Estratégico intitucional al cual aportan las acciones e indicadores que se van a medir</t>
  </si>
  <si>
    <t xml:space="preserve">NIVEL </t>
  </si>
  <si>
    <t>En este campo se debe seleccionar el instrumento de planeación del cual hace parte la acción e indicador a medir según aplique (Seleccionar el nivel del indicador a reportar, así como relacionar el código asignado del indicador a medir segun aplique: SEGPLAN, PMR, número de actividad, etc). Consultar en la pestaña de  generalidades.</t>
  </si>
  <si>
    <t>PROCESO</t>
  </si>
  <si>
    <t>En este campo se debe relacionar la descripción del proceso en coherencia con el mapa de procesos  vigente</t>
  </si>
  <si>
    <t>Este campo solo aplica para los planes relacionados con el Decreto 612.</t>
  </si>
  <si>
    <t xml:space="preserve">META </t>
  </si>
  <si>
    <t xml:space="preserve">En este campo se debe diligenciar la descripción de la meta PDD o meta proyecto articulada con la acción e indicador a medir.
Así mismo se podrá establecer una meta operativa nueva en caso de evidenciar la necesidad. </t>
  </si>
  <si>
    <r>
      <t xml:space="preserve">En este campo se debe detallar la expresión cualitativa del indicador.
Objeto + condición deseada del objeto (verbo conjugado) + elementos adicionales de contexto descriptivo
</t>
    </r>
    <r>
      <rPr>
        <i/>
        <sz val="11"/>
        <rFont val="Times New Roman"/>
        <family val="1"/>
      </rPr>
      <t>Ejemplo: Niños y niñas alimentados balanceadamente para su crecimiento integral.</t>
    </r>
  </si>
  <si>
    <t>TIPO DE ANUALIZACIÓN (según aplique)</t>
  </si>
  <si>
    <t>Este campo no es obligatorio, se diligencia según aplique
En este campo se debe relacionar el tipo de anualizacioón en coherencia con los mediciones establecidas por la SDH: Suma, Creciente, Decreciente y Constante.</t>
  </si>
  <si>
    <t>MAGNITUD</t>
  </si>
  <si>
    <r>
      <t xml:space="preserve">En este campo se debe relacionar la meta programada de acuerdo al indicador formulado Parámetro de referencia para determinar la magnitud. </t>
    </r>
    <r>
      <rPr>
        <i/>
        <sz val="11"/>
        <rFont val="Times New Roman"/>
        <family val="1"/>
      </rPr>
      <t>Ejemplo: 600, 100, 4.000.</t>
    </r>
  </si>
  <si>
    <r>
      <t xml:space="preserve">En este campo se debe relacionar el producto, servicio, porcentaje que se afectará con la intervención de acuerdo con el indicador propuesto. Parámetro de referencia para determinar el tipo de unidad del indicador. </t>
    </r>
    <r>
      <rPr>
        <i/>
        <sz val="11"/>
        <rFont val="Times New Roman"/>
        <family val="1"/>
      </rPr>
      <t>Ejemplo: mujeres, %, atenciones</t>
    </r>
  </si>
  <si>
    <t>DESCRIPCIÓN DE LA MEDICIÓN</t>
  </si>
  <si>
    <r>
      <rPr>
        <sz val="11"/>
        <color rgb="FF000000"/>
        <rFont val="Times New Roman"/>
        <family val="1"/>
      </rPr>
      <t xml:space="preserve">En este campo se debe diligenciar:
</t>
    </r>
    <r>
      <rPr>
        <b/>
        <sz val="11"/>
        <color rgb="FF000000"/>
        <rFont val="Times New Roman"/>
        <family val="1"/>
      </rPr>
      <t xml:space="preserve">1.La descripción detallada de la medición del indicador.
</t>
    </r>
    <r>
      <rPr>
        <i/>
        <sz val="11"/>
        <color rgb="FF000000"/>
        <rFont val="Times New Roman"/>
        <family val="1"/>
      </rPr>
      <t xml:space="preserve">De acuerdo a la meta programada, se debe realizar una descripción cualitativa de a que se refiere cada avance programado para cada trimestre desde la programación. (Si aplica)
Ejemplo 1: 
Programación actividad Trimestre 1: 40% Trimestre 2: 60%
40% Fase I - Diseño de ...
60% Fase II - Socialización y ejecución de ...
</t>
    </r>
    <r>
      <rPr>
        <b/>
        <sz val="11"/>
        <color rgb="FF000000"/>
        <rFont val="Times New Roman"/>
        <family val="1"/>
      </rPr>
      <t xml:space="preserve">2.La representación matemática del cálculo del indicador.
</t>
    </r>
    <r>
      <rPr>
        <i/>
        <sz val="11"/>
        <color rgb="FF000000"/>
        <rFont val="Times New Roman"/>
        <family val="1"/>
      </rPr>
      <t>Ejemplo 2: No. Capacitaciones realizadas / No. Capacitaciones programadas *100</t>
    </r>
  </si>
  <si>
    <t xml:space="preserve">PERIODICIDAD </t>
  </si>
  <si>
    <t xml:space="preserve">En este campo se debe establecer la periodicidad de la medicicion del indicador y del reporte del seguimiento </t>
  </si>
  <si>
    <t>MEDIOS DE VERIFICACIÓN</t>
  </si>
  <si>
    <t xml:space="preserve">En este campo se deben relacionar los soportes en los cuales se puede revisar el cumplimiento de las acciones e indicadores programados y ejecutatos. </t>
  </si>
  <si>
    <t>PROGRAMACIÓN META</t>
  </si>
  <si>
    <t>En este campo se debe relacionar la programación horizontal del desarrollo de las acciones de acuerdo a la medicición del indicador</t>
  </si>
  <si>
    <t>AVANCE META</t>
  </si>
  <si>
    <t>En este campo se debe reportar el avance del desarrollo de acciones de acuerdo a la medición del indicador</t>
  </si>
  <si>
    <t>SEGUIMIENTO TOTAL</t>
  </si>
  <si>
    <t>Este campo contiene dos columnas:
- MAGNITUD EJECUTADA: Correspondiente al avance acumulado de la meta a la fecha del reporte.
- % AVANCE: Formula que calcula el avance de la magnitud ejecutada a la fecha del reporte sobre la meta de la vigencia.</t>
  </si>
  <si>
    <t>En este campo se debe relacionar el avance mensual del indicador.</t>
  </si>
  <si>
    <t>DESCRIPCIÓN CUALITATIVA DEL AVANCE ACUMULADA</t>
  </si>
  <si>
    <t>En este campo se debe registrar el avance del indicador a la fecha del reporte de forma acumulada e integrada.</t>
  </si>
  <si>
    <t xml:space="preserve">RETRASOS Y FACTORES LIMITANTES PARA EL CUMPLIMIENTO </t>
  </si>
  <si>
    <t>En este campo se debe relacionar en caso de retraso, las razones por las cuales se esta generando un retraso en coherencia con la programación de cada periodo. De presentarse esta situación es obligatorio diligenciar este campo.</t>
  </si>
  <si>
    <t xml:space="preserve">En este campo se debe relacionar la descripción de las alternativas de solución </t>
  </si>
  <si>
    <t>PESTAÑA No. 3 TERRITORIALIZACIÓN</t>
  </si>
  <si>
    <t>DESCRIPCIÓN</t>
  </si>
  <si>
    <t xml:space="preserve">Este anexo, responde a la necesidad de plasmar la información correspondiente que las acciones (derivadas de metas PDD, metas proyecto de inversión, indicadores PMR, actividades) que se territorializan incluyendo el enfoque diferencial y según grupo etario, así como las reportadas a nivel distrital.
De ser necesario las celdas correspondientes a enfoque diferencial, especificamente población en discapacidad (Sordociega, auditiva,, visual, multiple, mental, física, cognitiva, otro) y población LGBTI (Lesbianas, gays, bisexuales, hererosexuales, No responde...)  se puede establecer mayor desagregue de ser necesario en la misma celda. </t>
  </si>
  <si>
    <t>En este campo se debe relacionar la magnitud programada y ejecutada de manera mensual, para cada localidad.</t>
  </si>
  <si>
    <t>PRESUPUESTO</t>
  </si>
  <si>
    <t>En este campo se debe relacionar el presupuesto programado y ejecutado de manera trimestral, para cada localidad, por temas de reporte en el sistema SEGPLAN.</t>
  </si>
  <si>
    <t xml:space="preserve">ACTIVIDAD </t>
  </si>
  <si>
    <t xml:space="preserve">PRIMER TRI </t>
  </si>
  <si>
    <t xml:space="preserve">SEGUNDO TRIM </t>
  </si>
  <si>
    <t xml:space="preserve">TERCER TRIM </t>
  </si>
  <si>
    <t xml:space="preserve">TOTAL </t>
  </si>
  <si>
    <t>META 1</t>
  </si>
  <si>
    <t>META 2</t>
  </si>
  <si>
    <t>META 3</t>
  </si>
  <si>
    <t>META 4</t>
  </si>
  <si>
    <t>META 5</t>
  </si>
  <si>
    <t>META 6</t>
  </si>
  <si>
    <t>META 7</t>
  </si>
  <si>
    <t>META 10</t>
  </si>
  <si>
    <t>META 11</t>
  </si>
  <si>
    <t>META 12</t>
  </si>
  <si>
    <t>META 14</t>
  </si>
  <si>
    <t>META 15</t>
  </si>
  <si>
    <t xml:space="preserve">Desde el 16 de enero 2023 hasta el 17 de junio de 2023 se prestaron los servicios en el marco del Ciclo IV de Unidades Móvil es en seis zonas de la ciudad: Rafael Uribe Uribe, Engativá, Suba, Usme, San Cristóbal y Usaquén.
Con la implementación del Ciclo V de operación, la estrategia llega a seis localidades: Barrios Unidos, Antonio Nariño, Kennedy, Usaquén, Ciudad Bolívar y Santafé. En tres de estas localidades no había prestado servicios, Barrios Unidos, Antonio Nariño y Santafé; </t>
  </si>
  <si>
    <r>
      <rPr>
        <sz val="11"/>
        <color rgb="FF000000"/>
        <rFont val="Times New Roman"/>
        <family val="1"/>
      </rPr>
      <t xml:space="preserve">En el mes de junio se implementaron 46 talleres de Cambio Cultural, a través de los cuales se vincularon </t>
    </r>
    <r>
      <rPr>
        <b/>
        <sz val="11"/>
        <color rgb="FF000000"/>
        <rFont val="Times New Roman"/>
        <family val="1"/>
      </rPr>
      <t>454</t>
    </r>
    <r>
      <rPr>
        <sz val="11"/>
        <color rgb="FF000000"/>
        <rFont val="Times New Roman"/>
        <family val="1"/>
      </rPr>
      <t xml:space="preserve"> beneficiarias de la siguiente manera: Nivel Distrital 16 personas;  Usaquén 35 personas;  Chapinero 39 personas;  Santa Fe 9 personas;  San Cristóbal 13 personas; Antonio Nariño 3 personas;  Tunjuelito 42 personas;  Bosa 22 personas;  Kennedy 43 personas;  Fontibón 26 personas;  Engativá 30 personas; Suba 19 personas; Teusaquillo 12 personas; Los Mártires 57 personas;  Puente Aranda 46 personas;  Rafael Uribe Uribe 37 personas; y Ciudad Bolívar 5 personas. Por lo anterior, el balance de los beneficiarios de los talleres implementados durante lo corrido del año, es 2.709</t>
    </r>
  </si>
  <si>
    <t>En el marco del diseño de un documento que abarque la implementación de la Estrategia Pedagógica y de Cambio Cultural para la valoración, resignificación, reconocimiento y redistribución del trabajo de cuidado no remunerado que realizan las mujeres en Bogotá, en el mes de junio se realizaron las actividades requeridas dentro del diseño de la caja de herramientas de la Estrategia Pedagógica y de Cambio Cultural, logrando así la actualización del documento “Caja de herramientas IPC”  para su  revisión y posterior envío a diagramación con el equipo de comunicaciones en Julio.</t>
  </si>
  <si>
    <t xml:space="preserve">Durante lo corrido del primer semestre del 2023, con relación al proceso de diseño y socialización de la caja de herramientas de la Estrategia Pedagógica de Cambio Cultural, se continuó con la construcción de nueve documentos metodológicos, los cuales están dirigidos para un abordaje con enfoque diferencial atendiendo las necesidades poblacionales, así como, aportar al documento final de la Estrategia Pedagógica y de Cambio cultural  “Caja de herramientas IPC”.
</t>
  </si>
  <si>
    <t>En lo referente a diseñar un documento para la implementación de la estrategia pedagógica para la valoración, la resignificación, el reconocimiento y la redistribución del trabajo de cuidado no remunerado que realizan las mujeres en Bogotá, entre enero a junio del 2023 no se han presentado dificultades que alteren la normal ejecución de esta meta.</t>
  </si>
  <si>
    <t xml:space="preserve">La construcción de nuevas metodologías y actualización de las ya existentes contenidas en la caja de herramientas, permitió la constitución y consolidación formal del documento “Caja de herramientas IPC” como un esfuerzo conjunto del equipo de Cambio Cultural en la cual reposa un compendio de conocimientos pedagógicos que permiten orientar el actual de las y los profesionales de la Estrategia, así como el de cualquier persona o profesional que desee consultar lo relacionado a lo desarrollado con cuidado y trabajo no remunerado. </t>
  </si>
  <si>
    <r>
      <rPr>
        <sz val="11"/>
        <color rgb="FF000000"/>
        <rFont val="Times New Roman"/>
        <family val="1"/>
      </rPr>
      <t xml:space="preserve">Programación y realización de 21 cursos de Formación Complementaria en junio para mujeres cuidadoras, en "Herramientas para cuidadoras en el reconocimiento de su trabajo de cuidado" programa de 10 horas cuyos contenidos fueron elaborados por la Universidad Nacional de Colombia en la vigencia 2021 y a los que se accede a través del Aula Virtual de la Secretaría Distrital de la Mujer. Adicionalmente en formación complementaria ofrecida por el Servicio Nacional de Aprendizaje con contenidos en Ofimática e Inglés, con duración de 40 horas e implementación por parte de tutores SENA con acompañamiento de las formadoras Mujer.
El número total de cuidadoras graduadas en el mes de junio fue de </t>
    </r>
    <r>
      <rPr>
        <b/>
        <sz val="11"/>
        <color rgb="FF000000"/>
        <rFont val="Times New Roman"/>
        <family val="1"/>
      </rPr>
      <t>300.</t>
    </r>
    <r>
      <rPr>
        <sz val="11"/>
        <color rgb="FF000000"/>
        <rFont val="Times New Roman"/>
        <family val="1"/>
      </rPr>
      <t xml:space="preserve"> La distribución por localidad de prestación del servicio expresa el siguiente comportamiento: Rafael Uribe Uribe: 31; Kennedy:28; Usme: 27; Bosa: 20; Ciudad Bolívar Manitas:20; Ciudad Bolívar Mochuelo:20; Puente Aranda:17; Suba:16; Chapinero:15; Usaquén:15; Antonio Nariño:15; Engativá:13; Fontibón:13; Los Mártires:12 y Barrios Unidos;2. Respecto de la dinámica de los buses, se logró en Bus del Cuidado Urbano:24 y en Bus del Cuidado Rural:12. En cuanto al proceso de Homologación de Saberes, se certificaron </t>
    </r>
    <r>
      <rPr>
        <b/>
        <sz val="11"/>
        <color rgb="FF000000"/>
        <rFont val="Times New Roman"/>
        <family val="1"/>
      </rPr>
      <t>71</t>
    </r>
    <r>
      <rPr>
        <sz val="11"/>
        <color rgb="FF000000"/>
        <rFont val="Times New Roman"/>
        <family val="1"/>
      </rPr>
      <t xml:space="preserve"> cuidadoras certificadas en el mes de junio. Lo anterior da como balance acumulado de 1.220 cuidadoras graduadas y en homologación de saberes, 264 certificadas (1.484 en total). </t>
    </r>
  </si>
  <si>
    <t>En relación con la oferta de atención psico jurídica en el mes de junio, se benefició un total de 1.027 personas cuidadoras, de las cuales 552 recibieron orientación y asesoría jurídica en las localidades de: Antonio Nariño 5, Barrios Unidos 4, Bosa 60, Chapinero 24, Ciudad Bolívar 45, Engativá 38, Fontibón 23, Fuera de Bogotá 5, Kennedy 25, Candelaria 2, Mártires 1, Puente Aranda 10, Rafael Uribe  55, San Cristóbal 107, Santa Fe 6, Suba 48, Teusaquillo 2, Tunjuelito 3, Usaquén 29, Usme 60.  Y 475 personas cuidadoras recibieron orientación psicosocial, distribuidas a lo largo de las localidades de la siguiente manera: Antonio Nariño 5, Barrios Unidos 2, Bosa 60, Chapinero 16, Ciudad Bolívar 32, Engativá 41, Fontibón 15, Fuera de Bogotá 3, Kennedy 21, Candelaria 1, Mártires 1, Puente Aranda 12, Rafael Uribe 49, San Cristóbal 105, Santa Fe 2, Suba 37, Teusaquillo 3,  Tunjuelito 1, Usaquén 19, Usme 50. Con relación al acumulado, durante lo corrido del 2023 los beneficiarios de atención psico jurídica asciende a 3.282</t>
  </si>
  <si>
    <t>Desde la Estrategia Territorial de las Manzanas del Cuidado se implementaron 137 actividades de difusión y socialización del Sistema Distrital del Cuidado y los servicios de las Manzanas del Cuidado en 17 localidades de Bogotá, a saber: Bosa, Centro (Santa Fe-Candelaria), Chapinero, Ciudad Bolívar, Engativá, Fontibón, Kennedy, Mártires, Puente Aranda, Rafael Uribe , San Cristóbal, Suba, Tunjuelito, Teusaquillo, Usaquén y Usme. La difusión a nivel territorial con personas cuidadoras y actores estratégicos en las localidades, contribuyó a avanzar en el propósito de divulgar los objetivos del Sistema Distrital del Cuidado, los servicios de las manzanas y su posicionamiento con las cuidadoras y la ciudadanía en general. A la fecha, el balance de las actividades desarrolladas durante la vigencia 2023 es de 534 actividades.</t>
  </si>
  <si>
    <t>Se gestionó la inauguración de la manzana de cuidado número 20 que será en la localidad de ANTONIO NARIÑO. Para tal fin se propuso la versión 1 de la ficha técnica de esta manzana en la unidad técnica de apoyo y se avanzó en gestiones con entidades alidadas para definir el equipamiento ancla y los equipamientos complementarios, además de avanzar con la preparación para el evento inaugural con la Alcaldía Mayor de Bogotá, el 24 de julio del 2023. Por el momento, a la fecha se tiene en funcionamiento 19 manzanas del cuidado.</t>
  </si>
  <si>
    <t xml:space="preserve">La inauguración de la manzana del cuidado de ANTONIO NARIÑO  se programó para el 24 de julio, a causa de la conmemoración del día del autocuidado estipulado en el acuerdo 893 como reconocimiento a las personas cuidadoras y el trabajo de cuidado no remunerado que realizan, por parte de las entidades del Distrito Capital. En ese sentido, se proyecta el inicio de operación de la manzana número 20 para finales del mes de julio. . </t>
  </si>
  <si>
    <t>Avances en la implementación de la estrategia para la adecuación de infraestructura de manzanas de 
cuidado</t>
  </si>
  <si>
    <t>Durante el mes de junio de 2023 se realizaron 10 jornadas de socialización del Sistema Distrital de Cuidado y sus lineamientos técnicos:
1) 06-06-2023: Socialización con el equipo del medio de comuicación feminista "Manifiesta Media".
2) 09-06-2023: Intervención en el Consejo Local de Política Social (CLOPS) de Rafael Uribe Uribe.
3) 10-06-2023: Socialización con la Corporación La Cometa.
4) 21-06-2023: Intervención en el Consejo Local de Política Social (CLOPS) de Fontibón.
5) 21-06-2023: Socialización con la Colectiva Mujeres Skate en el Parque Nacional.
6) 21-06-2023: Socialización con la Colectiva Mujeres Skate en el Parque de los Hippies.
7) 23-06-2023: Capacitación al equipo de la Línea Púrpura de la Dirección de Eliminación de Violencias y Acceso a la Justicia (DEVAJ) de la Secretaría Distrital de la Mujer.
8) 28-06-2023: Socialización con el equipo de la Subdirección de Innovación en Salud Pública del Instituto Nacional de Salud (INS).
9) 28-06-2023: Intercambio con el equipo de UNICEF Colombia.
10) 29-06-23: Socialización con personas cuidadoras de personas con discapacidad que requieren altos niveles apoyo usuarias del grupo empresarial Keralty.
Sumado a las 10 sesiones realizadas, se tiene un balance de 34 sesiones realizadas a lo largo del primer semestre del 2023.</t>
  </si>
  <si>
    <t>Se realizó la octava sesión de la UTA de la presente vigencia, (la 36 desde la expedición del Decreto 237/20). La agenda desarrollada toco los siguientes puntos: Revisión de la primera versión de ficha técnica Manzana del Cuidado de Antonio Nariño. Visita técnica Manzana del Cuidado de Antonio Nariño en donde se definió la cartelera de servicios. Seguimiento a compromisos. 5. Conmemoraciones del Día Internacional del Autocuidado y del Día Internacional del Trabajo Doméstico. Pactos por las Manzanas del Cuidado. y se trato el informe semestral del SIDICU. Participaron de manera presencial 34 directivas y personas delegadas (24 mujeres y 10 hombres) de 11 Sectores de la Administración Distrital (11 Secretarías de Salud, Integración Social, Educación, Gobierno, Planeación, Desarrollo Económico, Cultura, Recreación y Deporte-BibloRed, Hábitat, Movilidad, Ambiente y Mujer; 5 entidades del Sector Descentralizado (Institutos de las Artes, Recreación y Deporte y para la Economía Social, JBB y UAESP) y Alcaldía Antonio Nariño. 
Se convalidó el acta de la UTA No. 35 (01.06.23). Se realizó trámite de suscripción (07.06.23) y de publicación (07.06.23). Se realizó la 5ta sesión (la No. 12 desde su creación) de la Mesa de Relevos y se desarrollo la siguiente agenda: Revisión de compromisos. Avances Sector Salud. Avances Sector Integración Social. Avances Sector Mujeres (Bloomberg). Participaron 12 mujeres de las Secretarías de Salud, Integración Social y la Mujer, y PNUD (Bloomberg). D. Se realizó la 2da sesión del año (la No. 7 desde su creación) de la Mesa de Infraestructura del Cuidado (27.06.23). Agenda desarrollada: Seguimiento a compromisos. Avances en la implementación de Manzanas del Cuidado y proyección 2023. Manzana del Cuidado de Antonio Nariño. 5. Nodos La Gloria y Altamira. 6. Manzanas POT 2024-2035 y obras de infraestructura. Participaron 7 mujeres y 12 hombres de las Secretarías de Planeación, Hábitat, Educación, Integración Social, SCJ, Movilidad y Salud y DADEP.</t>
  </si>
  <si>
    <t>Con la programación de la inauguración de la Manzana el Cuidado de la localidad de ANTONIO NARIÑO , Bogotá pasará de 19 a 20 Manzanas de cuidado. A le fecha se encuentran en operación 19</t>
  </si>
  <si>
    <r>
      <rPr>
        <sz val="11"/>
        <rFont val="Calibri"/>
        <family val="2"/>
      </rPr>
      <t>Durante el mes de junio se efectuaron 19</t>
    </r>
    <r>
      <rPr>
        <sz val="11"/>
        <color rgb="FF000000"/>
        <rFont val="Calibri"/>
        <family val="2"/>
      </rPr>
      <t xml:space="preserve"> sesiones de las Mesas Locales de las Manzanas del Cuidado de 1-Bosa - Porvenir, Bosa -2 Campo Verde, 3 Kennedy, 4Ciudad Bolívar - Manitas,5 Usme, 6 San Cristóbal - CEFE,7 Mártires,8 Usaquén,9 Centro,10 Engativá,11 Rafael Uribe Uribe,12 Ciudad Bolívar - Mochuelos,13 Tunjuelito,14 San Cristóbal - Juan Rey, 15 Chapinero, 16 Fontibón ,17 Suba, 18 Puente Aranda y 19 Teusaquillo. En dichas sesiones, se monitorearon las acciones intersectoriales de los sectores representados, el estado de la operación de los servicios implementados y el balance mensual de las atenciones prestadas. A la fecha se lleva un acumulado de 86 sesiones.</t>
    </r>
  </si>
  <si>
    <t>En el mes de junio en el marco del Trabajo de Transformación Cultural, se adelantó la tercera Mesa y en este sentido se dio cumplimiento frente a la organización, gestión y establecimiento de espacios de formación de manera conjunta entre los distintos programas participantes en la mesa; espacios de sensibilización para los integrantes de los programas Nidos y Bibliored; y un calendario conjunto con fechas e hitos importantes para los programas de la mesa y su posible participación conjunta.</t>
  </si>
  <si>
    <t>A la fecha no ha sido posible la firma del Anexo 2 de la Unidad Móvil Rural, por parte de componente técnico se envió la alerta vía correo electrónico desde finales del mes de mayo a la líder del equipo jurídico de la Dirección del Sistema de Cuidado</t>
  </si>
  <si>
    <t xml:space="preserve">En lo referente a diseñar un documento de lineamientos técnicos para la formulación de las bases del sistema distrital de cuidado, de enero a junio de 2023 no se han presentado dificultades que alteren la normal ejecución de esta meta.
Sin embargo, frente al seguimiento a la implementación del Convenio 913 de 2021, se evidencia la dificultad del seguimientos por parte de la Entidad en cumplimiento del instrumento, teniendo en cuenta que los adherentes y signatarios del convenio participan entre si en acuerdos operativos independientes que requieren gestiones de legalización y no se cuenta con la certeza de los delegados que permita un control y seguimiento efectivo por la magnitud del sistema. No osbtante, se generó la acción de la recopilación de información disponible de delegados por entidad y se avanzó con las acciones preparatorias para la quinta mesa de seguimiento solicitando en las citaciones la confirmación por entidad de sus delegados, así mismo se busca contar con un reporte actualizado por entidad de las actividades y anexos pendientes por entidad parte del convenio. </t>
  </si>
  <si>
    <t>En lo referente a la coordinación y articulación de las 13 secretarias, durante lo corrido del año, solo en el mes de junio se presento la situación que no se diera la articulación de las trece, a razón de que en este mes solo se dio una UTA de manera presencial.</t>
  </si>
  <si>
    <r>
      <t>En el mes de junio, en el marco del diseño de un documento que abarque la implementación de la Estrategia Pedagógica y de Cambio Cultural para la valoración, resignificación, reconocimiento y redistribución del trabajo de cuidado no remunerado que realizan las mujeres en Bogotá,</t>
    </r>
    <r>
      <rPr>
        <sz val="11"/>
        <rFont val="Times New Roman"/>
        <family val="1"/>
      </rPr>
      <t xml:space="preserve"> en el mes de junio</t>
    </r>
    <r>
      <rPr>
        <b/>
        <sz val="11"/>
        <color rgb="FFFF0000"/>
        <rFont val="Times New Roman"/>
        <family val="1"/>
      </rPr>
      <t xml:space="preserve"> </t>
    </r>
    <r>
      <rPr>
        <sz val="11"/>
        <color rgb="FF000000"/>
        <rFont val="Times New Roman"/>
        <family val="1"/>
      </rPr>
      <t>se realizaron las actividades requeridas dentro del diseño de la caja de herramientas de la Estrategia Pedagógica y de Cambio Cultural, logrando así la actualización del documento “Caja de herramientas EPCC” para su  revisión y posterior envío a diagramación con el equipo de comunicaciones en Julio.</t>
    </r>
  </si>
  <si>
    <t>Algo así que en el marco de la implementación de la estrategia pedagógica para la valoración, la resignificación, el reconocimiento y la redistribución del trabajo de cuidado no remunerado durante el primer semestre de 2023 se avanzó en el diseño y socialización de la caja de herramientas se continuó con la construcción de nueve documentos metodológicos, los cuales están dirigidos para un abordaje con enfoque diferencial atendiendo las necesidades poblacionales, así como, aportar al documento final de la Estrategia Pedagógica y de Cambio cultural  “Caja de herramientas EPCC”. Por otro parte, a través de la implementación de una estrategia de cambio cultural y pedagógica, frente a la corresponsabilidad en la realización del trabajo de cuidado en los hogares y comunidades, a fin de redistribuir este trabajo entre hombres y mujeres, se han adelantado durante lo corrido del 2023 talleres de cambio cultural bajo los cuales se ha beneficiado a 2.709 personas.</t>
  </si>
  <si>
    <r>
      <rPr>
        <sz val="11"/>
        <rFont val="Times New Roman"/>
        <family val="1"/>
      </rPr>
      <t>En el marco de la estrategia de manzanas del cuidado y unidades móviles de servicios del cuidado, se avanza con la</t>
    </r>
    <r>
      <rPr>
        <b/>
        <sz val="11"/>
        <color rgb="FFFF0000"/>
        <rFont val="Times New Roman"/>
        <family val="1"/>
      </rPr>
      <t xml:space="preserve"> </t>
    </r>
    <r>
      <rPr>
        <sz val="11"/>
        <color rgb="FF000000"/>
        <rFont val="Times New Roman"/>
        <family val="1"/>
      </rPr>
      <t xml:space="preserve">programación de la inauguración de la Manzana el Cuidado de la localidad de ANTONIO NARINO , con la cual Bogotá pasará de 19 a 20 Manzanas de cuidado. A le fecha se encuentran en </t>
    </r>
    <r>
      <rPr>
        <sz val="11"/>
        <rFont val="Times New Roman"/>
        <family val="1"/>
      </rPr>
      <t>operación</t>
    </r>
    <r>
      <rPr>
        <sz val="11"/>
        <color rgb="FF000000"/>
        <rFont val="Times New Roman"/>
        <family val="1"/>
      </rPr>
      <t xml:space="preserve"> 19.
En el marco de los procesos realizados por el SIDICU en la vigencia referida al reporte, se han beneficiado del servicio de orientación y asesoría psico jurídica a: 5.594 cuidadoras.  
Finalmente, frente a las atenciones registradas en el marco del desarrollo del Plan Integral de Acciones Afirmativas, se ha logrado atender a 410</t>
    </r>
    <r>
      <rPr>
        <b/>
        <sz val="11"/>
        <color rgb="FFFF0000"/>
        <rFont val="Times New Roman"/>
        <family val="1"/>
      </rPr>
      <t xml:space="preserve"> </t>
    </r>
    <r>
      <rPr>
        <sz val="11"/>
        <color rgb="FF000000"/>
        <rFont val="Times New Roman"/>
        <family val="1"/>
      </rPr>
      <t>cuidadoras negras y afrocolombianas, a través de 35 espacios respiro.</t>
    </r>
  </si>
  <si>
    <t>En el marco de avanzar  en la construcción del documento correspondiente a los lineamientos técnicos derivados de la formulación de las bases del Sistema Distrital de Cuidado y sumado a los resultados de articulación con las entidades distritales que hacen parte del sistema, durante los meses de enero a junio de 2023 se avanzó en: La retroalimentación del documento “Desarrollo técnico del Sistema Distrital de Cuidado”, entregado por el equipo consultor de la Fundación Barco – Open Society Fundación en diciembre de 2022, La actualización de las delegaciones a la Unidad Técnica de Apoyo de la Comisión intersectorial del Sistema Distrital de Cuidado para retomar el funcionamiento de la Mesa Intersectorial de Seguimiento al Convenio Marco Interadministrativo 913 de 2021, La publicación en SECOP II del Anexo Técnico II de la Manzana del Cuidado de Ciudad Bolívar - Manitas, correspondiente al Acuerdo de Coordinación con el Instituto Distrital para las Artes y la Secretaría General, La suscripción de los Anexos I y II del Convenio Marco Interadministrativo 913 de 2021 para las Manzanas del Cuidado de Fontibón y Teusaquillo, La terminación anticipada del Convenio 725 de 2020, con el objetivo de adoptar dentro del Convenio Marco Interadministrativo 913 de 2021 el funcionamiento de las Manzanas del Cuidado de Bosa - Porvenir, San Cristóbal - San Blas y Usme - Julio César Sánchez, Revisión y firma Anexos II de adhesión al Convenio Marco Interadministrativo 913 de 2021 para las Manzanas del Cuidado de San Cristobal, Usme y Bosa - Porvenir, en lo que respecta a la Secretaría Distrital de la Mujer (SDMujer), La realización de 35 jornadas de socialización del Sistema Distrital de Cuidado y sus lineamientos técnicos y la Elaboración de la estrategia "Pactos locales de cuidado", cuyo objetivo es la apropiación de las Manzanas del Cuidado por parte de la ciudadanía.</t>
  </si>
  <si>
    <r>
      <t>Con la programación de la inauguración de la Manzana el Cuidado de la localidad de ANTONIO NARINO , Bogotá pasará de 19 a 20 Manzanas de cuidado. A le fecha se encuentran en</t>
    </r>
    <r>
      <rPr>
        <b/>
        <sz val="11"/>
        <color rgb="FFFF0000"/>
        <rFont val="Times New Roman"/>
        <family val="1"/>
      </rPr>
      <t xml:space="preserve"> </t>
    </r>
    <r>
      <rPr>
        <sz val="11"/>
        <rFont val="Times New Roman"/>
        <family val="1"/>
      </rPr>
      <t>operación</t>
    </r>
    <r>
      <rPr>
        <b/>
        <sz val="11"/>
        <color rgb="FFFF0000"/>
        <rFont val="Times New Roman"/>
        <family val="1"/>
      </rPr>
      <t xml:space="preserve"> </t>
    </r>
    <r>
      <rPr>
        <sz val="11"/>
        <color theme="1"/>
        <rFont val="Times New Roman"/>
        <family val="1"/>
      </rPr>
      <t>19</t>
    </r>
  </si>
  <si>
    <t xml:space="preserve">En el marco de hacer seguimiento a la ejecución del Contrato No. 928 de 2022 cuyo objeto es: "Prestar los servicios requeridos para la operación y puesta en marcha de las Unidades Móviles en el marco de la implementación de la estrategia territorial del Sistema Distrital de Cuidado, de acuerdo con el anexo técnico", en el mes de juniose desarrollaron las siguientes actividades: *Revisión y aprobación de la hoja de vida del señor Miguel Ángel Ahumada, auxiliar logístico de las Unidades Móviles.  (Anexo 1) 
*Remisión de comunicaciones de solicitud de celeridad ante las entidades distritales para aprobación de permisos para uso de espacio público y Planes de Manejo de Tránsito para la ubicación de las Unidades Móviles (Urbana y rural, durante el ciclo V de formación (Anexo 2)   *Obtención y entrega de permisos obtenidos por parte del contratista Feeling Company SAS para uso de espacio público de las Unidades Móviles (Urbana y rural), durante el ciclo V de formación (Anexo 3) </t>
  </si>
  <si>
    <t xml:space="preserve">En el marco de convocar y gestionar las sesiones de las Mesa de Unidades Móviles de Servicios del Cuidado, en el mes de junio se convocó a la quinta Mesa Local de Buses de Cuidado y se abordó la siguiente agenda: 1.Socialización de informe trimestral Mesa Interlocal de Buses del Cuidado.  2.Presentación intersectorial de resultados Buses del Cuidado Ciclo IV.  3.Socialización de puntos de operación Ciclo V.   4.Hitos Junio 2023   5.Compromisos y varios. En el espacio además se puntualizo sobre la  modificación en el cronograma de las mesas locales, estableciéndose que de ahora en adelante la primera semana de cada mes se separará para el desarrollo de la mesa interlocal de Buses del cuidado y las tres semanas restantes del mes se harán las mesas locales de Manzanas del Cuidado.
</t>
  </si>
  <si>
    <t>En el marco de implementación del Sistema Distrital de Cuidado durante la vigencia actual se ha avanzado en la programación para la implementación del SIDICU dado por el funcionamiento de las dos unidades móviles y las 19 Manzana del Cuidado que se encuentran en operación. Por otra parte, frente al componente de coordinación intersectorial, se ha llevado a cabo las sesiones con la comisión intersectorial junto con la unidad de apoyo técnico y en el marco de la actividad asociada a las orientaciones psicosociales y psicourídicas, en lo corrdio del 2023 se se lleva un acumulado de 5.594 beneficiarias.</t>
  </si>
  <si>
    <r>
      <t xml:space="preserve">Con la implementación del proceso de formación de la Estrategia Cuidado a Cuidadoras, en lo corrido de la vigencia 2023 se han desarrollado </t>
    </r>
    <r>
      <rPr>
        <b/>
        <sz val="11"/>
        <color rgb="FF000000"/>
        <rFont val="Times New Roman"/>
        <family val="1"/>
      </rPr>
      <t xml:space="preserve">87 </t>
    </r>
    <r>
      <rPr>
        <sz val="11"/>
        <color rgb="FF000000"/>
        <rFont val="Times New Roman"/>
        <family val="1"/>
      </rPr>
      <t xml:space="preserve">cursos de formación complementaria graduando a </t>
    </r>
    <r>
      <rPr>
        <b/>
        <sz val="11"/>
        <color rgb="FF000000"/>
        <rFont val="Times New Roman"/>
        <family val="1"/>
      </rPr>
      <t xml:space="preserve">1.220 </t>
    </r>
    <r>
      <rPr>
        <sz val="11"/>
        <color rgb="FF000000"/>
        <rFont val="Times New Roman"/>
        <family val="1"/>
      </rPr>
      <t xml:space="preserve">mujeres en "Herramientas para Cuidadoras en el Reconocimiento de su Trabajo de Cuidado" a través del Aula Virtual de la Mujer y en Ofimática e Inglés a través de los procesos de Formación Complementaria implementados por los tutores/as SENA. En ambos casos, se cuenta con el apoyo de </t>
    </r>
    <r>
      <rPr>
        <b/>
        <sz val="11"/>
        <color rgb="FF000000"/>
        <rFont val="Times New Roman"/>
        <family val="1"/>
      </rPr>
      <t xml:space="preserve">20 </t>
    </r>
    <r>
      <rPr>
        <sz val="11"/>
        <color rgb="FF000000"/>
        <rFont val="Times New Roman"/>
        <family val="1"/>
      </rPr>
      <t xml:space="preserve">formadoras en todas las localidades del Distrito Capital, quienes prestan su servicio en las Manzanas del Cuidado y Buses del Cuidado. 
La distribución de las cuidadoras graduadas según localidad y nivel de desempeño, es la siguiente: Kennedy: 130; Suba:79; Bosa: 79; Puente Aranda: 76; Rafael Uribe Uribe:70; Antonio Nariño:60; Los Mártires: 56; Fontibón:55; Ciudad Bolívar Mochuelo:54; Usme:54; Engativá:50; Chapinero:49; Ciudad Bolívar Manitas: 46; Usaquén:45; Barrios Unidos: 43; San Cristóbal Juan Rey: 40; Tunjuelito: 31; San Cristóbal la Felicidad: 24; La Candelaria:19; Santa Fe:18; y Teusaquillo:13. En los buses del cuidado la dinámica presenta la siguiente distribución acumulada Bus del Cuidado Rural: 66 y Bus del Cuidado Urbano: 65.
Respecto de los procesos de Homologación de Saberes, el acumulado de la vigencia 2023 es de </t>
    </r>
    <r>
      <rPr>
        <b/>
        <sz val="11"/>
        <color rgb="FF000000"/>
        <rFont val="Times New Roman"/>
        <family val="1"/>
      </rPr>
      <t>264</t>
    </r>
    <r>
      <rPr>
        <sz val="11"/>
        <color rgb="FF000000"/>
        <rFont val="Times New Roman"/>
        <family val="1"/>
      </rPr>
      <t xml:space="preserve"> cuidadoras certificadas en el Distrito Capital a través de</t>
    </r>
    <r>
      <rPr>
        <b/>
        <sz val="11"/>
        <color rgb="FF000000"/>
        <rFont val="Times New Roman"/>
        <family val="1"/>
      </rPr>
      <t xml:space="preserve"> doce (12) grupos </t>
    </r>
    <r>
      <rPr>
        <sz val="11"/>
        <color rgb="FF000000"/>
        <rFont val="Times New Roman"/>
        <family val="1"/>
      </rPr>
      <t>conformados, uno (1) en marzo, uno (1) en abril, cinco (5) en mayo y cinco</t>
    </r>
    <r>
      <rPr>
        <b/>
        <sz val="11"/>
        <color rgb="FF000000"/>
        <rFont val="Times New Roman"/>
        <family val="1"/>
      </rPr>
      <t xml:space="preserve"> </t>
    </r>
    <r>
      <rPr>
        <sz val="11"/>
        <color rgb="FF000000"/>
        <rFont val="Times New Roman"/>
        <family val="1"/>
      </rPr>
      <t xml:space="preserve">(5) en junio de 2023. 
En el marco de los procesos realizados por el SIDICU en la vigencia referida al reporte, se han beneficiado del servicio de orientación y asesoría psico jurídica a 4.898 personas cuidadoras.
Respecto de los espacios respiro adelantados </t>
    </r>
    <r>
      <rPr>
        <b/>
        <sz val="11"/>
        <color rgb="FF000000"/>
        <rFont val="Times New Roman"/>
        <family val="1"/>
      </rPr>
      <t>entre febrero y junio de 2023</t>
    </r>
    <r>
      <rPr>
        <sz val="11"/>
        <color rgb="FF000000"/>
        <rFont val="Times New Roman"/>
        <family val="1"/>
      </rPr>
      <t>, se ha logrado la realización de</t>
    </r>
    <r>
      <rPr>
        <b/>
        <sz val="11"/>
        <color rgb="FF000000"/>
        <rFont val="Times New Roman"/>
        <family val="1"/>
      </rPr>
      <t xml:space="preserve"> treinta y ocho 38 espacios respiro</t>
    </r>
    <r>
      <rPr>
        <sz val="11"/>
        <color rgb="FF000000"/>
        <rFont val="Times New Roman"/>
        <family val="1"/>
      </rPr>
      <t xml:space="preserve">, con participación de </t>
    </r>
    <r>
      <rPr>
        <b/>
        <sz val="11"/>
        <color rgb="FF000000"/>
        <rFont val="Times New Roman"/>
        <family val="1"/>
      </rPr>
      <t xml:space="preserve">ciento veintiséis (126) </t>
    </r>
    <r>
      <rPr>
        <sz val="11"/>
        <color rgb="FF000000"/>
        <rFont val="Times New Roman"/>
        <family val="1"/>
      </rPr>
      <t xml:space="preserve">cuidadoras pertenecientes a la comunidad </t>
    </r>
    <r>
      <rPr>
        <b/>
        <sz val="11"/>
        <color rgb="FF000000"/>
        <rFont val="Times New Roman"/>
        <family val="1"/>
      </rPr>
      <t>étnica Afro y Negra</t>
    </r>
    <r>
      <rPr>
        <sz val="11"/>
        <color rgb="FF000000"/>
        <rFont val="Times New Roman"/>
        <family val="1"/>
      </rPr>
      <t xml:space="preserve">, </t>
    </r>
    <r>
      <rPr>
        <b/>
        <sz val="11"/>
        <color rgb="FF000000"/>
        <rFont val="Times New Roman"/>
        <family val="1"/>
      </rPr>
      <t>veinticinco (25)</t>
    </r>
    <r>
      <rPr>
        <sz val="11"/>
        <color rgb="FF000000"/>
        <rFont val="Times New Roman"/>
        <family val="1"/>
      </rPr>
      <t xml:space="preserve"> que hacen parte de los</t>
    </r>
    <r>
      <rPr>
        <b/>
        <sz val="11"/>
        <color rgb="FF000000"/>
        <rFont val="Times New Roman"/>
        <family val="1"/>
      </rPr>
      <t xml:space="preserve"> Pueblos Indígenas</t>
    </r>
    <r>
      <rPr>
        <sz val="11"/>
        <color rgb="FF000000"/>
        <rFont val="Times New Roman"/>
        <family val="1"/>
      </rPr>
      <t xml:space="preserve"> que integran el proceso 612 de 2015, </t>
    </r>
    <r>
      <rPr>
        <b/>
        <sz val="11"/>
        <color rgb="FF000000"/>
        <rFont val="Times New Roman"/>
        <family val="1"/>
      </rPr>
      <t>ciento ochenta y siete (187)</t>
    </r>
    <r>
      <rPr>
        <sz val="11"/>
        <color rgb="FF000000"/>
        <rFont val="Times New Roman"/>
        <family val="1"/>
      </rPr>
      <t xml:space="preserve"> pertenecientes a la </t>
    </r>
    <r>
      <rPr>
        <b/>
        <sz val="11"/>
        <color rgb="FF000000"/>
        <rFont val="Times New Roman"/>
        <family val="1"/>
      </rPr>
      <t>comunidad Raizal</t>
    </r>
    <r>
      <rPr>
        <sz val="11"/>
        <color rgb="FF000000"/>
        <rFont val="Times New Roman"/>
        <family val="1"/>
      </rPr>
      <t xml:space="preserve"> y </t>
    </r>
    <r>
      <rPr>
        <b/>
        <sz val="11"/>
        <color rgb="FF000000"/>
        <rFont val="Times New Roman"/>
        <family val="1"/>
      </rPr>
      <t>ciento quince (115) pertenecientes al pueblo Gitano</t>
    </r>
    <r>
      <rPr>
        <sz val="11"/>
        <color rgb="FF000000"/>
        <rFont val="Times New Roman"/>
        <family val="1"/>
      </rPr>
      <t xml:space="preserve">. Las atenciones registradas en el marco del desarrollo del </t>
    </r>
    <r>
      <rPr>
        <b/>
        <sz val="11"/>
        <color rgb="FF000000"/>
        <rFont val="Times New Roman"/>
        <family val="1"/>
      </rPr>
      <t xml:space="preserve">Plan Integral de Acciones Afirmativas ascienden en acumulado a cuatrocientos cincuenta y tres (453).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</si>
</sst>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5">
    <numFmt numFmtId="41" formatCode="_-* #,##0_-;\-* #,##0_-;_-* &quot;-&quot;_-;_-@_-"/>
    <numFmt numFmtId="164" formatCode="_-&quot;$&quot;* #,##0.00_-;\-&quot;$&quot;* #,##0.00_-;_-&quot;$&quot;* &quot;-&quot;??_-;_-@_-"/>
    <numFmt numFmtId="165" formatCode="#,##0\ &quot;€&quot;;\-#,##0\ &quot;€&quot;"/>
    <numFmt numFmtId="166" formatCode="_-* #,##0\ &quot;€&quot;_-;\-* #,##0\ &quot;€&quot;_-;_-* &quot;-&quot;\ &quot;€&quot;_-;_-@_-"/>
    <numFmt numFmtId="167" formatCode="_-* #,##0.00\ &quot;€&quot;_-;\-* #,##0.00\ &quot;€&quot;_-;_-* &quot;-&quot;??\ &quot;€&quot;_-;_-@_-"/>
    <numFmt numFmtId="168" formatCode="_-* #,##0\ _€_-;\-* #,##0\ _€_-;_-* &quot;-&quot;\ _€_-;_-@_-"/>
    <numFmt numFmtId="169" formatCode="_-* #,##0.00\ _€_-;\-* #,##0.00\ _€_-;_-* &quot;-&quot;??\ _€_-;_-@_-"/>
    <numFmt numFmtId="170" formatCode="_(&quot;$&quot;\ * #,##0.00_);_(&quot;$&quot;\ * \(#,##0.00\);_(&quot;$&quot;\ * &quot;-&quot;??_);_(@_)"/>
    <numFmt numFmtId="171" formatCode="_ &quot;$&quot;\ * #,##0.00_ ;_ &quot;$&quot;\ * \-#,##0.00_ ;_ &quot;$&quot;\ * &quot;-&quot;??_ ;_ @_ "/>
    <numFmt numFmtId="172" formatCode="&quot;$&quot;\ #,##0"/>
    <numFmt numFmtId="173" formatCode="_-* #,##0\ _€_-;\-* #,##0\ _€_-;_-* &quot;-&quot;??\ _€_-;_-@_-"/>
    <numFmt numFmtId="174" formatCode="0.0%"/>
    <numFmt numFmtId="175" formatCode="[$$-240A]\ #,##0;[Red][$$-240A]\ #,##0"/>
    <numFmt numFmtId="176" formatCode="#,##0;[Red]#,##0"/>
    <numFmt numFmtId="177" formatCode="_-[$$-240A]\ * #,##0.00_-;\-[$$-240A]\ * #,##0.00_-;_-[$$-240A]\ * &quot;-&quot;??_-;_-@_-"/>
    <numFmt numFmtId="178" formatCode="&quot;$&quot;\ #,##0.00"/>
    <numFmt numFmtId="179" formatCode="_-* #,##0_-;\-* #,##0_-;_-* &quot;-&quot;_-;_-@"/>
    <numFmt numFmtId="180" formatCode="_-* #,##0.00\ _€_-;\-* #,##0.00\ _€_-;_-* &quot;-&quot;\ _€_-;_-@"/>
    <numFmt numFmtId="181" formatCode="_-* #,##0\ _€_-;\-* #,##0\ _€_-;_-* &quot;-&quot;\ _€_-;_-@"/>
    <numFmt numFmtId="182" formatCode="#,##0_ ;\-#,##0\ "/>
    <numFmt numFmtId="183" formatCode="#,##0.0"/>
    <numFmt numFmtId="184" formatCode="0.000"/>
    <numFmt numFmtId="185" formatCode="0.00000"/>
    <numFmt numFmtId="186" formatCode="0.0000"/>
    <numFmt numFmtId="187" formatCode="#,##0.000"/>
  </numFmts>
  <fonts count="62" x14ac:knownFonts="1">
    <font>
      <sz val="11"/>
      <color theme="1"/>
      <name val="Calibri"/>
      <family val="2"/>
      <scheme val="minor"/>
    </font>
    <font>
      <sz val="11"/>
      <color indexed="8"/>
      <name val="Calibri"/>
      <family val="2"/>
    </font>
    <font>
      <sz val="10"/>
      <name val="Arial"/>
      <family val="2"/>
    </font>
    <font>
      <b/>
      <sz val="10"/>
      <name val="Times New Roman"/>
      <family val="1"/>
    </font>
    <font>
      <sz val="10"/>
      <name val="Times New Roman"/>
      <family val="1"/>
    </font>
    <font>
      <sz val="10"/>
      <name val="Arial Narrow"/>
      <family val="2"/>
    </font>
    <font>
      <sz val="10"/>
      <name val="Arial Narrow"/>
      <family val="2"/>
    </font>
    <font>
      <b/>
      <sz val="10"/>
      <color indexed="8"/>
      <name val="Tahoma"/>
      <family val="2"/>
    </font>
    <font>
      <sz val="10"/>
      <color indexed="8"/>
      <name val="Tahoma"/>
      <family val="2"/>
    </font>
    <font>
      <b/>
      <sz val="9"/>
      <color indexed="8"/>
      <name val="Tahoma"/>
      <family val="2"/>
    </font>
    <font>
      <sz val="9"/>
      <color indexed="8"/>
      <name val="Tahoma"/>
      <family val="2"/>
    </font>
    <font>
      <sz val="11"/>
      <name val="Times New Roman"/>
      <family val="1"/>
    </font>
    <font>
      <b/>
      <sz val="11"/>
      <name val="Times New Roman"/>
      <family val="1"/>
    </font>
    <font>
      <b/>
      <sz val="11"/>
      <color indexed="8"/>
      <name val="Times New Roman"/>
      <family val="1"/>
    </font>
    <font>
      <b/>
      <sz val="11"/>
      <color indexed="10"/>
      <name val="Times New Roman"/>
      <family val="1"/>
    </font>
    <font>
      <b/>
      <i/>
      <sz val="11"/>
      <name val="Times New Roman"/>
      <family val="1"/>
    </font>
    <font>
      <b/>
      <sz val="11"/>
      <name val="Arial Narrow"/>
      <family val="2"/>
    </font>
    <font>
      <sz val="11"/>
      <color indexed="8"/>
      <name val="Times New Roman"/>
      <family val="1"/>
    </font>
    <font>
      <i/>
      <sz val="11"/>
      <name val="Times New Roman"/>
      <family val="1"/>
    </font>
    <font>
      <b/>
      <sz val="12"/>
      <name val="Times New Roman"/>
      <family val="1"/>
    </font>
    <font>
      <sz val="11"/>
      <name val="Calibri"/>
      <family val="2"/>
    </font>
    <font>
      <sz val="9"/>
      <color indexed="81"/>
      <name val="Tahoma"/>
      <family val="2"/>
    </font>
    <font>
      <b/>
      <sz val="9"/>
      <color indexed="81"/>
      <name val="Tahoma"/>
      <family val="2"/>
    </font>
    <font>
      <sz val="10"/>
      <color indexed="81"/>
      <name val="Tahoma"/>
      <family val="2"/>
    </font>
    <font>
      <b/>
      <sz val="8"/>
      <name val="Times New Roman"/>
      <family val="1"/>
    </font>
    <font>
      <sz val="8"/>
      <name val="Times New Roman"/>
      <family val="1"/>
    </font>
    <font>
      <sz val="7"/>
      <name val="Times New Roman"/>
      <family val="1"/>
    </font>
    <font>
      <sz val="11"/>
      <color theme="1"/>
      <name val="Calibri"/>
      <family val="2"/>
      <scheme val="minor"/>
    </font>
    <font>
      <sz val="11"/>
      <color theme="0"/>
      <name val="Calibri"/>
      <family val="2"/>
      <scheme val="minor"/>
    </font>
    <font>
      <sz val="10"/>
      <color theme="1"/>
      <name val="Verdana"/>
      <family val="2"/>
    </font>
    <font>
      <sz val="11"/>
      <color theme="1"/>
      <name val="Calibri"/>
      <family val="2"/>
    </font>
    <font>
      <b/>
      <sz val="11"/>
      <color theme="0"/>
      <name val="Calibri"/>
      <family val="2"/>
      <scheme val="minor"/>
    </font>
    <font>
      <sz val="17"/>
      <color theme="0"/>
      <name val="Calibri"/>
      <family val="2"/>
      <scheme val="minor"/>
    </font>
    <font>
      <sz val="11"/>
      <color rgb="FF0B744D"/>
      <name val="Calibri"/>
      <family val="2"/>
      <scheme val="minor"/>
    </font>
    <font>
      <sz val="11"/>
      <name val="Calibri"/>
      <family val="2"/>
      <scheme val="minor"/>
    </font>
    <font>
      <b/>
      <sz val="10"/>
      <color theme="1"/>
      <name val="Verdana"/>
      <family val="2"/>
    </font>
    <font>
      <sz val="11"/>
      <color rgb="FF9C5700"/>
      <name val="Calibri"/>
      <family val="2"/>
      <scheme val="minor"/>
    </font>
    <font>
      <sz val="42"/>
      <color theme="0"/>
      <name val="Segoe UI"/>
      <family val="2"/>
      <charset val="1"/>
    </font>
    <font>
      <b/>
      <sz val="11"/>
      <color theme="1"/>
      <name val="Calibri"/>
      <family val="2"/>
      <scheme val="minor"/>
    </font>
    <font>
      <sz val="11"/>
      <color theme="1"/>
      <name val="Times New Roman"/>
      <family val="1"/>
    </font>
    <font>
      <sz val="11"/>
      <color rgb="FFFF0000"/>
      <name val="Times New Roman"/>
      <family val="1"/>
    </font>
    <font>
      <b/>
      <sz val="11"/>
      <color theme="1"/>
      <name val="Times New Roman"/>
      <family val="1"/>
    </font>
    <font>
      <b/>
      <sz val="11"/>
      <color rgb="FF000000"/>
      <name val="Times New Roman"/>
      <family val="1"/>
    </font>
    <font>
      <sz val="11"/>
      <color rgb="FF000000"/>
      <name val="Times New Roman"/>
      <family val="1"/>
    </font>
    <font>
      <b/>
      <sz val="11"/>
      <color theme="0" tint="-0.34998626667073579"/>
      <name val="Calibri"/>
      <family val="2"/>
      <scheme val="minor"/>
    </font>
    <font>
      <b/>
      <sz val="12"/>
      <color theme="1"/>
      <name val="Times New Roman"/>
      <family val="1"/>
    </font>
    <font>
      <b/>
      <sz val="18"/>
      <color theme="0" tint="-0.34998626667073579"/>
      <name val="Calibri"/>
      <family val="2"/>
      <scheme val="minor"/>
    </font>
    <font>
      <b/>
      <sz val="11"/>
      <color theme="0" tint="-0.34998626667073579"/>
      <name val="Times New Roman"/>
      <family val="1"/>
    </font>
    <font>
      <i/>
      <sz val="11"/>
      <color rgb="FF000000"/>
      <name val="Times New Roman"/>
      <family val="1"/>
    </font>
    <font>
      <b/>
      <sz val="9"/>
      <color rgb="FF000000"/>
      <name val="Tahoma"/>
      <family val="2"/>
    </font>
    <font>
      <sz val="9"/>
      <color rgb="FF000000"/>
      <name val="Tahoma"/>
      <family val="2"/>
    </font>
    <font>
      <b/>
      <sz val="10"/>
      <color rgb="FF000000"/>
      <name val="Tahoma"/>
      <family val="2"/>
    </font>
    <font>
      <sz val="10"/>
      <color rgb="FF000000"/>
      <name val="Tahoma"/>
      <family val="2"/>
    </font>
    <font>
      <b/>
      <sz val="11"/>
      <color rgb="FF000000"/>
      <name val="Tahoma"/>
      <family val="2"/>
    </font>
    <font>
      <sz val="11"/>
      <color rgb="FF000000"/>
      <name val="Tahoma"/>
      <family val="2"/>
    </font>
    <font>
      <sz val="11"/>
      <color theme="0"/>
      <name val="Times New Roman"/>
      <family val="1"/>
    </font>
    <font>
      <b/>
      <sz val="11"/>
      <color theme="0"/>
      <name val="Arial Narrow"/>
      <family val="2"/>
    </font>
    <font>
      <sz val="11"/>
      <color rgb="FF000000"/>
      <name val="Calibri"/>
      <family val="2"/>
    </font>
    <font>
      <sz val="11"/>
      <color rgb="FF000000"/>
      <name val="Times New Roman"/>
      <family val="1"/>
    </font>
    <font>
      <b/>
      <sz val="11"/>
      <color indexed="81"/>
      <name val="Tahoma"/>
      <family val="2"/>
    </font>
    <font>
      <sz val="11"/>
      <color indexed="81"/>
      <name val="Tahoma"/>
      <family val="2"/>
    </font>
    <font>
      <b/>
      <sz val="11"/>
      <color rgb="FFFF0000"/>
      <name val="Times New Roman"/>
      <family val="1"/>
    </font>
  </fonts>
  <fills count="36">
    <fill>
      <patternFill patternType="none"/>
    </fill>
    <fill>
      <patternFill patternType="gray125"/>
    </fill>
    <fill>
      <patternFill patternType="solid">
        <fgColor indexed="9"/>
        <bgColor indexed="64"/>
      </patternFill>
    </fill>
    <fill>
      <patternFill patternType="solid">
        <fgColor theme="9" tint="0.79998168889431442"/>
        <bgColor indexed="65"/>
      </patternFill>
    </fill>
    <fill>
      <patternFill patternType="solid">
        <fgColor theme="9" tint="0.79998168889431442"/>
        <bgColor theme="9" tint="0.79998168889431442"/>
      </patternFill>
    </fill>
    <fill>
      <patternFill patternType="solid">
        <fgColor theme="9"/>
      </patternFill>
    </fill>
    <fill>
      <patternFill patternType="solid">
        <fgColor rgb="FF217346"/>
        <bgColor indexed="64"/>
      </patternFill>
    </fill>
    <fill>
      <patternFill patternType="solid">
        <fgColor rgb="FFDBE5F1"/>
        <bgColor indexed="64"/>
      </patternFill>
    </fill>
    <fill>
      <patternFill patternType="solid">
        <fgColor rgb="FFFFEB9C"/>
      </patternFill>
    </fill>
    <fill>
      <patternFill patternType="solid">
        <fgColor theme="7" tint="0.59999389629810485"/>
        <bgColor indexed="64"/>
      </patternFill>
    </fill>
    <fill>
      <patternFill patternType="solid">
        <fgColor theme="4" tint="0.59999389629810485"/>
        <bgColor indexed="64"/>
      </patternFill>
    </fill>
    <fill>
      <patternFill patternType="solid">
        <fgColor theme="8" tint="0.39997558519241921"/>
        <bgColor indexed="64"/>
      </patternFill>
    </fill>
    <fill>
      <patternFill patternType="solid">
        <fgColor theme="9" tint="0.59999389629810485"/>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theme="3" tint="0.59999389629810485"/>
        <bgColor indexed="64"/>
      </patternFill>
    </fill>
    <fill>
      <patternFill patternType="solid">
        <fgColor theme="8" tint="0.59999389629810485"/>
        <bgColor indexed="64"/>
      </patternFill>
    </fill>
    <fill>
      <patternFill patternType="solid">
        <fgColor rgb="FF92D050"/>
        <bgColor indexed="64"/>
      </patternFill>
    </fill>
    <fill>
      <patternFill patternType="solid">
        <fgColor theme="0"/>
        <bgColor indexed="64"/>
      </patternFill>
    </fill>
    <fill>
      <patternFill patternType="solid">
        <fgColor theme="7" tint="0.79998168889431442"/>
        <bgColor indexed="64"/>
      </patternFill>
    </fill>
    <fill>
      <patternFill patternType="solid">
        <fgColor theme="7" tint="0.39997558519241921"/>
        <bgColor indexed="64"/>
      </patternFill>
    </fill>
    <fill>
      <patternFill patternType="solid">
        <fgColor rgb="FFDDDDDD"/>
        <bgColor indexed="64"/>
      </patternFill>
    </fill>
    <fill>
      <patternFill patternType="solid">
        <fgColor theme="0" tint="-0.14999847407452621"/>
        <bgColor indexed="64"/>
      </patternFill>
    </fill>
    <fill>
      <patternFill patternType="solid">
        <fgColor rgb="FFFFFFCC"/>
        <bgColor rgb="FFFFFFCC"/>
      </patternFill>
    </fill>
    <fill>
      <patternFill patternType="solid">
        <fgColor rgb="FFFF6699"/>
        <bgColor indexed="64"/>
      </patternFill>
    </fill>
    <fill>
      <patternFill patternType="solid">
        <fgColor rgb="FFC6D9F0"/>
        <bgColor rgb="FFC6D9F0"/>
      </patternFill>
    </fill>
    <fill>
      <patternFill patternType="solid">
        <fgColor rgb="FFFDE9D9"/>
        <bgColor rgb="FFFDE9D9"/>
      </patternFill>
    </fill>
    <fill>
      <patternFill patternType="solid">
        <fgColor rgb="FFF79646"/>
        <bgColor rgb="FFF79646"/>
      </patternFill>
    </fill>
    <fill>
      <patternFill patternType="solid">
        <fgColor rgb="FFFFFFFF"/>
        <bgColor rgb="FF000000"/>
      </patternFill>
    </fill>
    <fill>
      <patternFill patternType="solid">
        <fgColor rgb="FFCCC0DA"/>
        <bgColor rgb="FF000000"/>
      </patternFill>
    </fill>
    <fill>
      <patternFill patternType="solid">
        <fgColor rgb="FFFFFF00"/>
        <bgColor indexed="64"/>
      </patternFill>
    </fill>
    <fill>
      <patternFill patternType="solid">
        <fgColor rgb="FFD9D9D9"/>
        <bgColor rgb="FF000000"/>
      </patternFill>
    </fill>
    <fill>
      <patternFill patternType="solid">
        <fgColor rgb="FFDDEBF7"/>
        <bgColor indexed="64"/>
      </patternFill>
    </fill>
    <fill>
      <patternFill patternType="solid">
        <fgColor rgb="FFF2F2F2"/>
        <bgColor indexed="64"/>
      </patternFill>
    </fill>
    <fill>
      <patternFill patternType="solid">
        <fgColor theme="6" tint="0.79998168889431442"/>
        <bgColor indexed="64"/>
      </patternFill>
    </fill>
  </fills>
  <borders count="10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thin">
        <color indexed="64"/>
      </right>
      <top/>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style="medium">
        <color indexed="64"/>
      </right>
      <top/>
      <bottom/>
      <diagonal/>
    </border>
    <border>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style="medium">
        <color indexed="64"/>
      </top>
      <bottom style="thin">
        <color indexed="64"/>
      </bottom>
      <diagonal/>
    </border>
    <border>
      <left style="medium">
        <color indexed="64"/>
      </left>
      <right style="thin">
        <color indexed="64"/>
      </right>
      <top/>
      <bottom/>
      <diagonal/>
    </border>
    <border>
      <left style="thin">
        <color indexed="64"/>
      </left>
      <right/>
      <top/>
      <bottom/>
      <diagonal/>
    </border>
    <border>
      <left style="medium">
        <color indexed="64"/>
      </left>
      <right style="thin">
        <color indexed="64"/>
      </right>
      <top/>
      <bottom style="medium">
        <color indexed="64"/>
      </bottom>
      <diagonal/>
    </border>
    <border>
      <left/>
      <right/>
      <top style="thin">
        <color theme="9" tint="0.39994506668294322"/>
      </top>
      <bottom style="thin">
        <color theme="9" tint="0.39994506668294322"/>
      </bottom>
      <diagonal/>
    </border>
    <border>
      <left/>
      <right style="thin">
        <color theme="9" tint="0.39991454817346722"/>
      </right>
      <top/>
      <bottom style="thin">
        <color theme="9" tint="0.39991454817346722"/>
      </bottom>
      <diagonal/>
    </border>
    <border>
      <left style="thin">
        <color theme="9" tint="0.39994506668294322"/>
      </left>
      <right/>
      <top/>
      <bottom style="thin">
        <color theme="9" tint="0.39991454817346722"/>
      </bottom>
      <diagonal/>
    </border>
    <border>
      <left style="medium">
        <color indexed="64"/>
      </left>
      <right style="medium">
        <color theme="0"/>
      </right>
      <top style="medium">
        <color indexed="64"/>
      </top>
      <bottom style="medium">
        <color theme="0"/>
      </bottom>
      <diagonal/>
    </border>
    <border>
      <left style="medium">
        <color theme="0"/>
      </left>
      <right/>
      <top style="medium">
        <color indexed="64"/>
      </top>
      <bottom style="medium">
        <color theme="0"/>
      </bottom>
      <diagonal/>
    </border>
    <border>
      <left style="medium">
        <color theme="0"/>
      </left>
      <right/>
      <top style="medium">
        <color indexed="64"/>
      </top>
      <bottom/>
      <diagonal/>
    </border>
    <border>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style="medium">
        <color theme="0"/>
      </left>
      <right/>
      <top style="medium">
        <color indexed="64"/>
      </top>
      <bottom style="medium">
        <color indexed="64"/>
      </bottom>
      <diagonal/>
    </border>
    <border>
      <left style="medium">
        <color theme="0"/>
      </left>
      <right/>
      <top/>
      <bottom style="medium">
        <color theme="0"/>
      </bottom>
      <diagonal/>
    </border>
    <border>
      <left style="medium">
        <color theme="0"/>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top/>
      <bottom style="thin">
        <color rgb="FF000000"/>
      </bottom>
      <diagonal/>
    </border>
    <border>
      <left/>
      <right style="thin">
        <color rgb="FF000000"/>
      </right>
      <top style="thin">
        <color rgb="FF000000"/>
      </top>
      <bottom/>
      <diagonal/>
    </border>
    <border>
      <left/>
      <right/>
      <top style="thin">
        <color rgb="FF000000"/>
      </top>
      <bottom style="thin">
        <color rgb="FF000000"/>
      </bottom>
      <diagonal/>
    </border>
    <border>
      <left style="medium">
        <color indexed="64"/>
      </left>
      <right/>
      <top/>
      <bottom style="thin">
        <color rgb="FF000000"/>
      </bottom>
      <diagonal/>
    </border>
    <border>
      <left/>
      <right/>
      <top/>
      <bottom style="thin">
        <color rgb="FF000000"/>
      </bottom>
      <diagonal/>
    </border>
    <border>
      <left style="medium">
        <color indexed="64"/>
      </left>
      <right/>
      <top style="thin">
        <color rgb="FF000000"/>
      </top>
      <bottom/>
      <diagonal/>
    </border>
    <border>
      <left/>
      <right/>
      <top style="thin">
        <color rgb="FF000000"/>
      </top>
      <bottom/>
      <diagonal/>
    </border>
    <border>
      <left style="thin">
        <color rgb="FF000000"/>
      </left>
      <right style="thin">
        <color rgb="FF000000"/>
      </right>
      <top style="medium">
        <color rgb="FF000000"/>
      </top>
      <bottom style="thin">
        <color rgb="FF000000"/>
      </bottom>
      <diagonal/>
    </border>
    <border>
      <left style="thin">
        <color rgb="FF000000"/>
      </left>
      <right style="thin">
        <color rgb="FF000000"/>
      </right>
      <top style="thin">
        <color rgb="FF000000"/>
      </top>
      <bottom style="medium">
        <color rgb="FF000000"/>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style="thin">
        <color indexed="64"/>
      </right>
      <top/>
      <bottom style="thin">
        <color rgb="FF000000"/>
      </bottom>
      <diagonal/>
    </border>
    <border>
      <left style="thin">
        <color indexed="64"/>
      </left>
      <right style="medium">
        <color indexed="64"/>
      </right>
      <top style="thin">
        <color indexed="64"/>
      </top>
      <bottom/>
      <diagonal/>
    </border>
    <border>
      <left style="medium">
        <color indexed="64"/>
      </left>
      <right style="thin">
        <color rgb="FF000000"/>
      </right>
      <top style="thin">
        <color rgb="FF000000"/>
      </top>
      <bottom style="thin">
        <color rgb="FF000000"/>
      </bottom>
      <diagonal/>
    </border>
    <border>
      <left style="thin">
        <color rgb="FF000000"/>
      </left>
      <right style="medium">
        <color indexed="64"/>
      </right>
      <top style="thin">
        <color rgb="FF000000"/>
      </top>
      <bottom style="thin">
        <color rgb="FF000000"/>
      </bottom>
      <diagonal/>
    </border>
    <border>
      <left/>
      <right style="medium">
        <color indexed="64"/>
      </right>
      <top/>
      <bottom style="thin">
        <color rgb="FF000000"/>
      </bottom>
      <diagonal/>
    </border>
    <border>
      <left/>
      <right style="medium">
        <color indexed="64"/>
      </right>
      <top style="thin">
        <color rgb="FF000000"/>
      </top>
      <bottom/>
      <diagonal/>
    </border>
  </borders>
  <cellStyleXfs count="34">
    <xf numFmtId="0" fontId="0" fillId="0" borderId="0"/>
    <xf numFmtId="0" fontId="27" fillId="3" borderId="70" applyNumberFormat="0" applyAlignment="0" applyProtection="0"/>
    <xf numFmtId="49" fontId="29" fillId="0" borderId="0" applyFill="0" applyBorder="0" applyProtection="0">
      <alignment horizontal="left" vertical="center"/>
    </xf>
    <xf numFmtId="0" fontId="30" fillId="4" borderId="71" applyNumberFormat="0" applyFont="0" applyFill="0" applyAlignment="0"/>
    <xf numFmtId="0" fontId="30" fillId="4" borderId="72" applyNumberFormat="0" applyFont="0" applyFill="0" applyAlignment="0"/>
    <xf numFmtId="0" fontId="32" fillId="6" borderId="0" applyNumberFormat="0" applyProtection="0">
      <alignment horizontal="left" wrapText="1" indent="4"/>
    </xf>
    <xf numFmtId="0" fontId="33" fillId="6" borderId="0" applyNumberFormat="0" applyProtection="0">
      <alignment horizontal="left" wrapText="1" indent="4"/>
    </xf>
    <xf numFmtId="0" fontId="31" fillId="5" borderId="0" applyNumberFormat="0" applyBorder="0" applyAlignment="0" applyProtection="0"/>
    <xf numFmtId="16" fontId="34" fillId="0" borderId="0" applyFont="0" applyFill="0" applyBorder="0" applyAlignment="0">
      <alignment horizontal="left"/>
    </xf>
    <xf numFmtId="0" fontId="35" fillId="7" borderId="0" applyNumberFormat="0" applyBorder="0" applyProtection="0">
      <alignment horizontal="center" vertical="center"/>
    </xf>
    <xf numFmtId="169" fontId="27" fillId="0" borderId="0" applyFont="0" applyFill="0" applyBorder="0" applyAlignment="0" applyProtection="0"/>
    <xf numFmtId="168" fontId="27" fillId="0" borderId="0" applyFont="0" applyFill="0" applyBorder="0" applyAlignment="0" applyProtection="0"/>
    <xf numFmtId="41" fontId="27" fillId="0" borderId="0" applyFont="0" applyFill="0" applyBorder="0" applyAlignment="0" applyProtection="0"/>
    <xf numFmtId="169" fontId="5" fillId="0" borderId="0" applyFont="0" applyFill="0" applyBorder="0" applyAlignment="0" applyProtection="0"/>
    <xf numFmtId="167" fontId="27" fillId="0" borderId="0" applyFont="0" applyFill="0" applyBorder="0" applyAlignment="0" applyProtection="0"/>
    <xf numFmtId="166" fontId="27" fillId="0" borderId="0" applyFont="0" applyFill="0" applyBorder="0" applyAlignment="0" applyProtection="0"/>
    <xf numFmtId="164" fontId="27" fillId="0" borderId="0" applyFont="0" applyFill="0" applyBorder="0" applyAlignment="0" applyProtection="0"/>
    <xf numFmtId="171" fontId="2" fillId="0" borderId="0" applyFont="0" applyFill="0" applyBorder="0" applyAlignment="0" applyProtection="0"/>
    <xf numFmtId="170" fontId="27" fillId="0" borderId="0" applyFont="0" applyFill="0" applyBorder="0" applyAlignment="0" applyProtection="0"/>
    <xf numFmtId="164" fontId="1" fillId="0" borderId="0" applyFont="0" applyFill="0" applyBorder="0" applyAlignment="0" applyProtection="0"/>
    <xf numFmtId="165" fontId="30" fillId="0" borderId="0" applyFont="0" applyFill="0" applyBorder="0" applyAlignment="0" applyProtection="0"/>
    <xf numFmtId="0" fontId="36" fillId="8" borderId="0" applyNumberFormat="0" applyBorder="0" applyAlignment="0" applyProtection="0"/>
    <xf numFmtId="0" fontId="2" fillId="0" borderId="0"/>
    <xf numFmtId="0" fontId="2" fillId="0" borderId="0"/>
    <xf numFmtId="0" fontId="30" fillId="0" borderId="0"/>
    <xf numFmtId="0" fontId="6" fillId="0" borderId="0"/>
    <xf numFmtId="0" fontId="5" fillId="0" borderId="0"/>
    <xf numFmtId="0" fontId="2" fillId="0" borderId="0"/>
    <xf numFmtId="9" fontId="27"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0" fontId="33" fillId="0" borderId="0" applyFill="0" applyBorder="0">
      <alignment wrapText="1"/>
    </xf>
    <xf numFmtId="0" fontId="28" fillId="0" borderId="0"/>
    <xf numFmtId="0" fontId="37" fillId="6" borderId="0" applyNumberFormat="0" applyBorder="0" applyProtection="0">
      <alignment horizontal="left" indent="1"/>
    </xf>
  </cellStyleXfs>
  <cellXfs count="1013">
    <xf numFmtId="0" fontId="0" fillId="0" borderId="0" xfId="0"/>
    <xf numFmtId="9" fontId="4" fillId="9" borderId="1" xfId="28" applyFont="1" applyFill="1" applyBorder="1" applyAlignment="1" applyProtection="1">
      <alignment horizontal="center" vertical="center" wrapText="1"/>
      <protection locked="0"/>
    </xf>
    <xf numFmtId="9" fontId="3" fillId="0" borderId="2" xfId="22" applyNumberFormat="1" applyFont="1" applyBorder="1" applyAlignment="1">
      <alignment horizontal="center" vertical="center" wrapText="1"/>
    </xf>
    <xf numFmtId="176" fontId="27" fillId="0" borderId="0" xfId="14" applyNumberFormat="1" applyFont="1" applyBorder="1" applyAlignment="1">
      <alignment vertical="center"/>
    </xf>
    <xf numFmtId="0" fontId="0" fillId="0" borderId="3" xfId="0" applyBorder="1" applyAlignment="1">
      <alignment horizontal="center"/>
    </xf>
    <xf numFmtId="0" fontId="0" fillId="10" borderId="1" xfId="0" applyFill="1" applyBorder="1"/>
    <xf numFmtId="9" fontId="4" fillId="10" borderId="1" xfId="28" applyFont="1" applyFill="1" applyBorder="1" applyAlignment="1" applyProtection="1">
      <alignment horizontal="center" vertical="center" wrapText="1"/>
      <protection locked="0"/>
    </xf>
    <xf numFmtId="9" fontId="3" fillId="10" borderId="2" xfId="22" applyNumberFormat="1" applyFont="1" applyFill="1" applyBorder="1" applyAlignment="1">
      <alignment horizontal="center" vertical="center" wrapText="1"/>
    </xf>
    <xf numFmtId="0" fontId="0" fillId="11" borderId="1" xfId="0" applyFill="1" applyBorder="1"/>
    <xf numFmtId="0" fontId="0" fillId="12" borderId="1" xfId="0" applyFill="1" applyBorder="1"/>
    <xf numFmtId="9" fontId="4" fillId="12" borderId="1" xfId="28" applyFont="1" applyFill="1" applyBorder="1" applyAlignment="1" applyProtection="1">
      <alignment horizontal="center" vertical="center" wrapText="1"/>
      <protection locked="0"/>
    </xf>
    <xf numFmtId="9" fontId="3" fillId="12" borderId="2" xfId="22" applyNumberFormat="1" applyFont="1" applyFill="1" applyBorder="1" applyAlignment="1">
      <alignment horizontal="center" vertical="center" wrapText="1"/>
    </xf>
    <xf numFmtId="0" fontId="0" fillId="13" borderId="1" xfId="0" applyFill="1" applyBorder="1"/>
    <xf numFmtId="0" fontId="0" fillId="14" borderId="1" xfId="0" applyFill="1" applyBorder="1"/>
    <xf numFmtId="0" fontId="0" fillId="15" borderId="1" xfId="0" applyFill="1" applyBorder="1"/>
    <xf numFmtId="0" fontId="0" fillId="9" borderId="1" xfId="0" applyFill="1" applyBorder="1"/>
    <xf numFmtId="0" fontId="0" fillId="16" borderId="1" xfId="0" applyFill="1" applyBorder="1"/>
    <xf numFmtId="0" fontId="0" fillId="15" borderId="4" xfId="0" applyFill="1" applyBorder="1"/>
    <xf numFmtId="0" fontId="0" fillId="17" borderId="1" xfId="0" applyFill="1" applyBorder="1"/>
    <xf numFmtId="0" fontId="0" fillId="12" borderId="2" xfId="0" applyFill="1" applyBorder="1"/>
    <xf numFmtId="0" fontId="0" fillId="15" borderId="2" xfId="0" applyFill="1" applyBorder="1"/>
    <xf numFmtId="0" fontId="0" fillId="9" borderId="2" xfId="0" applyFill="1" applyBorder="1"/>
    <xf numFmtId="0" fontId="0" fillId="17" borderId="2" xfId="0" applyFill="1" applyBorder="1"/>
    <xf numFmtId="0" fontId="0" fillId="14" borderId="2" xfId="0" applyFill="1" applyBorder="1"/>
    <xf numFmtId="0" fontId="0" fillId="10" borderId="5" xfId="0" applyFill="1" applyBorder="1"/>
    <xf numFmtId="0" fontId="0" fillId="12" borderId="5" xfId="0" applyFill="1" applyBorder="1"/>
    <xf numFmtId="0" fontId="0" fillId="15" borderId="5" xfId="0" applyFill="1" applyBorder="1"/>
    <xf numFmtId="0" fontId="0" fillId="9" borderId="5" xfId="0" applyFill="1" applyBorder="1"/>
    <xf numFmtId="0" fontId="0" fillId="17" borderId="5" xfId="0" applyFill="1" applyBorder="1"/>
    <xf numFmtId="0" fontId="0" fillId="14" borderId="5" xfId="0" applyFill="1" applyBorder="1"/>
    <xf numFmtId="0" fontId="0" fillId="0" borderId="6" xfId="0" applyBorder="1" applyAlignment="1">
      <alignment horizontal="center"/>
    </xf>
    <xf numFmtId="0" fontId="0" fillId="0" borderId="7" xfId="0" applyBorder="1" applyAlignment="1">
      <alignment horizontal="center"/>
    </xf>
    <xf numFmtId="9" fontId="4" fillId="10" borderId="8" xfId="28" applyFont="1" applyFill="1" applyBorder="1" applyAlignment="1" applyProtection="1">
      <alignment horizontal="center" vertical="center" wrapText="1"/>
      <protection locked="0"/>
    </xf>
    <xf numFmtId="9" fontId="3" fillId="10" borderId="9" xfId="22" applyNumberFormat="1" applyFont="1" applyFill="1" applyBorder="1" applyAlignment="1">
      <alignment horizontal="center" vertical="center" wrapText="1"/>
    </xf>
    <xf numFmtId="9" fontId="3" fillId="12" borderId="8" xfId="22" applyNumberFormat="1" applyFont="1" applyFill="1" applyBorder="1" applyAlignment="1">
      <alignment horizontal="center" vertical="center" wrapText="1"/>
    </xf>
    <xf numFmtId="0" fontId="0" fillId="12" borderId="9" xfId="0" applyFill="1" applyBorder="1"/>
    <xf numFmtId="0" fontId="0" fillId="12" borderId="8" xfId="0" applyFill="1" applyBorder="1"/>
    <xf numFmtId="0" fontId="0" fillId="15" borderId="8" xfId="0" applyFill="1" applyBorder="1"/>
    <xf numFmtId="0" fontId="0" fillId="15" borderId="9" xfId="0" applyFill="1" applyBorder="1"/>
    <xf numFmtId="0" fontId="0" fillId="9" borderId="8" xfId="0" applyFill="1" applyBorder="1"/>
    <xf numFmtId="0" fontId="0" fillId="9" borderId="9" xfId="0" applyFill="1" applyBorder="1"/>
    <xf numFmtId="0" fontId="0" fillId="17" borderId="8" xfId="0" applyFill="1" applyBorder="1"/>
    <xf numFmtId="0" fontId="0" fillId="17" borderId="9" xfId="0" applyFill="1" applyBorder="1"/>
    <xf numFmtId="0" fontId="0" fillId="14" borderId="8" xfId="0" applyFill="1" applyBorder="1"/>
    <xf numFmtId="0" fontId="0" fillId="14" borderId="9" xfId="0" applyFill="1" applyBorder="1"/>
    <xf numFmtId="0" fontId="0" fillId="15" borderId="10" xfId="0" applyFill="1" applyBorder="1"/>
    <xf numFmtId="0" fontId="0" fillId="18" borderId="4" xfId="0" applyFill="1" applyBorder="1"/>
    <xf numFmtId="0" fontId="0" fillId="18" borderId="1" xfId="0" applyFill="1" applyBorder="1"/>
    <xf numFmtId="0" fontId="0" fillId="18" borderId="10" xfId="0" applyFill="1" applyBorder="1"/>
    <xf numFmtId="9" fontId="38" fillId="0" borderId="0" xfId="28" applyFont="1" applyBorder="1" applyAlignment="1">
      <alignment horizontal="center" vertical="center"/>
    </xf>
    <xf numFmtId="0" fontId="0" fillId="0" borderId="0" xfId="0" applyAlignment="1">
      <alignment vertical="center"/>
    </xf>
    <xf numFmtId="0" fontId="12" fillId="19" borderId="73" xfId="22" applyFont="1" applyFill="1" applyBorder="1" applyAlignment="1">
      <alignment vertical="center" wrapText="1"/>
    </xf>
    <xf numFmtId="0" fontId="12" fillId="19" borderId="74" xfId="22" applyFont="1" applyFill="1" applyBorder="1" applyAlignment="1">
      <alignment vertical="center" wrapText="1"/>
    </xf>
    <xf numFmtId="0" fontId="12" fillId="19" borderId="75" xfId="22" applyFont="1" applyFill="1" applyBorder="1" applyAlignment="1">
      <alignment vertical="center" wrapText="1"/>
    </xf>
    <xf numFmtId="0" fontId="12" fillId="19" borderId="0" xfId="22" applyFont="1" applyFill="1" applyAlignment="1">
      <alignment vertical="center" wrapText="1"/>
    </xf>
    <xf numFmtId="0" fontId="14" fillId="19" borderId="0" xfId="22" applyFont="1" applyFill="1" applyAlignment="1">
      <alignment vertical="center" wrapText="1"/>
    </xf>
    <xf numFmtId="0" fontId="12" fillId="19" borderId="11" xfId="22" applyFont="1" applyFill="1" applyBorder="1" applyAlignment="1">
      <alignment vertical="center" wrapText="1"/>
    </xf>
    <xf numFmtId="0" fontId="11" fillId="19" borderId="11" xfId="22" applyFont="1" applyFill="1" applyBorder="1" applyAlignment="1">
      <alignment vertical="center" wrapText="1"/>
    </xf>
    <xf numFmtId="0" fontId="11" fillId="19" borderId="12" xfId="22" applyFont="1" applyFill="1" applyBorder="1" applyAlignment="1">
      <alignment vertical="center" wrapText="1"/>
    </xf>
    <xf numFmtId="0" fontId="12" fillId="19" borderId="13" xfId="22" applyFont="1" applyFill="1" applyBorder="1" applyAlignment="1">
      <alignment vertical="center" wrapText="1"/>
    </xf>
    <xf numFmtId="0" fontId="11" fillId="19" borderId="0" xfId="22" applyFont="1" applyFill="1" applyAlignment="1">
      <alignment vertical="center" wrapText="1"/>
    </xf>
    <xf numFmtId="0" fontId="11" fillId="19" borderId="14" xfId="22" applyFont="1" applyFill="1" applyBorder="1" applyAlignment="1">
      <alignment vertical="center" wrapText="1"/>
    </xf>
    <xf numFmtId="0" fontId="0" fillId="0" borderId="76" xfId="0" applyBorder="1" applyAlignment="1">
      <alignment vertical="center"/>
    </xf>
    <xf numFmtId="0" fontId="0" fillId="0" borderId="77" xfId="0" applyBorder="1" applyAlignment="1">
      <alignment vertical="center"/>
    </xf>
    <xf numFmtId="0" fontId="0" fillId="0" borderId="78" xfId="0" applyBorder="1" applyAlignment="1">
      <alignment vertical="center"/>
    </xf>
    <xf numFmtId="0" fontId="12" fillId="0" borderId="0" xfId="22" applyFont="1" applyAlignment="1">
      <alignment horizontal="center" vertical="center" wrapText="1"/>
    </xf>
    <xf numFmtId="0" fontId="12" fillId="0" borderId="14" xfId="22" applyFont="1" applyBorder="1" applyAlignment="1">
      <alignment horizontal="center" vertical="center" wrapText="1"/>
    </xf>
    <xf numFmtId="0" fontId="12" fillId="19" borderId="13" xfId="22" applyFont="1" applyFill="1" applyBorder="1" applyAlignment="1">
      <alignment horizontal="center" vertical="center" wrapText="1"/>
    </xf>
    <xf numFmtId="0" fontId="12" fillId="19" borderId="79" xfId="22" applyFont="1" applyFill="1" applyBorder="1" applyAlignment="1">
      <alignment horizontal="center" vertical="center" wrapText="1"/>
    </xf>
    <xf numFmtId="0" fontId="15" fillId="19" borderId="0" xfId="22" applyFont="1" applyFill="1" applyAlignment="1">
      <alignment horizontal="center" vertical="center" wrapText="1"/>
    </xf>
    <xf numFmtId="0" fontId="12" fillId="19" borderId="0" xfId="22" applyFont="1" applyFill="1" applyAlignment="1">
      <alignment horizontal="center" vertical="center" wrapText="1"/>
    </xf>
    <xf numFmtId="0" fontId="15" fillId="0" borderId="0" xfId="22" applyFont="1" applyAlignment="1">
      <alignment horizontal="center" vertical="center" wrapText="1"/>
    </xf>
    <xf numFmtId="0" fontId="0" fillId="0" borderId="0" xfId="0" applyAlignment="1">
      <alignment horizontal="center" vertical="center" wrapText="1"/>
    </xf>
    <xf numFmtId="0" fontId="11" fillId="19" borderId="15" xfId="22" applyFont="1" applyFill="1" applyBorder="1" applyAlignment="1">
      <alignment vertical="center" wrapText="1"/>
    </xf>
    <xf numFmtId="0" fontId="11" fillId="19" borderId="16" xfId="22" applyFont="1" applyFill="1" applyBorder="1" applyAlignment="1">
      <alignment vertical="center" wrapText="1"/>
    </xf>
    <xf numFmtId="9" fontId="12" fillId="0" borderId="17" xfId="28" applyFont="1" applyFill="1" applyBorder="1" applyAlignment="1" applyProtection="1">
      <alignment horizontal="center" vertical="center" wrapText="1"/>
    </xf>
    <xf numFmtId="0" fontId="16" fillId="2" borderId="0" xfId="22" applyFont="1" applyFill="1" applyAlignment="1">
      <alignment vertical="center" wrapText="1"/>
    </xf>
    <xf numFmtId="0" fontId="39" fillId="19" borderId="13" xfId="0" applyFont="1" applyFill="1" applyBorder="1" applyAlignment="1">
      <alignment vertical="center"/>
    </xf>
    <xf numFmtId="0" fontId="39" fillId="19" borderId="0" xfId="0" applyFont="1" applyFill="1" applyAlignment="1">
      <alignment vertical="center"/>
    </xf>
    <xf numFmtId="0" fontId="39" fillId="19" borderId="14" xfId="0" applyFont="1" applyFill="1" applyBorder="1" applyAlignment="1">
      <alignment vertical="center"/>
    </xf>
    <xf numFmtId="0" fontId="12" fillId="19" borderId="0" xfId="22" applyFont="1" applyFill="1" applyAlignment="1">
      <alignment horizontal="left" vertical="center" wrapText="1"/>
    </xf>
    <xf numFmtId="0" fontId="0" fillId="19" borderId="0" xfId="0" applyFill="1" applyAlignment="1">
      <alignment vertical="center"/>
    </xf>
    <xf numFmtId="0" fontId="11" fillId="19" borderId="13" xfId="22" applyFont="1" applyFill="1" applyBorder="1" applyAlignment="1">
      <alignment vertical="center" wrapText="1"/>
    </xf>
    <xf numFmtId="176" fontId="0" fillId="0" borderId="0" xfId="0" applyNumberFormat="1" applyAlignment="1">
      <alignment vertical="center"/>
    </xf>
    <xf numFmtId="175" fontId="0" fillId="19" borderId="0" xfId="0" applyNumberFormat="1" applyFill="1" applyAlignment="1">
      <alignment vertical="center"/>
    </xf>
    <xf numFmtId="0" fontId="11" fillId="0" borderId="18" xfId="22" applyFont="1" applyBorder="1" applyAlignment="1">
      <alignment horizontal="left" vertical="center" wrapText="1"/>
    </xf>
    <xf numFmtId="168" fontId="12" fillId="0" borderId="10" xfId="11" applyFont="1" applyFill="1" applyBorder="1" applyAlignment="1" applyProtection="1">
      <alignment horizontal="center" vertical="center" wrapText="1"/>
    </xf>
    <xf numFmtId="166" fontId="27" fillId="0" borderId="0" xfId="15" applyFont="1" applyAlignment="1">
      <alignment vertical="center"/>
    </xf>
    <xf numFmtId="0" fontId="12" fillId="20" borderId="1" xfId="22" applyFont="1" applyFill="1" applyBorder="1" applyAlignment="1">
      <alignment horizontal="center" vertical="center" wrapText="1"/>
    </xf>
    <xf numFmtId="0" fontId="12" fillId="0" borderId="10" xfId="22" applyFont="1" applyBorder="1" applyAlignment="1">
      <alignment horizontal="center" vertical="center" wrapText="1"/>
    </xf>
    <xf numFmtId="0" fontId="12" fillId="0" borderId="4" xfId="22" applyFont="1" applyBorder="1" applyAlignment="1">
      <alignment horizontal="left" vertical="center" wrapText="1"/>
    </xf>
    <xf numFmtId="0" fontId="12" fillId="9" borderId="19" xfId="22" applyFont="1" applyFill="1" applyBorder="1" applyAlignment="1">
      <alignment horizontal="left" vertical="center" wrapText="1"/>
    </xf>
    <xf numFmtId="9" fontId="40" fillId="9" borderId="19" xfId="30" applyFont="1" applyFill="1" applyBorder="1" applyAlignment="1" applyProtection="1">
      <alignment vertical="center" wrapText="1"/>
    </xf>
    <xf numFmtId="174" fontId="12" fillId="9" borderId="19" xfId="28" applyNumberFormat="1" applyFont="1" applyFill="1" applyBorder="1" applyAlignment="1" applyProtection="1">
      <alignment vertical="center" wrapText="1"/>
    </xf>
    <xf numFmtId="166" fontId="38" fillId="0" borderId="0" xfId="15" applyFont="1" applyAlignment="1">
      <alignment vertical="center"/>
    </xf>
    <xf numFmtId="9" fontId="11" fillId="0" borderId="4" xfId="29" applyFont="1" applyFill="1" applyBorder="1" applyAlignment="1" applyProtection="1">
      <alignment horizontal="center" vertical="center" wrapText="1"/>
      <protection locked="0"/>
    </xf>
    <xf numFmtId="9" fontId="12" fillId="0" borderId="20" xfId="22" applyNumberFormat="1" applyFont="1" applyBorder="1" applyAlignment="1">
      <alignment horizontal="center" vertical="center" wrapText="1"/>
    </xf>
    <xf numFmtId="9" fontId="12" fillId="0" borderId="0" xfId="22" applyNumberFormat="1" applyFont="1" applyAlignment="1">
      <alignment vertical="center" wrapText="1"/>
    </xf>
    <xf numFmtId="0" fontId="38" fillId="0" borderId="0" xfId="0" applyFont="1" applyAlignment="1">
      <alignment vertical="center"/>
    </xf>
    <xf numFmtId="0" fontId="12" fillId="9" borderId="1" xfId="22" applyFont="1" applyFill="1" applyBorder="1" applyAlignment="1">
      <alignment horizontal="left" vertical="center" wrapText="1"/>
    </xf>
    <xf numFmtId="9" fontId="11" fillId="9" borderId="1" xfId="28" applyFont="1" applyFill="1" applyBorder="1" applyAlignment="1" applyProtection="1">
      <alignment horizontal="center" vertical="center" wrapText="1"/>
      <protection locked="0"/>
    </xf>
    <xf numFmtId="9" fontId="12" fillId="0" borderId="2" xfId="22" applyNumberFormat="1" applyFont="1" applyBorder="1" applyAlignment="1">
      <alignment horizontal="center" vertical="center" wrapText="1"/>
    </xf>
    <xf numFmtId="0" fontId="12" fillId="0" borderId="1" xfId="22" applyFont="1" applyBorder="1" applyAlignment="1">
      <alignment horizontal="left" vertical="center" wrapText="1"/>
    </xf>
    <xf numFmtId="9" fontId="11" fillId="0" borderId="1" xfId="29" applyFont="1" applyFill="1" applyBorder="1" applyAlignment="1" applyProtection="1">
      <alignment horizontal="center" vertical="center" wrapText="1"/>
      <protection locked="0"/>
    </xf>
    <xf numFmtId="9" fontId="11" fillId="9" borderId="2" xfId="28" applyFont="1" applyFill="1" applyBorder="1" applyAlignment="1" applyProtection="1">
      <alignment horizontal="center" vertical="center" wrapText="1"/>
      <protection locked="0"/>
    </xf>
    <xf numFmtId="9" fontId="11" fillId="9" borderId="19" xfId="28" applyFont="1" applyFill="1" applyBorder="1" applyAlignment="1" applyProtection="1">
      <alignment horizontal="center" vertical="center" wrapText="1"/>
      <protection locked="0"/>
    </xf>
    <xf numFmtId="9" fontId="11" fillId="9" borderId="21" xfId="28" applyFont="1" applyFill="1" applyBorder="1" applyAlignment="1" applyProtection="1">
      <alignment horizontal="center" vertical="center" wrapText="1"/>
      <protection locked="0"/>
    </xf>
    <xf numFmtId="9" fontId="12" fillId="0" borderId="21" xfId="22" applyNumberFormat="1" applyFont="1" applyBorder="1" applyAlignment="1">
      <alignment horizontal="center" vertical="center" wrapText="1"/>
    </xf>
    <xf numFmtId="0" fontId="39" fillId="0" borderId="0" xfId="0" applyFont="1" applyAlignment="1">
      <alignment vertical="center"/>
    </xf>
    <xf numFmtId="0" fontId="41" fillId="9" borderId="22" xfId="0" applyFont="1" applyFill="1" applyBorder="1" applyAlignment="1">
      <alignment vertical="center"/>
    </xf>
    <xf numFmtId="0" fontId="41" fillId="9" borderId="23" xfId="0" applyFont="1" applyFill="1" applyBorder="1" applyAlignment="1">
      <alignment vertical="center"/>
    </xf>
    <xf numFmtId="0" fontId="41" fillId="9" borderId="0" xfId="0" applyFont="1" applyFill="1" applyAlignment="1">
      <alignment vertical="center"/>
    </xf>
    <xf numFmtId="0" fontId="41" fillId="9" borderId="24" xfId="0" applyFont="1" applyFill="1" applyBorder="1" applyAlignment="1">
      <alignment vertical="center"/>
    </xf>
    <xf numFmtId="0" fontId="41" fillId="9" borderId="3" xfId="0" applyFont="1" applyFill="1" applyBorder="1" applyAlignment="1">
      <alignment vertical="center"/>
    </xf>
    <xf numFmtId="0" fontId="41" fillId="9" borderId="25" xfId="0" applyFont="1" applyFill="1" applyBorder="1" applyAlignment="1">
      <alignment vertical="center"/>
    </xf>
    <xf numFmtId="0" fontId="41" fillId="9" borderId="1" xfId="0" applyFont="1" applyFill="1" applyBorder="1" applyAlignment="1">
      <alignment horizontal="center" vertical="center" wrapText="1"/>
    </xf>
    <xf numFmtId="0" fontId="39" fillId="0" borderId="1" xfId="0" applyFont="1" applyBorder="1" applyAlignment="1">
      <alignment horizontal="center" vertical="center" wrapText="1"/>
    </xf>
    <xf numFmtId="0" fontId="39" fillId="0" borderId="1" xfId="0" applyFont="1" applyBorder="1" applyAlignment="1">
      <alignment vertical="center"/>
    </xf>
    <xf numFmtId="0" fontId="39" fillId="0" borderId="1" xfId="0" applyFont="1" applyBorder="1" applyAlignment="1">
      <alignment horizontal="center" vertical="center"/>
    </xf>
    <xf numFmtId="0" fontId="12" fillId="9" borderId="10" xfId="0" applyFont="1" applyFill="1" applyBorder="1" applyAlignment="1">
      <alignment horizontal="center" vertical="center" wrapText="1"/>
    </xf>
    <xf numFmtId="0" fontId="42" fillId="9" borderId="1" xfId="0" applyFont="1" applyFill="1" applyBorder="1" applyAlignment="1">
      <alignment horizontal="center" vertical="center"/>
    </xf>
    <xf numFmtId="0" fontId="39" fillId="0" borderId="0" xfId="0" applyFont="1" applyAlignment="1">
      <alignment horizontal="center" vertical="center"/>
    </xf>
    <xf numFmtId="0" fontId="43" fillId="0" borderId="1" xfId="0" applyFont="1" applyBorder="1" applyAlignment="1">
      <alignment vertical="center"/>
    </xf>
    <xf numFmtId="0" fontId="42" fillId="9" borderId="1" xfId="0" applyFont="1" applyFill="1" applyBorder="1" applyAlignment="1">
      <alignment horizontal="left" vertical="center"/>
    </xf>
    <xf numFmtId="0" fontId="39" fillId="0" borderId="1" xfId="0" applyFont="1" applyBorder="1" applyAlignment="1">
      <alignment horizontal="left" vertical="center"/>
    </xf>
    <xf numFmtId="0" fontId="39" fillId="0" borderId="2" xfId="0" applyFont="1" applyBorder="1" applyAlignment="1">
      <alignment horizontal="left" vertical="center"/>
    </xf>
    <xf numFmtId="41" fontId="39" fillId="0" borderId="1" xfId="12" applyFont="1" applyFill="1" applyBorder="1" applyAlignment="1">
      <alignment vertical="center"/>
    </xf>
    <xf numFmtId="0" fontId="43" fillId="0" borderId="0" xfId="0" applyFont="1" applyAlignment="1">
      <alignment vertical="center"/>
    </xf>
    <xf numFmtId="0" fontId="41" fillId="0" borderId="0" xfId="0" applyFont="1" applyAlignment="1">
      <alignment horizontal="left" vertical="center"/>
    </xf>
    <xf numFmtId="0" fontId="41" fillId="9" borderId="1" xfId="0" applyFont="1" applyFill="1" applyBorder="1" applyAlignment="1">
      <alignment vertical="center"/>
    </xf>
    <xf numFmtId="41" fontId="39" fillId="0" borderId="2" xfId="12" applyFont="1" applyFill="1" applyBorder="1" applyAlignment="1">
      <alignment vertical="center"/>
    </xf>
    <xf numFmtId="49" fontId="39" fillId="0" borderId="2" xfId="12" applyNumberFormat="1" applyFont="1" applyFill="1" applyBorder="1" applyAlignment="1">
      <alignment vertical="center"/>
    </xf>
    <xf numFmtId="49" fontId="39" fillId="0" borderId="1" xfId="12" applyNumberFormat="1" applyFont="1" applyFill="1" applyBorder="1" applyAlignment="1">
      <alignment vertical="center"/>
    </xf>
    <xf numFmtId="0" fontId="39" fillId="0" borderId="0" xfId="0" applyFont="1" applyAlignment="1">
      <alignment horizontal="left" vertical="center"/>
    </xf>
    <xf numFmtId="0" fontId="41" fillId="21" borderId="1" xfId="0" applyFont="1" applyFill="1" applyBorder="1" applyAlignment="1">
      <alignment horizontal="center" vertical="center"/>
    </xf>
    <xf numFmtId="0" fontId="39" fillId="0" borderId="4" xfId="0" applyFont="1" applyBorder="1" applyAlignment="1">
      <alignment horizontal="left" vertical="center" wrapText="1"/>
    </xf>
    <xf numFmtId="0" fontId="39" fillId="0" borderId="1" xfId="0" applyFont="1" applyBorder="1" applyAlignment="1">
      <alignment horizontal="left" vertical="center" wrapText="1"/>
    </xf>
    <xf numFmtId="0" fontId="39" fillId="0" borderId="1" xfId="0" applyFont="1" applyBorder="1" applyAlignment="1">
      <alignment vertical="center" wrapText="1"/>
    </xf>
    <xf numFmtId="0" fontId="41" fillId="0" borderId="1" xfId="0" applyFont="1" applyBorder="1" applyAlignment="1">
      <alignment vertical="center" wrapText="1"/>
    </xf>
    <xf numFmtId="0" fontId="11" fillId="19" borderId="1" xfId="0" applyFont="1" applyFill="1" applyBorder="1" applyAlignment="1">
      <alignment horizontal="left" vertical="center" wrapText="1"/>
    </xf>
    <xf numFmtId="0" fontId="41" fillId="0" borderId="10" xfId="0" applyFont="1" applyBorder="1" applyAlignment="1">
      <alignment horizontal="left" vertical="center" wrapText="1"/>
    </xf>
    <xf numFmtId="0" fontId="39" fillId="0" borderId="10" xfId="0" applyFont="1" applyBorder="1" applyAlignment="1">
      <alignment horizontal="left" vertical="center"/>
    </xf>
    <xf numFmtId="0" fontId="12" fillId="19" borderId="2" xfId="22" applyFont="1" applyFill="1" applyBorder="1" applyAlignment="1">
      <alignment horizontal="center" vertical="center" wrapText="1"/>
    </xf>
    <xf numFmtId="0" fontId="12" fillId="19" borderId="5" xfId="22" applyFont="1" applyFill="1" applyBorder="1" applyAlignment="1">
      <alignment horizontal="center" vertical="center" wrapText="1"/>
    </xf>
    <xf numFmtId="0" fontId="12" fillId="0" borderId="2" xfId="22" applyFont="1" applyBorder="1" applyAlignment="1">
      <alignment horizontal="center" vertical="center" wrapText="1"/>
    </xf>
    <xf numFmtId="0" fontId="12" fillId="0" borderId="26" xfId="22" applyFont="1" applyBorder="1" applyAlignment="1">
      <alignment horizontal="center" vertical="center" wrapText="1"/>
    </xf>
    <xf numFmtId="0" fontId="17" fillId="19" borderId="0" xfId="0" applyFont="1" applyFill="1" applyAlignment="1">
      <alignment vertical="center"/>
    </xf>
    <xf numFmtId="0" fontId="17" fillId="19" borderId="0" xfId="0" applyFont="1" applyFill="1" applyAlignment="1">
      <alignment horizontal="center" vertical="center"/>
    </xf>
    <xf numFmtId="49" fontId="12" fillId="9" borderId="10" xfId="0" applyNumberFormat="1" applyFont="1" applyFill="1" applyBorder="1" applyAlignment="1">
      <alignment horizontal="center" vertical="center" wrapText="1"/>
    </xf>
    <xf numFmtId="0" fontId="17" fillId="0" borderId="1" xfId="0" applyFont="1" applyBorder="1" applyAlignment="1">
      <alignment vertical="center"/>
    </xf>
    <xf numFmtId="0" fontId="13" fillId="22" borderId="1" xfId="0" applyFont="1" applyFill="1" applyBorder="1" applyAlignment="1">
      <alignment horizontal="center" vertical="center"/>
    </xf>
    <xf numFmtId="0" fontId="13" fillId="0" borderId="1" xfId="0" applyFont="1" applyBorder="1" applyAlignment="1">
      <alignment vertical="center"/>
    </xf>
    <xf numFmtId="0" fontId="13" fillId="0" borderId="1" xfId="0" applyFont="1" applyBorder="1" applyAlignment="1">
      <alignment vertical="center" wrapText="1"/>
    </xf>
    <xf numFmtId="0" fontId="13" fillId="22" borderId="1" xfId="0" applyFont="1" applyFill="1" applyBorder="1" applyAlignment="1">
      <alignment horizontal="left" vertical="center"/>
    </xf>
    <xf numFmtId="0" fontId="12" fillId="9" borderId="1" xfId="0" applyFont="1" applyFill="1" applyBorder="1" applyAlignment="1">
      <alignment horizontal="left" vertical="center" wrapText="1"/>
    </xf>
    <xf numFmtId="0" fontId="12" fillId="9" borderId="1" xfId="0" applyFont="1" applyFill="1" applyBorder="1" applyAlignment="1">
      <alignment vertical="center" wrapText="1"/>
    </xf>
    <xf numFmtId="177" fontId="13" fillId="22" borderId="1" xfId="15" applyNumberFormat="1" applyFont="1" applyFill="1" applyBorder="1" applyAlignment="1">
      <alignment horizontal="center" vertical="center"/>
    </xf>
    <xf numFmtId="177" fontId="13" fillId="22" borderId="1" xfId="0" applyNumberFormat="1" applyFont="1" applyFill="1" applyBorder="1" applyAlignment="1">
      <alignment horizontal="center" vertical="center"/>
    </xf>
    <xf numFmtId="0" fontId="12" fillId="20" borderId="27" xfId="22" applyFont="1" applyFill="1" applyBorder="1" applyAlignment="1">
      <alignment horizontal="center" vertical="center" wrapText="1"/>
    </xf>
    <xf numFmtId="0" fontId="12" fillId="20" borderId="28" xfId="22" applyFont="1" applyFill="1" applyBorder="1" applyAlignment="1">
      <alignment horizontal="center" vertical="center" wrapText="1"/>
    </xf>
    <xf numFmtId="0" fontId="12" fillId="20" borderId="29" xfId="22" applyFont="1" applyFill="1" applyBorder="1" applyAlignment="1">
      <alignment horizontal="center" vertical="center" wrapText="1"/>
    </xf>
    <xf numFmtId="9" fontId="12" fillId="0" borderId="10" xfId="28" applyFont="1" applyFill="1" applyBorder="1" applyAlignment="1" applyProtection="1">
      <alignment horizontal="center" vertical="center" wrapText="1"/>
    </xf>
    <xf numFmtId="9" fontId="12" fillId="9" borderId="19" xfId="28" applyFont="1" applyFill="1" applyBorder="1" applyAlignment="1" applyProtection="1">
      <alignment horizontal="center" vertical="center" wrapText="1"/>
    </xf>
    <xf numFmtId="0" fontId="12" fillId="19" borderId="30" xfId="22" applyFont="1" applyFill="1" applyBorder="1" applyAlignment="1">
      <alignment horizontal="center" vertical="center" wrapText="1"/>
    </xf>
    <xf numFmtId="0" fontId="12" fillId="19" borderId="22" xfId="22" applyFont="1" applyFill="1" applyBorder="1" applyAlignment="1">
      <alignment horizontal="center" vertical="center" wrapText="1"/>
    </xf>
    <xf numFmtId="0" fontId="12" fillId="19" borderId="23" xfId="22" applyFont="1" applyFill="1" applyBorder="1" applyAlignment="1">
      <alignment horizontal="center" vertical="center" wrapText="1"/>
    </xf>
    <xf numFmtId="0" fontId="44" fillId="0" borderId="0" xfId="0" applyFont="1" applyAlignment="1">
      <alignment horizontal="center" vertical="center"/>
    </xf>
    <xf numFmtId="0" fontId="38" fillId="0" borderId="0" xfId="0" applyFont="1" applyAlignment="1">
      <alignment horizontal="center" vertical="center" wrapText="1"/>
    </xf>
    <xf numFmtId="0" fontId="0" fillId="0" borderId="0" xfId="0" applyAlignment="1">
      <alignment horizontal="center" vertical="center"/>
    </xf>
    <xf numFmtId="0" fontId="12" fillId="0" borderId="13" xfId="22" applyFont="1" applyBorder="1" applyAlignment="1">
      <alignment vertical="center" wrapText="1"/>
    </xf>
    <xf numFmtId="0" fontId="12" fillId="0" borderId="0" xfId="22" applyFont="1" applyAlignment="1">
      <alignment vertical="center" wrapText="1"/>
    </xf>
    <xf numFmtId="0" fontId="14" fillId="0" borderId="0" xfId="22" applyFont="1" applyAlignment="1">
      <alignment vertical="center" wrapText="1"/>
    </xf>
    <xf numFmtId="0" fontId="11" fillId="0" borderId="0" xfId="22" applyFont="1" applyAlignment="1">
      <alignment vertical="center" wrapText="1"/>
    </xf>
    <xf numFmtId="0" fontId="11" fillId="0" borderId="14" xfId="22" applyFont="1" applyBorder="1" applyAlignment="1">
      <alignment vertical="center" wrapText="1"/>
    </xf>
    <xf numFmtId="173" fontId="27" fillId="0" borderId="1" xfId="10" applyNumberFormat="1" applyFont="1" applyBorder="1" applyAlignment="1">
      <alignment vertical="center"/>
    </xf>
    <xf numFmtId="173" fontId="27" fillId="0" borderId="8" xfId="10" applyNumberFormat="1" applyFont="1" applyBorder="1" applyAlignment="1">
      <alignment vertical="center"/>
    </xf>
    <xf numFmtId="173" fontId="27" fillId="0" borderId="19" xfId="10" applyNumberFormat="1" applyFont="1" applyBorder="1" applyAlignment="1">
      <alignment vertical="center"/>
    </xf>
    <xf numFmtId="173" fontId="27" fillId="0" borderId="4" xfId="10" applyNumberFormat="1" applyFont="1" applyBorder="1" applyAlignment="1">
      <alignment vertical="center"/>
    </xf>
    <xf numFmtId="173" fontId="27" fillId="0" borderId="2" xfId="10" applyNumberFormat="1" applyFont="1" applyBorder="1" applyAlignment="1">
      <alignment vertical="center"/>
    </xf>
    <xf numFmtId="173" fontId="27" fillId="0" borderId="32" xfId="10" applyNumberFormat="1" applyFont="1" applyBorder="1" applyAlignment="1">
      <alignment vertical="center"/>
    </xf>
    <xf numFmtId="173" fontId="27" fillId="0" borderId="20" xfId="10" applyNumberFormat="1" applyFont="1" applyBorder="1" applyAlignment="1">
      <alignment vertical="center"/>
    </xf>
    <xf numFmtId="9" fontId="27" fillId="0" borderId="21" xfId="28" applyFont="1" applyBorder="1" applyAlignment="1">
      <alignment vertical="center"/>
    </xf>
    <xf numFmtId="9" fontId="27" fillId="0" borderId="9" xfId="28" applyFont="1" applyBorder="1" applyAlignment="1">
      <alignment vertical="center"/>
    </xf>
    <xf numFmtId="9" fontId="27" fillId="0" borderId="33" xfId="28" applyFont="1" applyBorder="1" applyAlignment="1">
      <alignment vertical="center"/>
    </xf>
    <xf numFmtId="9" fontId="27" fillId="0" borderId="34" xfId="28" applyFont="1" applyBorder="1" applyAlignment="1">
      <alignment vertical="center"/>
    </xf>
    <xf numFmtId="0" fontId="3" fillId="9" borderId="10" xfId="0" applyFont="1" applyFill="1" applyBorder="1" applyAlignment="1">
      <alignment horizontal="center" vertical="center" wrapText="1"/>
    </xf>
    <xf numFmtId="49" fontId="3" fillId="9" borderId="10" xfId="0" applyNumberFormat="1" applyFont="1" applyFill="1" applyBorder="1" applyAlignment="1">
      <alignment horizontal="center" vertical="center" wrapText="1"/>
    </xf>
    <xf numFmtId="0" fontId="3" fillId="9" borderId="35" xfId="0" applyFont="1" applyFill="1" applyBorder="1" applyAlignment="1">
      <alignment horizontal="center" vertical="center" wrapText="1"/>
    </xf>
    <xf numFmtId="0" fontId="3" fillId="9" borderId="4" xfId="0" applyFont="1" applyFill="1" applyBorder="1" applyAlignment="1">
      <alignment horizontal="center" vertical="center" wrapText="1"/>
    </xf>
    <xf numFmtId="177" fontId="13" fillId="0" borderId="1" xfId="15" applyNumberFormat="1" applyFont="1" applyFill="1" applyBorder="1" applyAlignment="1">
      <alignment horizontal="center" vertical="center"/>
    </xf>
    <xf numFmtId="0" fontId="17" fillId="23" borderId="1" xfId="0" applyFont="1" applyFill="1" applyBorder="1" applyAlignment="1">
      <alignment horizontal="center" vertical="center"/>
    </xf>
    <xf numFmtId="0" fontId="13" fillId="23" borderId="1" xfId="0" applyFont="1" applyFill="1" applyBorder="1" applyAlignment="1">
      <alignment horizontal="center" vertical="center"/>
    </xf>
    <xf numFmtId="9" fontId="27" fillId="0" borderId="2" xfId="28" applyFont="1" applyBorder="1" applyAlignment="1">
      <alignment vertical="center"/>
    </xf>
    <xf numFmtId="0" fontId="12" fillId="9" borderId="2" xfId="0" applyFont="1" applyFill="1" applyBorder="1" applyAlignment="1">
      <alignment horizontal="center" vertical="center" wrapText="1"/>
    </xf>
    <xf numFmtId="9" fontId="41" fillId="9" borderId="1" xfId="28" applyFont="1" applyFill="1" applyBorder="1" applyAlignment="1">
      <alignment horizontal="center" vertical="center" wrapText="1"/>
    </xf>
    <xf numFmtId="9" fontId="39" fillId="0" borderId="0" xfId="28" applyFont="1" applyAlignment="1">
      <alignment vertical="center"/>
    </xf>
    <xf numFmtId="0" fontId="41" fillId="21" borderId="1" xfId="0" applyFont="1" applyFill="1" applyBorder="1" applyAlignment="1">
      <alignment horizontal="left" vertical="center"/>
    </xf>
    <xf numFmtId="0" fontId="41" fillId="0" borderId="1" xfId="0" applyFont="1" applyBorder="1" applyAlignment="1">
      <alignment horizontal="left" vertical="center"/>
    </xf>
    <xf numFmtId="0" fontId="41" fillId="0" borderId="1" xfId="0" applyFont="1" applyBorder="1" applyAlignment="1">
      <alignment horizontal="left" vertical="center" wrapText="1"/>
    </xf>
    <xf numFmtId="178" fontId="17" fillId="0" borderId="1" xfId="14" applyNumberFormat="1" applyFont="1" applyBorder="1" applyAlignment="1">
      <alignment vertical="center"/>
    </xf>
    <xf numFmtId="178" fontId="13" fillId="22" borderId="1" xfId="14" applyNumberFormat="1" applyFont="1" applyFill="1" applyBorder="1" applyAlignment="1">
      <alignment horizontal="center" vertical="center"/>
    </xf>
    <xf numFmtId="0" fontId="13" fillId="0" borderId="10" xfId="0" applyFont="1" applyBorder="1" applyAlignment="1">
      <alignment horizontal="left" vertical="center" wrapText="1"/>
    </xf>
    <xf numFmtId="0" fontId="12" fillId="19" borderId="80" xfId="22" applyFont="1" applyFill="1" applyBorder="1" applyAlignment="1">
      <alignment vertical="center" wrapText="1"/>
    </xf>
    <xf numFmtId="0" fontId="12" fillId="19" borderId="81" xfId="22" applyFont="1" applyFill="1" applyBorder="1" applyAlignment="1">
      <alignment vertical="center" wrapText="1"/>
    </xf>
    <xf numFmtId="0" fontId="11" fillId="19" borderId="36" xfId="22" applyFont="1" applyFill="1" applyBorder="1" applyAlignment="1">
      <alignment vertical="center" wrapText="1"/>
    </xf>
    <xf numFmtId="0" fontId="11" fillId="19" borderId="37" xfId="22" applyFont="1" applyFill="1" applyBorder="1" applyAlignment="1">
      <alignment vertical="center" wrapText="1"/>
    </xf>
    <xf numFmtId="9" fontId="11" fillId="19" borderId="4" xfId="29" applyFont="1" applyFill="1" applyBorder="1" applyAlignment="1" applyProtection="1">
      <alignment horizontal="center" vertical="center" wrapText="1"/>
      <protection locked="0"/>
    </xf>
    <xf numFmtId="179" fontId="11" fillId="0" borderId="82" xfId="25" applyNumberFormat="1" applyFont="1" applyBorder="1" applyAlignment="1">
      <alignment vertical="top" wrapText="1"/>
    </xf>
    <xf numFmtId="0" fontId="11" fillId="0" borderId="82" xfId="25" applyFont="1" applyBorder="1" applyAlignment="1">
      <alignment vertical="top" wrapText="1"/>
    </xf>
    <xf numFmtId="0" fontId="11" fillId="0" borderId="83" xfId="25" applyFont="1" applyBorder="1" applyAlignment="1">
      <alignment vertical="top" wrapText="1"/>
    </xf>
    <xf numFmtId="180" fontId="11" fillId="0" borderId="82" xfId="25" applyNumberFormat="1" applyFont="1" applyBorder="1" applyAlignment="1">
      <alignment vertical="top" wrapText="1"/>
    </xf>
    <xf numFmtId="181" fontId="11" fillId="0" borderId="82" xfId="25" applyNumberFormat="1" applyFont="1" applyBorder="1" applyAlignment="1">
      <alignment vertical="top" wrapText="1"/>
    </xf>
    <xf numFmtId="181" fontId="11" fillId="0" borderId="84" xfId="25" applyNumberFormat="1" applyFont="1" applyBorder="1" applyAlignment="1">
      <alignment vertical="top" wrapText="1"/>
    </xf>
    <xf numFmtId="173" fontId="27" fillId="0" borderId="1" xfId="10" applyNumberFormat="1" applyFont="1" applyFill="1" applyBorder="1" applyAlignment="1">
      <alignment vertical="center"/>
    </xf>
    <xf numFmtId="180" fontId="11" fillId="0" borderId="84" xfId="25" applyNumberFormat="1" applyFont="1" applyBorder="1" applyAlignment="1">
      <alignment vertical="top" wrapText="1"/>
    </xf>
    <xf numFmtId="180" fontId="11" fillId="0" borderId="86" xfId="25" applyNumberFormat="1" applyFont="1" applyBorder="1" applyAlignment="1">
      <alignment vertical="top" wrapText="1"/>
    </xf>
    <xf numFmtId="181" fontId="11" fillId="0" borderId="83" xfId="25" applyNumberFormat="1" applyFont="1" applyBorder="1" applyAlignment="1">
      <alignment vertical="top" wrapText="1"/>
    </xf>
    <xf numFmtId="180" fontId="11" fillId="19" borderId="1" xfId="25" applyNumberFormat="1" applyFont="1" applyFill="1" applyBorder="1" applyAlignment="1">
      <alignment vertical="top" wrapText="1"/>
    </xf>
    <xf numFmtId="0" fontId="11" fillId="0" borderId="88" xfId="25" applyFont="1" applyBorder="1" applyAlignment="1">
      <alignment vertical="top" wrapText="1"/>
    </xf>
    <xf numFmtId="0" fontId="11" fillId="0" borderId="1" xfId="25" applyFont="1" applyBorder="1" applyAlignment="1">
      <alignment vertical="top" wrapText="1"/>
    </xf>
    <xf numFmtId="9" fontId="11" fillId="19" borderId="1" xfId="29" applyFont="1" applyFill="1" applyBorder="1" applyAlignment="1" applyProtection="1">
      <alignment horizontal="center" vertical="center" wrapText="1"/>
      <protection locked="0"/>
    </xf>
    <xf numFmtId="0" fontId="12" fillId="20" borderId="5" xfId="22" applyFont="1" applyFill="1" applyBorder="1" applyAlignment="1">
      <alignment horizontal="center" vertical="center" wrapText="1"/>
    </xf>
    <xf numFmtId="0" fontId="12" fillId="20" borderId="31" xfId="22" applyFont="1" applyFill="1" applyBorder="1" applyAlignment="1">
      <alignment horizontal="center" vertical="center" wrapText="1"/>
    </xf>
    <xf numFmtId="0" fontId="12" fillId="20" borderId="18" xfId="22" applyFont="1" applyFill="1" applyBorder="1" applyAlignment="1">
      <alignment horizontal="center" vertical="center" wrapText="1"/>
    </xf>
    <xf numFmtId="0" fontId="12" fillId="0" borderId="25" xfId="22" applyFont="1" applyBorder="1" applyAlignment="1">
      <alignment horizontal="left" vertical="center" wrapText="1"/>
    </xf>
    <xf numFmtId="0" fontId="12" fillId="9" borderId="5" xfId="22" applyFont="1" applyFill="1" applyBorder="1" applyAlignment="1">
      <alignment horizontal="left" vertical="center" wrapText="1"/>
    </xf>
    <xf numFmtId="0" fontId="12" fillId="0" borderId="5" xfId="22" applyFont="1" applyBorder="1" applyAlignment="1">
      <alignment horizontal="left" vertical="center" wrapText="1"/>
    </xf>
    <xf numFmtId="0" fontId="12" fillId="0" borderId="35" xfId="22" applyFont="1" applyBorder="1" applyAlignment="1">
      <alignment horizontal="center" vertical="center" wrapText="1"/>
    </xf>
    <xf numFmtId="0" fontId="25" fillId="0" borderId="0" xfId="0" applyFont="1" applyAlignment="1">
      <alignment horizontal="justify" vertical="center" wrapText="1"/>
    </xf>
    <xf numFmtId="0" fontId="0" fillId="0" borderId="0" xfId="0" applyAlignment="1">
      <alignment horizontal="justify" vertical="center" wrapText="1"/>
    </xf>
    <xf numFmtId="0" fontId="24" fillId="24" borderId="82" xfId="0" applyFont="1" applyFill="1" applyBorder="1" applyAlignment="1">
      <alignment horizontal="center" vertical="center" wrapText="1"/>
    </xf>
    <xf numFmtId="0" fontId="24" fillId="0" borderId="82" xfId="0" applyFont="1" applyBorder="1" applyAlignment="1">
      <alignment horizontal="center" vertical="center" wrapText="1"/>
    </xf>
    <xf numFmtId="9" fontId="25" fillId="0" borderId="0" xfId="0" applyNumberFormat="1" applyFont="1" applyAlignment="1">
      <alignment horizontal="center" vertical="center"/>
    </xf>
    <xf numFmtId="184" fontId="24" fillId="25" borderId="0" xfId="0" applyNumberFormat="1" applyFont="1" applyFill="1" applyAlignment="1">
      <alignment horizontal="center" vertical="center"/>
    </xf>
    <xf numFmtId="0" fontId="39" fillId="0" borderId="0" xfId="0" applyFont="1" applyAlignment="1">
      <alignment horizontal="justify" vertical="center" wrapText="1"/>
    </xf>
    <xf numFmtId="184" fontId="25" fillId="0" borderId="0" xfId="0" applyNumberFormat="1" applyFont="1" applyAlignment="1">
      <alignment horizontal="justify" vertical="center" wrapText="1"/>
    </xf>
    <xf numFmtId="0" fontId="24" fillId="26" borderId="82" xfId="0" applyFont="1" applyFill="1" applyBorder="1" applyAlignment="1">
      <alignment horizontal="center" vertical="center" wrapText="1"/>
    </xf>
    <xf numFmtId="184" fontId="25" fillId="26" borderId="0" xfId="0" applyNumberFormat="1" applyFont="1" applyFill="1" applyAlignment="1">
      <alignment horizontal="center" vertical="center"/>
    </xf>
    <xf numFmtId="184" fontId="24" fillId="26" borderId="0" xfId="0" applyNumberFormat="1" applyFont="1" applyFill="1" applyAlignment="1">
      <alignment horizontal="center" vertical="center"/>
    </xf>
    <xf numFmtId="184" fontId="39" fillId="0" borderId="0" xfId="0" applyNumberFormat="1" applyFont="1" applyAlignment="1">
      <alignment horizontal="justify" vertical="center" wrapText="1"/>
    </xf>
    <xf numFmtId="0" fontId="24" fillId="26" borderId="83" xfId="0" applyFont="1" applyFill="1" applyBorder="1" applyAlignment="1">
      <alignment horizontal="center" vertical="center" wrapText="1"/>
    </xf>
    <xf numFmtId="9" fontId="26" fillId="0" borderId="0" xfId="0" applyNumberFormat="1" applyFont="1" applyAlignment="1">
      <alignment horizontal="justify" vertical="center" wrapText="1"/>
    </xf>
    <xf numFmtId="174" fontId="25" fillId="0" borderId="0" xfId="0" applyNumberFormat="1" applyFont="1" applyAlignment="1">
      <alignment horizontal="center" vertical="center" wrapText="1"/>
    </xf>
    <xf numFmtId="0" fontId="24" fillId="0" borderId="0" xfId="0" applyFont="1" applyAlignment="1">
      <alignment horizontal="center" vertical="center" wrapText="1"/>
    </xf>
    <xf numFmtId="184" fontId="24" fillId="0" borderId="0" xfId="0" applyNumberFormat="1" applyFont="1" applyAlignment="1">
      <alignment horizontal="center" vertical="center"/>
    </xf>
    <xf numFmtId="0" fontId="26" fillId="0" borderId="0" xfId="0" applyFont="1" applyAlignment="1">
      <alignment horizontal="justify" vertical="center" wrapText="1"/>
    </xf>
    <xf numFmtId="174" fontId="11" fillId="0" borderId="0" xfId="0" applyNumberFormat="1" applyFont="1" applyAlignment="1">
      <alignment vertical="center"/>
    </xf>
    <xf numFmtId="184" fontId="25" fillId="0" borderId="0" xfId="0" applyNumberFormat="1" applyFont="1" applyAlignment="1">
      <alignment horizontal="center" vertical="center"/>
    </xf>
    <xf numFmtId="0" fontId="25" fillId="0" borderId="0" xfId="0" applyFont="1" applyAlignment="1">
      <alignment horizontal="center" vertical="center"/>
    </xf>
    <xf numFmtId="0" fontId="25" fillId="27" borderId="0" xfId="0" applyFont="1" applyFill="1" applyAlignment="1">
      <alignment horizontal="center" vertical="center"/>
    </xf>
    <xf numFmtId="185" fontId="24" fillId="27" borderId="0" xfId="0" applyNumberFormat="1" applyFont="1" applyFill="1" applyAlignment="1">
      <alignment horizontal="center" vertical="center"/>
    </xf>
    <xf numFmtId="0" fontId="25" fillId="0" borderId="0" xfId="0" applyFont="1" applyAlignment="1">
      <alignment vertical="center"/>
    </xf>
    <xf numFmtId="0" fontId="24" fillId="28" borderId="0" xfId="0" applyFont="1" applyFill="1" applyAlignment="1">
      <alignment vertical="center"/>
    </xf>
    <xf numFmtId="186" fontId="25" fillId="28" borderId="0" xfId="0" applyNumberFormat="1" applyFont="1" applyFill="1" applyAlignment="1">
      <alignment horizontal="center" vertical="center"/>
    </xf>
    <xf numFmtId="184" fontId="25" fillId="28" borderId="0" xfId="0" applyNumberFormat="1" applyFont="1" applyFill="1" applyAlignment="1">
      <alignment horizontal="center" vertical="center"/>
    </xf>
    <xf numFmtId="0" fontId="4" fillId="0" borderId="0" xfId="0" applyFont="1" applyAlignment="1">
      <alignment horizontal="justify" vertical="center" wrapText="1"/>
    </xf>
    <xf numFmtId="0" fontId="4" fillId="0" borderId="0" xfId="0" applyFont="1" applyAlignment="1">
      <alignment vertical="center"/>
    </xf>
    <xf numFmtId="4" fontId="12" fillId="0" borderId="35" xfId="28" applyNumberFormat="1" applyFont="1" applyFill="1" applyBorder="1" applyAlignment="1" applyProtection="1">
      <alignment horizontal="center" vertical="center" wrapText="1"/>
    </xf>
    <xf numFmtId="4" fontId="12" fillId="9" borderId="31" xfId="28" applyNumberFormat="1" applyFont="1" applyFill="1" applyBorder="1" applyAlignment="1" applyProtection="1">
      <alignment horizontal="center" vertical="center" wrapText="1"/>
    </xf>
    <xf numFmtId="4" fontId="12" fillId="9" borderId="19" xfId="28" applyNumberFormat="1" applyFont="1" applyFill="1" applyBorder="1" applyAlignment="1" applyProtection="1">
      <alignment horizontal="center" vertical="center" wrapText="1"/>
    </xf>
    <xf numFmtId="4" fontId="12" fillId="9" borderId="33" xfId="28" applyNumberFormat="1" applyFont="1" applyFill="1" applyBorder="1" applyAlignment="1" applyProtection="1">
      <alignment horizontal="center" vertical="center" wrapText="1"/>
    </xf>
    <xf numFmtId="0" fontId="12" fillId="9" borderId="10" xfId="22" applyFont="1" applyFill="1" applyBorder="1" applyAlignment="1">
      <alignment horizontal="left" vertical="center" wrapText="1"/>
    </xf>
    <xf numFmtId="9" fontId="12" fillId="0" borderId="34" xfId="22" applyNumberFormat="1" applyFont="1" applyBorder="1" applyAlignment="1">
      <alignment horizontal="center" vertical="center" wrapText="1"/>
    </xf>
    <xf numFmtId="9" fontId="12" fillId="0" borderId="9" xfId="22" applyNumberFormat="1" applyFont="1" applyBorder="1" applyAlignment="1">
      <alignment horizontal="center" vertical="center" wrapText="1"/>
    </xf>
    <xf numFmtId="9" fontId="12" fillId="0" borderId="33" xfId="22" applyNumberFormat="1" applyFont="1" applyBorder="1" applyAlignment="1">
      <alignment horizontal="center" vertical="center" wrapText="1"/>
    </xf>
    <xf numFmtId="0" fontId="12" fillId="20" borderId="19" xfId="22" applyFont="1" applyFill="1" applyBorder="1" applyAlignment="1">
      <alignment horizontal="center" vertical="center" wrapText="1"/>
    </xf>
    <xf numFmtId="0" fontId="12" fillId="20" borderId="33" xfId="22" applyFont="1" applyFill="1" applyBorder="1" applyAlignment="1">
      <alignment horizontal="center" vertical="center" wrapText="1"/>
    </xf>
    <xf numFmtId="4" fontId="12" fillId="0" borderId="14" xfId="28" applyNumberFormat="1" applyFont="1" applyFill="1" applyBorder="1" applyAlignment="1" applyProtection="1">
      <alignment horizontal="center" vertical="center" wrapText="1"/>
    </xf>
    <xf numFmtId="4" fontId="12" fillId="9" borderId="39" xfId="28" applyNumberFormat="1" applyFont="1" applyFill="1" applyBorder="1" applyAlignment="1" applyProtection="1">
      <alignment horizontal="center" vertical="center" wrapText="1"/>
    </xf>
    <xf numFmtId="4" fontId="12" fillId="9" borderId="40" xfId="28" applyNumberFormat="1" applyFont="1" applyFill="1" applyBorder="1" applyAlignment="1" applyProtection="1">
      <alignment horizontal="center" vertical="center" wrapText="1"/>
    </xf>
    <xf numFmtId="0" fontId="12" fillId="9" borderId="33" xfId="22" applyFont="1" applyFill="1" applyBorder="1" applyAlignment="1">
      <alignment horizontal="left" vertical="center" wrapText="1"/>
    </xf>
    <xf numFmtId="4" fontId="12" fillId="0" borderId="25" xfId="28" applyNumberFormat="1" applyFont="1" applyFill="1" applyBorder="1" applyAlignment="1" applyProtection="1">
      <alignment horizontal="center" vertical="center" wrapText="1"/>
    </xf>
    <xf numFmtId="4" fontId="12" fillId="0" borderId="4" xfId="28" applyNumberFormat="1" applyFont="1" applyFill="1" applyBorder="1" applyAlignment="1" applyProtection="1">
      <alignment horizontal="center" vertical="center" wrapText="1"/>
    </xf>
    <xf numFmtId="4" fontId="12" fillId="0" borderId="34" xfId="28" applyNumberFormat="1" applyFont="1" applyFill="1" applyBorder="1" applyAlignment="1" applyProtection="1">
      <alignment horizontal="center" vertical="center" wrapText="1"/>
    </xf>
    <xf numFmtId="0" fontId="12" fillId="20" borderId="40" xfId="22" applyFont="1" applyFill="1" applyBorder="1" applyAlignment="1">
      <alignment horizontal="center" vertical="center" wrapText="1"/>
    </xf>
    <xf numFmtId="9" fontId="11" fillId="19" borderId="19" xfId="28" applyFont="1" applyFill="1" applyBorder="1" applyAlignment="1" applyProtection="1">
      <alignment horizontal="center" vertical="center" wrapText="1"/>
      <protection locked="0"/>
    </xf>
    <xf numFmtId="0" fontId="12" fillId="0" borderId="9" xfId="22" applyFont="1" applyBorder="1" applyAlignment="1">
      <alignment horizontal="left" vertical="center" wrapText="1"/>
    </xf>
    <xf numFmtId="4" fontId="12" fillId="0" borderId="32" xfId="28" applyNumberFormat="1" applyFont="1" applyFill="1" applyBorder="1" applyAlignment="1" applyProtection="1">
      <alignment horizontal="center" vertical="center" wrapText="1"/>
    </xf>
    <xf numFmtId="4" fontId="12" fillId="0" borderId="24" xfId="28" applyNumberFormat="1" applyFont="1" applyFill="1" applyBorder="1" applyAlignment="1" applyProtection="1">
      <alignment horizontal="center" vertical="center" wrapText="1"/>
    </xf>
    <xf numFmtId="0" fontId="41" fillId="0" borderId="1" xfId="0" applyFont="1" applyBorder="1" applyAlignment="1">
      <alignment horizontal="center" vertical="center"/>
    </xf>
    <xf numFmtId="0" fontId="12" fillId="9" borderId="40" xfId="22" applyFont="1" applyFill="1" applyBorder="1" applyAlignment="1">
      <alignment horizontal="left" vertical="center" wrapText="1"/>
    </xf>
    <xf numFmtId="9" fontId="43" fillId="29" borderId="4" xfId="0" applyNumberFormat="1" applyFont="1" applyFill="1" applyBorder="1" applyAlignment="1">
      <alignment horizontal="center" vertical="center" wrapText="1"/>
    </xf>
    <xf numFmtId="9" fontId="11" fillId="29" borderId="4" xfId="0" applyNumberFormat="1" applyFont="1" applyFill="1" applyBorder="1" applyAlignment="1">
      <alignment horizontal="center" vertical="center" wrapText="1"/>
    </xf>
    <xf numFmtId="9" fontId="11" fillId="30" borderId="1" xfId="0" applyNumberFormat="1" applyFont="1" applyFill="1" applyBorder="1" applyAlignment="1">
      <alignment horizontal="center" vertical="center" wrapText="1"/>
    </xf>
    <xf numFmtId="9" fontId="11" fillId="30" borderId="19" xfId="0" applyNumberFormat="1" applyFont="1" applyFill="1" applyBorder="1" applyAlignment="1">
      <alignment horizontal="center" vertical="center" wrapText="1"/>
    </xf>
    <xf numFmtId="9" fontId="11" fillId="0" borderId="4" xfId="0" applyNumberFormat="1" applyFont="1" applyBorder="1" applyAlignment="1">
      <alignment horizontal="center" vertical="center" wrapText="1"/>
    </xf>
    <xf numFmtId="9" fontId="11" fillId="0" borderId="1" xfId="0" applyNumberFormat="1" applyFont="1" applyBorder="1" applyAlignment="1">
      <alignment horizontal="center" vertical="center" wrapText="1"/>
    </xf>
    <xf numFmtId="0" fontId="11" fillId="30" borderId="1" xfId="0" applyFont="1" applyFill="1" applyBorder="1" applyAlignment="1">
      <alignment horizontal="center" vertical="center" wrapText="1"/>
    </xf>
    <xf numFmtId="9" fontId="11" fillId="29" borderId="1" xfId="0" applyNumberFormat="1" applyFont="1" applyFill="1" applyBorder="1" applyAlignment="1">
      <alignment horizontal="center" vertical="center" wrapText="1"/>
    </xf>
    <xf numFmtId="9" fontId="11" fillId="29" borderId="25" xfId="0" applyNumberFormat="1" applyFont="1" applyFill="1" applyBorder="1" applyAlignment="1">
      <alignment horizontal="center" vertical="center" wrapText="1"/>
    </xf>
    <xf numFmtId="0" fontId="11" fillId="29" borderId="40" xfId="0" applyFont="1" applyFill="1" applyBorder="1" applyAlignment="1">
      <alignment horizontal="center" vertical="center" wrapText="1"/>
    </xf>
    <xf numFmtId="0" fontId="11" fillId="30" borderId="19" xfId="0" applyFont="1" applyFill="1" applyBorder="1" applyAlignment="1">
      <alignment horizontal="center" vertical="center" wrapText="1"/>
    </xf>
    <xf numFmtId="0" fontId="17" fillId="0" borderId="1" xfId="0" applyFont="1" applyBorder="1" applyAlignment="1">
      <alignment horizontal="center" vertical="center" wrapText="1"/>
    </xf>
    <xf numFmtId="4" fontId="12" fillId="0" borderId="0" xfId="28" applyNumberFormat="1" applyFont="1" applyFill="1" applyBorder="1" applyAlignment="1" applyProtection="1">
      <alignment horizontal="center" vertical="center" wrapText="1"/>
    </xf>
    <xf numFmtId="4" fontId="12" fillId="9" borderId="50" xfId="28" applyNumberFormat="1" applyFont="1" applyFill="1" applyBorder="1" applyAlignment="1" applyProtection="1">
      <alignment horizontal="center" vertical="center" wrapText="1"/>
    </xf>
    <xf numFmtId="0" fontId="12" fillId="19" borderId="10" xfId="22" applyFont="1" applyFill="1" applyBorder="1" applyAlignment="1">
      <alignment horizontal="center" vertical="center" wrapText="1"/>
    </xf>
    <xf numFmtId="9" fontId="39" fillId="9" borderId="1" xfId="28" applyFont="1" applyFill="1" applyBorder="1" applyAlignment="1" applyProtection="1">
      <alignment horizontal="center" vertical="center" wrapText="1"/>
      <protection locked="0"/>
    </xf>
    <xf numFmtId="166" fontId="0" fillId="0" borderId="0" xfId="15" applyFont="1" applyAlignment="1">
      <alignment vertical="center"/>
    </xf>
    <xf numFmtId="9" fontId="41" fillId="0" borderId="0" xfId="22" applyNumberFormat="1" applyFont="1" applyAlignment="1">
      <alignment vertical="center" wrapText="1"/>
    </xf>
    <xf numFmtId="9" fontId="39" fillId="19" borderId="1" xfId="29" applyFont="1" applyFill="1" applyBorder="1" applyAlignment="1" applyProtection="1">
      <alignment horizontal="center" vertical="center" wrapText="1"/>
      <protection locked="0"/>
    </xf>
    <xf numFmtId="0" fontId="12" fillId="0" borderId="99" xfId="22" applyFont="1" applyBorder="1" applyAlignment="1">
      <alignment horizontal="center" vertical="center" wrapText="1"/>
    </xf>
    <xf numFmtId="1" fontId="39" fillId="9" borderId="10" xfId="30" applyNumberFormat="1" applyFont="1" applyFill="1" applyBorder="1" applyAlignment="1" applyProtection="1">
      <alignment horizontal="center" vertical="center" wrapText="1"/>
    </xf>
    <xf numFmtId="4" fontId="11" fillId="0" borderId="1" xfId="25" applyNumberFormat="1" applyFont="1" applyBorder="1" applyAlignment="1">
      <alignment horizontal="center" vertical="center" wrapText="1"/>
    </xf>
    <xf numFmtId="9" fontId="39" fillId="0" borderId="2" xfId="28" applyFont="1" applyBorder="1" applyAlignment="1">
      <alignment horizontal="center" vertical="center"/>
    </xf>
    <xf numFmtId="183" fontId="11" fillId="0" borderId="1" xfId="25" applyNumberFormat="1" applyFont="1" applyBorder="1" applyAlignment="1">
      <alignment horizontal="center" vertical="center" wrapText="1"/>
    </xf>
    <xf numFmtId="4" fontId="11" fillId="0" borderId="4" xfId="25" applyNumberFormat="1" applyFont="1" applyBorder="1" applyAlignment="1">
      <alignment horizontal="center" vertical="center" wrapText="1"/>
    </xf>
    <xf numFmtId="174" fontId="12" fillId="0" borderId="34" xfId="22" applyNumberFormat="1" applyFont="1" applyBorder="1" applyAlignment="1">
      <alignment horizontal="center" vertical="center" wrapText="1"/>
    </xf>
    <xf numFmtId="174" fontId="12" fillId="0" borderId="9" xfId="22" applyNumberFormat="1" applyFont="1" applyBorder="1" applyAlignment="1">
      <alignment horizontal="center" vertical="center" wrapText="1"/>
    </xf>
    <xf numFmtId="174" fontId="12" fillId="0" borderId="33" xfId="22" applyNumberFormat="1" applyFont="1" applyBorder="1" applyAlignment="1">
      <alignment horizontal="center" vertical="center" wrapText="1"/>
    </xf>
    <xf numFmtId="174" fontId="11" fillId="29" borderId="4" xfId="0" applyNumberFormat="1" applyFont="1" applyFill="1" applyBorder="1" applyAlignment="1">
      <alignment horizontal="center" vertical="center" wrapText="1"/>
    </xf>
    <xf numFmtId="174" fontId="11" fillId="19" borderId="4" xfId="29" applyNumberFormat="1" applyFont="1" applyFill="1" applyBorder="1" applyAlignment="1" applyProtection="1">
      <alignment horizontal="center" vertical="center" wrapText="1"/>
      <protection locked="0"/>
    </xf>
    <xf numFmtId="187" fontId="11" fillId="0" borderId="4" xfId="25" applyNumberFormat="1" applyFont="1" applyBorder="1" applyAlignment="1">
      <alignment horizontal="center" vertical="center" wrapText="1"/>
    </xf>
    <xf numFmtId="174" fontId="12" fillId="30" borderId="40" xfId="0" applyNumberFormat="1" applyFont="1" applyFill="1" applyBorder="1" applyAlignment="1">
      <alignment horizontal="center" vertical="center" wrapText="1"/>
    </xf>
    <xf numFmtId="174" fontId="12" fillId="0" borderId="25" xfId="28" applyNumberFormat="1" applyFont="1" applyFill="1" applyBorder="1" applyAlignment="1" applyProtection="1">
      <alignment horizontal="center" vertical="center" wrapText="1"/>
    </xf>
    <xf numFmtId="174" fontId="12" fillId="0" borderId="4" xfId="28" applyNumberFormat="1" applyFont="1" applyFill="1" applyBorder="1" applyAlignment="1" applyProtection="1">
      <alignment horizontal="center" vertical="center" wrapText="1"/>
    </xf>
    <xf numFmtId="174" fontId="12" fillId="0" borderId="34" xfId="28" applyNumberFormat="1" applyFont="1" applyFill="1" applyBorder="1" applyAlignment="1" applyProtection="1">
      <alignment horizontal="center" vertical="center" wrapText="1"/>
    </xf>
    <xf numFmtId="174" fontId="12" fillId="0" borderId="14" xfId="28" applyNumberFormat="1" applyFont="1" applyFill="1" applyBorder="1" applyAlignment="1" applyProtection="1">
      <alignment horizontal="center" vertical="center" wrapText="1"/>
    </xf>
    <xf numFmtId="174" fontId="12" fillId="9" borderId="40" xfId="28" applyNumberFormat="1" applyFont="1" applyFill="1" applyBorder="1" applyAlignment="1" applyProtection="1">
      <alignment horizontal="center" vertical="center" wrapText="1"/>
    </xf>
    <xf numFmtId="174" fontId="12" fillId="9" borderId="19" xfId="28" applyNumberFormat="1" applyFont="1" applyFill="1" applyBorder="1" applyAlignment="1" applyProtection="1">
      <alignment horizontal="center" vertical="center" wrapText="1"/>
    </xf>
    <xf numFmtId="174" fontId="12" fillId="9" borderId="33" xfId="28" applyNumberFormat="1" applyFont="1" applyFill="1" applyBorder="1" applyAlignment="1" applyProtection="1">
      <alignment horizontal="center" vertical="center" wrapText="1"/>
    </xf>
    <xf numFmtId="174" fontId="12" fillId="9" borderId="39" xfId="28" applyNumberFormat="1" applyFont="1" applyFill="1" applyBorder="1" applyAlignment="1" applyProtection="1">
      <alignment horizontal="center" vertical="center" wrapText="1"/>
    </xf>
    <xf numFmtId="2" fontId="12" fillId="9" borderId="19" xfId="22" applyNumberFormat="1" applyFont="1" applyFill="1" applyBorder="1" applyAlignment="1">
      <alignment horizontal="left" vertical="center" wrapText="1"/>
    </xf>
    <xf numFmtId="2" fontId="12" fillId="20" borderId="19" xfId="22" applyNumberFormat="1" applyFont="1" applyFill="1" applyBorder="1" applyAlignment="1">
      <alignment horizontal="center" vertical="center" wrapText="1"/>
    </xf>
    <xf numFmtId="0" fontId="11" fillId="0" borderId="0" xfId="0" applyFont="1" applyAlignment="1">
      <alignment vertical="center"/>
    </xf>
    <xf numFmtId="0" fontId="34" fillId="0" borderId="0" xfId="0" applyFont="1" applyAlignment="1">
      <alignment vertical="center"/>
    </xf>
    <xf numFmtId="0" fontId="55" fillId="0" borderId="0" xfId="0" applyFont="1" applyAlignment="1">
      <alignment vertical="center"/>
    </xf>
    <xf numFmtId="168" fontId="55" fillId="0" borderId="0" xfId="11" applyFont="1" applyFill="1" applyAlignment="1">
      <alignment vertical="center"/>
    </xf>
    <xf numFmtId="0" fontId="28" fillId="0" borderId="0" xfId="0" applyFont="1" applyAlignment="1">
      <alignment vertical="center"/>
    </xf>
    <xf numFmtId="0" fontId="56" fillId="0" borderId="0" xfId="22" applyFont="1" applyAlignment="1">
      <alignment vertical="center" wrapText="1"/>
    </xf>
    <xf numFmtId="0" fontId="43" fillId="19" borderId="1" xfId="0" applyFont="1" applyFill="1" applyBorder="1" applyAlignment="1">
      <alignment horizontal="left" vertical="center" wrapText="1"/>
    </xf>
    <xf numFmtId="3" fontId="11" fillId="0" borderId="82" xfId="25" applyNumberFormat="1" applyFont="1" applyBorder="1" applyAlignment="1">
      <alignment vertical="top" wrapText="1"/>
    </xf>
    <xf numFmtId="179" fontId="11" fillId="0" borderId="85" xfId="25" applyNumberFormat="1" applyFont="1" applyBorder="1" applyAlignment="1">
      <alignment vertical="top" wrapText="1"/>
    </xf>
    <xf numFmtId="0" fontId="11" fillId="0" borderId="84" xfId="25" applyFont="1" applyBorder="1" applyAlignment="1">
      <alignment vertical="top" wrapText="1"/>
    </xf>
    <xf numFmtId="0" fontId="11" fillId="0" borderId="1" xfId="0" applyFont="1" applyBorder="1" applyAlignment="1">
      <alignment horizontal="center" vertical="center"/>
    </xf>
    <xf numFmtId="0" fontId="11" fillId="0" borderId="0" xfId="25" applyFont="1" applyAlignment="1">
      <alignment vertical="top" wrapText="1"/>
    </xf>
    <xf numFmtId="9" fontId="11" fillId="0" borderId="2" xfId="28" applyFont="1" applyFill="1" applyBorder="1" applyAlignment="1">
      <alignment horizontal="center" vertical="center"/>
    </xf>
    <xf numFmtId="0" fontId="11" fillId="0" borderId="89" xfId="25" applyFont="1" applyBorder="1" applyAlignment="1">
      <alignment vertical="top" wrapText="1"/>
    </xf>
    <xf numFmtId="182" fontId="11" fillId="0" borderId="83" xfId="25" applyNumberFormat="1" applyFont="1" applyBorder="1" applyAlignment="1">
      <alignment vertical="top" wrapText="1"/>
    </xf>
    <xf numFmtId="0" fontId="11" fillId="0" borderId="87" xfId="25" applyFont="1" applyBorder="1" applyAlignment="1">
      <alignment vertical="top" wrapText="1"/>
    </xf>
    <xf numFmtId="0" fontId="39" fillId="0" borderId="10" xfId="0" applyFont="1" applyBorder="1" applyAlignment="1">
      <alignment horizontal="center" vertical="center"/>
    </xf>
    <xf numFmtId="0" fontId="11" fillId="0" borderId="10" xfId="0" applyFont="1" applyBorder="1" applyAlignment="1">
      <alignment horizontal="center" vertical="center"/>
    </xf>
    <xf numFmtId="9" fontId="11" fillId="0" borderId="51" xfId="28" applyFont="1" applyFill="1" applyBorder="1" applyAlignment="1">
      <alignment horizontal="center" vertical="center"/>
    </xf>
    <xf numFmtId="0" fontId="11" fillId="0" borderId="1" xfId="25" quotePrefix="1" applyFont="1" applyBorder="1" applyAlignment="1">
      <alignment vertical="top" wrapText="1"/>
    </xf>
    <xf numFmtId="9" fontId="11" fillId="0" borderId="1" xfId="25" applyNumberFormat="1" applyFont="1" applyBorder="1" applyAlignment="1">
      <alignment vertical="top" wrapText="1"/>
    </xf>
    <xf numFmtId="9" fontId="39" fillId="0" borderId="1" xfId="0" applyNumberFormat="1" applyFont="1" applyBorder="1" applyAlignment="1">
      <alignment horizontal="center" vertical="center"/>
    </xf>
    <xf numFmtId="0" fontId="43" fillId="0" borderId="1" xfId="0" applyFont="1" applyBorder="1"/>
    <xf numFmtId="0" fontId="43" fillId="0" borderId="4" xfId="0" applyFont="1" applyBorder="1"/>
    <xf numFmtId="0" fontId="12" fillId="20" borderId="51" xfId="22" applyFont="1" applyFill="1" applyBorder="1" applyAlignment="1">
      <alignment horizontal="center" vertical="center" wrapText="1"/>
    </xf>
    <xf numFmtId="0" fontId="12" fillId="20" borderId="23" xfId="22" applyFont="1" applyFill="1" applyBorder="1" applyAlignment="1">
      <alignment horizontal="center" vertical="center" wrapText="1"/>
    </xf>
    <xf numFmtId="0" fontId="12" fillId="20" borderId="2" xfId="22" applyFont="1" applyFill="1" applyBorder="1" applyAlignment="1">
      <alignment horizontal="center" vertical="center" wrapText="1"/>
    </xf>
    <xf numFmtId="0" fontId="12" fillId="20" borderId="21" xfId="22" applyFont="1" applyFill="1" applyBorder="1" applyAlignment="1">
      <alignment horizontal="center" vertical="center" wrapText="1"/>
    </xf>
    <xf numFmtId="0" fontId="12" fillId="20" borderId="10" xfId="22" applyFont="1" applyFill="1" applyBorder="1" applyAlignment="1">
      <alignment horizontal="center" vertical="center" wrapText="1"/>
    </xf>
    <xf numFmtId="0" fontId="12" fillId="20" borderId="54" xfId="22" applyFont="1" applyFill="1" applyBorder="1" applyAlignment="1">
      <alignment horizontal="center" vertical="center" wrapText="1"/>
    </xf>
    <xf numFmtId="0" fontId="12" fillId="20" borderId="53" xfId="22" applyFont="1" applyFill="1" applyBorder="1" applyAlignment="1">
      <alignment horizontal="center" vertical="center" wrapText="1"/>
    </xf>
    <xf numFmtId="0" fontId="12" fillId="20" borderId="55" xfId="22" applyFont="1" applyFill="1" applyBorder="1" applyAlignment="1">
      <alignment horizontal="center" vertical="center" wrapText="1"/>
    </xf>
    <xf numFmtId="173" fontId="27" fillId="0" borderId="56" xfId="10" applyNumberFormat="1" applyFont="1" applyBorder="1" applyAlignment="1">
      <alignment vertical="center"/>
    </xf>
    <xf numFmtId="173" fontId="27" fillId="0" borderId="44" xfId="10" applyNumberFormat="1" applyFont="1" applyBorder="1" applyAlignment="1">
      <alignment vertical="center"/>
    </xf>
    <xf numFmtId="9" fontId="27" fillId="0" borderId="45" xfId="28" applyFont="1" applyBorder="1" applyAlignment="1">
      <alignment vertical="center"/>
    </xf>
    <xf numFmtId="173" fontId="27" fillId="0" borderId="31" xfId="10" applyNumberFormat="1" applyFont="1" applyBorder="1" applyAlignment="1">
      <alignment vertical="center"/>
    </xf>
    <xf numFmtId="173" fontId="27" fillId="0" borderId="5" xfId="10" applyNumberFormat="1" applyFont="1" applyBorder="1" applyAlignment="1">
      <alignment vertical="center"/>
    </xf>
    <xf numFmtId="173" fontId="27" fillId="0" borderId="9" xfId="10" applyNumberFormat="1" applyFont="1" applyBorder="1" applyAlignment="1">
      <alignment vertical="center"/>
    </xf>
    <xf numFmtId="173" fontId="27" fillId="0" borderId="57" xfId="10" applyNumberFormat="1" applyFont="1" applyBorder="1" applyAlignment="1">
      <alignment vertical="center"/>
    </xf>
    <xf numFmtId="173" fontId="27" fillId="0" borderId="40" xfId="10" applyNumberFormat="1" applyFont="1" applyBorder="1" applyAlignment="1">
      <alignment vertical="center"/>
    </xf>
    <xf numFmtId="0" fontId="12" fillId="20" borderId="100" xfId="22" applyFont="1" applyFill="1" applyBorder="1" applyAlignment="1">
      <alignment horizontal="center" vertical="center" wrapText="1"/>
    </xf>
    <xf numFmtId="0" fontId="12" fillId="0" borderId="44" xfId="22" applyFont="1" applyBorder="1" applyAlignment="1">
      <alignment horizontal="left" vertical="center" wrapText="1"/>
    </xf>
    <xf numFmtId="9" fontId="11" fillId="29" borderId="44" xfId="0" applyNumberFormat="1" applyFont="1" applyFill="1" applyBorder="1" applyAlignment="1">
      <alignment horizontal="center" vertical="center" wrapText="1"/>
    </xf>
    <xf numFmtId="9" fontId="39" fillId="19" borderId="44" xfId="29" applyFont="1" applyFill="1" applyBorder="1" applyAlignment="1" applyProtection="1">
      <alignment horizontal="center" vertical="center" wrapText="1"/>
      <protection locked="0"/>
    </xf>
    <xf numFmtId="9" fontId="11" fillId="19" borderId="44" xfId="29" applyFont="1" applyFill="1" applyBorder="1" applyAlignment="1" applyProtection="1">
      <alignment horizontal="center" vertical="center" wrapText="1"/>
      <protection locked="0"/>
    </xf>
    <xf numFmtId="9" fontId="12" fillId="0" borderId="45" xfId="22" applyNumberFormat="1" applyFont="1" applyBorder="1" applyAlignment="1">
      <alignment horizontal="center" vertical="center" wrapText="1"/>
    </xf>
    <xf numFmtId="173" fontId="12" fillId="0" borderId="68" xfId="10" applyNumberFormat="1" applyFont="1" applyFill="1" applyBorder="1" applyAlignment="1" applyProtection="1">
      <alignment horizontal="center" vertical="center" wrapText="1"/>
    </xf>
    <xf numFmtId="9" fontId="12" fillId="0" borderId="66" xfId="22" applyNumberFormat="1" applyFont="1" applyBorder="1" applyAlignment="1">
      <alignment horizontal="center" vertical="center" wrapText="1"/>
    </xf>
    <xf numFmtId="0" fontId="12" fillId="0" borderId="57" xfId="22" applyFont="1" applyBorder="1" applyAlignment="1">
      <alignment horizontal="left" vertical="center" wrapText="1"/>
    </xf>
    <xf numFmtId="2" fontId="12" fillId="0" borderId="44" xfId="22" applyNumberFormat="1" applyFont="1" applyBorder="1" applyAlignment="1">
      <alignment horizontal="left" vertical="center" wrapText="1"/>
    </xf>
    <xf numFmtId="2" fontId="12" fillId="9" borderId="10" xfId="22" applyNumberFormat="1" applyFont="1" applyFill="1" applyBorder="1" applyAlignment="1">
      <alignment horizontal="left" vertical="center" wrapText="1"/>
    </xf>
    <xf numFmtId="1" fontId="12" fillId="9" borderId="23" xfId="28" applyNumberFormat="1" applyFont="1" applyFill="1" applyBorder="1" applyAlignment="1" applyProtection="1">
      <alignment horizontal="center" vertical="center" wrapText="1"/>
    </xf>
    <xf numFmtId="9" fontId="11" fillId="0" borderId="57" xfId="28" applyFont="1" applyBorder="1" applyAlignment="1">
      <alignment horizontal="center" vertical="center" wrapText="1"/>
    </xf>
    <xf numFmtId="9" fontId="11" fillId="0" borderId="44" xfId="28" applyFont="1" applyFill="1" applyBorder="1" applyAlignment="1" applyProtection="1">
      <alignment horizontal="center" vertical="center" wrapText="1"/>
      <protection locked="0"/>
    </xf>
    <xf numFmtId="9" fontId="12" fillId="0" borderId="45" xfId="28" applyFont="1" applyBorder="1" applyAlignment="1">
      <alignment horizontal="center" vertical="center" wrapText="1"/>
    </xf>
    <xf numFmtId="9" fontId="12" fillId="9" borderId="40" xfId="28" applyFont="1" applyFill="1" applyBorder="1" applyAlignment="1" applyProtection="1">
      <alignment horizontal="center" vertical="center" wrapText="1"/>
    </xf>
    <xf numFmtId="9" fontId="11" fillId="9" borderId="40" xfId="28" applyFont="1" applyFill="1" applyBorder="1" applyAlignment="1" applyProtection="1">
      <alignment horizontal="center" vertical="center" wrapText="1"/>
    </xf>
    <xf numFmtId="1" fontId="12" fillId="0" borderId="57" xfId="28" applyNumberFormat="1" applyFont="1" applyFill="1" applyBorder="1" applyAlignment="1" applyProtection="1">
      <alignment horizontal="center" vertical="center" wrapText="1"/>
    </xf>
    <xf numFmtId="1" fontId="12" fillId="0" borderId="44" xfId="28" applyNumberFormat="1" applyFont="1" applyFill="1" applyBorder="1" applyAlignment="1" applyProtection="1">
      <alignment horizontal="center" vertical="center" wrapText="1"/>
    </xf>
    <xf numFmtId="1" fontId="12" fillId="0" borderId="45" xfId="28" applyNumberFormat="1" applyFont="1" applyFill="1" applyBorder="1" applyAlignment="1" applyProtection="1">
      <alignment horizontal="center" vertical="center" wrapText="1"/>
    </xf>
    <xf numFmtId="1" fontId="12" fillId="0" borderId="14" xfId="28" applyNumberFormat="1" applyFont="1" applyFill="1" applyBorder="1" applyAlignment="1" applyProtection="1">
      <alignment horizontal="center" vertical="center" wrapText="1"/>
    </xf>
    <xf numFmtId="1" fontId="12" fillId="9" borderId="10" xfId="28" applyNumberFormat="1" applyFont="1" applyFill="1" applyBorder="1" applyAlignment="1" applyProtection="1">
      <alignment horizontal="center" vertical="center" wrapText="1"/>
    </xf>
    <xf numFmtId="1" fontId="12" fillId="9" borderId="100" xfId="28" applyNumberFormat="1" applyFont="1" applyFill="1" applyBorder="1" applyAlignment="1" applyProtection="1">
      <alignment horizontal="center" vertical="center" wrapText="1"/>
    </xf>
    <xf numFmtId="1" fontId="12" fillId="9" borderId="52" xfId="28" applyNumberFormat="1" applyFont="1" applyFill="1" applyBorder="1" applyAlignment="1" applyProtection="1">
      <alignment horizontal="center" vertical="center" wrapText="1"/>
    </xf>
    <xf numFmtId="0" fontId="16" fillId="2" borderId="0" xfId="22" applyFont="1" applyFill="1" applyAlignment="1">
      <alignment horizontal="left" vertical="center"/>
    </xf>
    <xf numFmtId="0" fontId="0" fillId="0" borderId="0" xfId="0" applyAlignment="1">
      <alignment horizontal="left" vertical="center" wrapText="1"/>
    </xf>
    <xf numFmtId="1" fontId="39" fillId="34" borderId="1" xfId="0" applyNumberFormat="1" applyFont="1" applyFill="1" applyBorder="1" applyAlignment="1">
      <alignment horizontal="center" vertical="center"/>
    </xf>
    <xf numFmtId="1" fontId="11" fillId="34" borderId="1" xfId="25" applyNumberFormat="1" applyFont="1" applyFill="1" applyBorder="1" applyAlignment="1">
      <alignment horizontal="center" vertical="center" wrapText="1"/>
    </xf>
    <xf numFmtId="4" fontId="11" fillId="34" borderId="1" xfId="25" applyNumberFormat="1" applyFont="1" applyFill="1" applyBorder="1" applyAlignment="1">
      <alignment horizontal="center" vertical="center" wrapText="1"/>
    </xf>
    <xf numFmtId="0" fontId="39" fillId="34" borderId="1" xfId="0" applyFont="1" applyFill="1" applyBorder="1" applyAlignment="1">
      <alignment horizontal="center" vertical="center"/>
    </xf>
    <xf numFmtId="187" fontId="39" fillId="34" borderId="1" xfId="0" applyNumberFormat="1" applyFont="1" applyFill="1" applyBorder="1" applyAlignment="1">
      <alignment horizontal="center" vertical="center"/>
    </xf>
    <xf numFmtId="0" fontId="43" fillId="34" borderId="1" xfId="0" applyFont="1" applyFill="1" applyBorder="1" applyAlignment="1">
      <alignment horizontal="center" vertical="center"/>
    </xf>
    <xf numFmtId="0" fontId="43" fillId="34" borderId="10" xfId="0" applyFont="1" applyFill="1" applyBorder="1" applyAlignment="1">
      <alignment horizontal="center" vertical="center"/>
    </xf>
    <xf numFmtId="0" fontId="39" fillId="34" borderId="10" xfId="0" applyFont="1" applyFill="1" applyBorder="1" applyAlignment="1">
      <alignment horizontal="center" vertical="center"/>
    </xf>
    <xf numFmtId="9" fontId="43" fillId="34" borderId="1" xfId="0" applyNumberFormat="1" applyFont="1" applyFill="1" applyBorder="1" applyAlignment="1">
      <alignment horizontal="center" vertical="center"/>
    </xf>
    <xf numFmtId="9" fontId="39" fillId="34" borderId="1" xfId="0" applyNumberFormat="1" applyFont="1" applyFill="1" applyBorder="1" applyAlignment="1">
      <alignment horizontal="center" vertical="center"/>
    </xf>
    <xf numFmtId="0" fontId="17" fillId="33" borderId="1" xfId="0" applyFont="1" applyFill="1" applyBorder="1" applyAlignment="1">
      <alignment vertical="center"/>
    </xf>
    <xf numFmtId="0" fontId="39" fillId="35" borderId="1" xfId="0" applyFont="1" applyFill="1" applyBorder="1" applyAlignment="1">
      <alignment horizontal="center" vertical="center"/>
    </xf>
    <xf numFmtId="9" fontId="39" fillId="35" borderId="82" xfId="28" applyFont="1" applyFill="1" applyBorder="1" applyAlignment="1">
      <alignment horizontal="left" vertical="center" wrapText="1"/>
    </xf>
    <xf numFmtId="0" fontId="39" fillId="35" borderId="82" xfId="28" applyNumberFormat="1" applyFont="1" applyFill="1" applyBorder="1" applyAlignment="1">
      <alignment horizontal="left" vertical="center" wrapText="1"/>
    </xf>
    <xf numFmtId="168" fontId="40" fillId="0" borderId="0" xfId="11" applyFont="1" applyFill="1" applyAlignment="1">
      <alignment vertical="center"/>
    </xf>
    <xf numFmtId="0" fontId="40" fillId="0" borderId="0" xfId="0" applyFont="1" applyAlignment="1">
      <alignment vertical="center"/>
    </xf>
    <xf numFmtId="174" fontId="39" fillId="0" borderId="0" xfId="0" applyNumberFormat="1" applyFont="1" applyAlignment="1">
      <alignment vertical="center"/>
    </xf>
    <xf numFmtId="0" fontId="39" fillId="35" borderId="82" xfId="28" applyNumberFormat="1" applyFont="1" applyFill="1" applyBorder="1" applyAlignment="1">
      <alignment vertical="center" wrapText="1"/>
    </xf>
    <xf numFmtId="0" fontId="43" fillId="35" borderId="82" xfId="0" applyFont="1" applyFill="1" applyBorder="1" applyAlignment="1">
      <alignment horizontal="left" vertical="center" wrapText="1"/>
    </xf>
    <xf numFmtId="0" fontId="13" fillId="35" borderId="1" xfId="0" applyFont="1" applyFill="1" applyBorder="1" applyAlignment="1">
      <alignment horizontal="center" vertical="center"/>
    </xf>
    <xf numFmtId="4" fontId="12" fillId="35" borderId="38" xfId="28" applyNumberFormat="1" applyFont="1" applyFill="1" applyBorder="1" applyAlignment="1" applyProtection="1">
      <alignment horizontal="center" vertical="center" wrapText="1"/>
    </xf>
    <xf numFmtId="4" fontId="12" fillId="35" borderId="33" xfId="28" applyNumberFormat="1" applyFont="1" applyFill="1" applyBorder="1" applyAlignment="1" applyProtection="1">
      <alignment horizontal="center" vertical="center" wrapText="1"/>
    </xf>
    <xf numFmtId="9" fontId="11" fillId="35" borderId="1" xfId="28" applyFont="1" applyFill="1" applyBorder="1" applyAlignment="1" applyProtection="1">
      <alignment horizontal="center" vertical="center" wrapText="1"/>
      <protection locked="0"/>
    </xf>
    <xf numFmtId="4" fontId="11" fillId="35" borderId="1" xfId="25" applyNumberFormat="1" applyFont="1" applyFill="1" applyBorder="1" applyAlignment="1">
      <alignment horizontal="center" vertical="center" wrapText="1"/>
    </xf>
    <xf numFmtId="9" fontId="43" fillId="35" borderId="85" xfId="0" applyNumberFormat="1" applyFont="1" applyFill="1" applyBorder="1" applyAlignment="1">
      <alignment vertical="center" wrapText="1"/>
    </xf>
    <xf numFmtId="9" fontId="43" fillId="35" borderId="82" xfId="28" applyFont="1" applyFill="1" applyBorder="1" applyAlignment="1">
      <alignment horizontal="left" vertical="center" wrapText="1"/>
    </xf>
    <xf numFmtId="9" fontId="39" fillId="35" borderId="1" xfId="0" applyNumberFormat="1" applyFont="1" applyFill="1" applyBorder="1" applyAlignment="1">
      <alignment horizontal="center" vertical="center"/>
    </xf>
    <xf numFmtId="174" fontId="12" fillId="0" borderId="45" xfId="22" applyNumberFormat="1" applyFont="1" applyBorder="1" applyAlignment="1">
      <alignment horizontal="center" vertical="center" wrapText="1"/>
    </xf>
    <xf numFmtId="174" fontId="11" fillId="0" borderId="44" xfId="28" applyNumberFormat="1" applyFont="1" applyBorder="1" applyAlignment="1">
      <alignment horizontal="center" vertical="center" wrapText="1"/>
    </xf>
    <xf numFmtId="174" fontId="11" fillId="0" borderId="44" xfId="28" applyNumberFormat="1" applyFont="1" applyFill="1" applyBorder="1" applyAlignment="1" applyProtection="1">
      <alignment horizontal="center" vertical="center" wrapText="1"/>
      <protection locked="0"/>
    </xf>
    <xf numFmtId="174" fontId="11" fillId="9" borderId="40" xfId="28" applyNumberFormat="1" applyFont="1" applyFill="1" applyBorder="1" applyAlignment="1" applyProtection="1">
      <alignment horizontal="center" vertical="center" wrapText="1"/>
    </xf>
    <xf numFmtId="174" fontId="11" fillId="29" borderId="1" xfId="0" applyNumberFormat="1" applyFont="1" applyFill="1" applyBorder="1" applyAlignment="1">
      <alignment horizontal="center" vertical="center" wrapText="1"/>
    </xf>
    <xf numFmtId="174" fontId="11" fillId="19" borderId="1" xfId="29" applyNumberFormat="1" applyFont="1" applyFill="1" applyBorder="1" applyAlignment="1" applyProtection="1">
      <alignment horizontal="center" vertical="center" wrapText="1"/>
      <protection locked="0"/>
    </xf>
    <xf numFmtId="174" fontId="11" fillId="29" borderId="44" xfId="0" applyNumberFormat="1" applyFont="1" applyFill="1" applyBorder="1" applyAlignment="1">
      <alignment horizontal="center" vertical="center" wrapText="1"/>
    </xf>
    <xf numFmtId="174" fontId="11" fillId="19" borderId="44" xfId="29" applyNumberFormat="1" applyFont="1" applyFill="1" applyBorder="1" applyAlignment="1" applyProtection="1">
      <alignment horizontal="center" vertical="center" wrapText="1"/>
      <protection locked="0"/>
    </xf>
    <xf numFmtId="174" fontId="11" fillId="30" borderId="19" xfId="0" applyNumberFormat="1" applyFont="1" applyFill="1" applyBorder="1" applyAlignment="1">
      <alignment horizontal="center" vertical="center" wrapText="1"/>
    </xf>
    <xf numFmtId="174" fontId="11" fillId="9" borderId="19" xfId="28" applyNumberFormat="1" applyFont="1" applyFill="1" applyBorder="1" applyAlignment="1" applyProtection="1">
      <alignment horizontal="center" vertical="center" wrapText="1"/>
      <protection locked="0"/>
    </xf>
    <xf numFmtId="9" fontId="0" fillId="0" borderId="0" xfId="28" applyFont="1" applyAlignment="1">
      <alignment vertical="center"/>
    </xf>
    <xf numFmtId="10" fontId="0" fillId="0" borderId="0" xfId="28" applyNumberFormat="1" applyFont="1" applyAlignment="1">
      <alignment vertical="center"/>
    </xf>
    <xf numFmtId="9" fontId="11" fillId="23" borderId="19" xfId="28" applyFont="1" applyFill="1" applyBorder="1" applyAlignment="1" applyProtection="1">
      <alignment horizontal="center" vertical="center" wrapText="1"/>
      <protection locked="0"/>
    </xf>
    <xf numFmtId="173" fontId="27" fillId="0" borderId="44" xfId="10" applyNumberFormat="1" applyFont="1" applyFill="1" applyBorder="1" applyAlignment="1">
      <alignment vertical="center"/>
    </xf>
    <xf numFmtId="173" fontId="27" fillId="0" borderId="10" xfId="10" applyNumberFormat="1" applyFont="1" applyFill="1" applyBorder="1" applyAlignment="1">
      <alignment vertical="center"/>
    </xf>
    <xf numFmtId="173" fontId="27" fillId="0" borderId="45" xfId="10" applyNumberFormat="1" applyFont="1" applyFill="1" applyBorder="1" applyAlignment="1">
      <alignment vertical="center"/>
    </xf>
    <xf numFmtId="9" fontId="27" fillId="0" borderId="9" xfId="28" applyFont="1" applyFill="1" applyBorder="1" applyAlignment="1">
      <alignment vertical="center"/>
    </xf>
    <xf numFmtId="173" fontId="27" fillId="0" borderId="66" xfId="10" applyNumberFormat="1" applyFont="1" applyFill="1" applyBorder="1" applyAlignment="1">
      <alignment vertical="center"/>
    </xf>
    <xf numFmtId="9" fontId="27" fillId="0" borderId="2" xfId="28" applyFont="1" applyFill="1" applyBorder="1" applyAlignment="1">
      <alignment vertical="center"/>
    </xf>
    <xf numFmtId="1" fontId="39" fillId="35" borderId="51" xfId="30" applyNumberFormat="1" applyFont="1" applyFill="1" applyBorder="1" applyAlignment="1" applyProtection="1">
      <alignment horizontal="center" vertical="center" wrapText="1"/>
    </xf>
    <xf numFmtId="174" fontId="11" fillId="30" borderId="1" xfId="0" applyNumberFormat="1" applyFont="1" applyFill="1" applyBorder="1" applyAlignment="1">
      <alignment horizontal="center" vertical="center" wrapText="1"/>
    </xf>
    <xf numFmtId="0" fontId="43" fillId="35" borderId="82" xfId="0" applyFont="1" applyFill="1" applyBorder="1" applyAlignment="1">
      <alignment vertical="center" wrapText="1"/>
    </xf>
    <xf numFmtId="0" fontId="43" fillId="35" borderId="82" xfId="28" applyNumberFormat="1" applyFont="1" applyFill="1" applyBorder="1" applyAlignment="1">
      <alignment horizontal="left" vertical="center" wrapText="1"/>
    </xf>
    <xf numFmtId="9" fontId="39" fillId="35" borderId="82" xfId="28" applyFont="1" applyFill="1" applyBorder="1" applyAlignment="1">
      <alignment vertical="center" wrapText="1"/>
    </xf>
    <xf numFmtId="10" fontId="11" fillId="0" borderId="2" xfId="28" applyNumberFormat="1" applyFont="1" applyFill="1" applyBorder="1" applyAlignment="1">
      <alignment horizontal="center" vertical="center"/>
    </xf>
    <xf numFmtId="9" fontId="39" fillId="0" borderId="0" xfId="0" applyNumberFormat="1" applyFont="1" applyAlignment="1">
      <alignment vertical="center"/>
    </xf>
    <xf numFmtId="176" fontId="0" fillId="0" borderId="0" xfId="14" applyNumberFormat="1" applyFont="1" applyAlignment="1">
      <alignment horizontal="left" vertical="center" wrapText="1"/>
    </xf>
    <xf numFmtId="0" fontId="11" fillId="0" borderId="36" xfId="22" applyFont="1" applyBorder="1" applyAlignment="1">
      <alignment horizontal="center" vertical="center" wrapText="1"/>
    </xf>
    <xf numFmtId="0" fontId="11" fillId="0" borderId="13" xfId="22" applyFont="1" applyBorder="1" applyAlignment="1">
      <alignment horizontal="center" vertical="center" wrapText="1"/>
    </xf>
    <xf numFmtId="0" fontId="11" fillId="0" borderId="37" xfId="22" applyFont="1" applyBorder="1" applyAlignment="1">
      <alignment horizontal="center" vertical="center" wrapText="1"/>
    </xf>
    <xf numFmtId="0" fontId="12" fillId="0" borderId="27" xfId="22" applyFont="1" applyBorder="1" applyAlignment="1">
      <alignment horizontal="center" vertical="center"/>
    </xf>
    <xf numFmtId="0" fontId="12" fillId="0" borderId="28" xfId="22" applyFont="1" applyBorder="1" applyAlignment="1">
      <alignment horizontal="center" vertical="center"/>
    </xf>
    <xf numFmtId="0" fontId="12" fillId="0" borderId="29" xfId="22" applyFont="1" applyBorder="1" applyAlignment="1">
      <alignment horizontal="center" vertical="center"/>
    </xf>
    <xf numFmtId="0" fontId="19" fillId="0" borderId="57" xfId="0" applyFont="1" applyBorder="1" applyAlignment="1">
      <alignment horizontal="left" vertical="center" wrapText="1"/>
    </xf>
    <xf numFmtId="0" fontId="19" fillId="0" borderId="44" xfId="0" applyFont="1" applyBorder="1" applyAlignment="1">
      <alignment horizontal="left" vertical="center" wrapText="1"/>
    </xf>
    <xf numFmtId="0" fontId="19" fillId="0" borderId="45" xfId="0" applyFont="1" applyBorder="1" applyAlignment="1">
      <alignment horizontal="left" vertical="center" wrapText="1"/>
    </xf>
    <xf numFmtId="0" fontId="38" fillId="0" borderId="49" xfId="0" applyFont="1" applyBorder="1" applyAlignment="1">
      <alignment horizontal="center" vertical="center" wrapText="1"/>
    </xf>
    <xf numFmtId="0" fontId="38" fillId="0" borderId="39" xfId="0" applyFont="1" applyBorder="1" applyAlignment="1">
      <alignment horizontal="center" vertical="center" wrapText="1"/>
    </xf>
    <xf numFmtId="0" fontId="0" fillId="0" borderId="49" xfId="0" applyBorder="1" applyAlignment="1">
      <alignment horizontal="center" vertical="center"/>
    </xf>
    <xf numFmtId="0" fontId="0" fillId="0" borderId="39" xfId="0" applyBorder="1" applyAlignment="1">
      <alignment horizontal="center" vertical="center"/>
    </xf>
    <xf numFmtId="0" fontId="38" fillId="0" borderId="46" xfId="0" applyFont="1" applyBorder="1" applyAlignment="1">
      <alignment horizontal="center" vertical="center" wrapText="1"/>
    </xf>
    <xf numFmtId="0" fontId="38" fillId="0" borderId="48" xfId="0" applyFont="1" applyBorder="1" applyAlignment="1">
      <alignment horizontal="center" vertical="center" wrapText="1"/>
    </xf>
    <xf numFmtId="0" fontId="0" fillId="0" borderId="46" xfId="0" applyBorder="1" applyAlignment="1">
      <alignment horizontal="center" vertical="center"/>
    </xf>
    <xf numFmtId="0" fontId="0" fillId="0" borderId="48" xfId="0" applyBorder="1" applyAlignment="1">
      <alignment horizontal="center" vertical="center"/>
    </xf>
    <xf numFmtId="0" fontId="38" fillId="0" borderId="62" xfId="0" applyFont="1" applyBorder="1" applyAlignment="1">
      <alignment horizontal="center" vertical="center" wrapText="1"/>
    </xf>
    <xf numFmtId="0" fontId="38" fillId="0" borderId="26" xfId="0" applyFont="1" applyBorder="1" applyAlignment="1">
      <alignment horizontal="center" vertical="center" wrapText="1"/>
    </xf>
    <xf numFmtId="0" fontId="0" fillId="31" borderId="62" xfId="0" applyFill="1" applyBorder="1" applyAlignment="1">
      <alignment horizontal="center" vertical="center"/>
    </xf>
    <xf numFmtId="0" fontId="0" fillId="31" borderId="26" xfId="0" applyFill="1" applyBorder="1" applyAlignment="1">
      <alignment horizontal="center" vertical="center"/>
    </xf>
    <xf numFmtId="0" fontId="12" fillId="20" borderId="36" xfId="22" applyFont="1" applyFill="1" applyBorder="1" applyAlignment="1">
      <alignment horizontal="left" vertical="center" wrapText="1"/>
    </xf>
    <xf numFmtId="0" fontId="12" fillId="20" borderId="12" xfId="22" applyFont="1" applyFill="1" applyBorder="1" applyAlignment="1">
      <alignment horizontal="left" vertical="center" wrapText="1"/>
    </xf>
    <xf numFmtId="0" fontId="12" fillId="20" borderId="13" xfId="22" applyFont="1" applyFill="1" applyBorder="1" applyAlignment="1">
      <alignment horizontal="left" vertical="center" wrapText="1"/>
    </xf>
    <xf numFmtId="0" fontId="12" fillId="20" borderId="14" xfId="22" applyFont="1" applyFill="1" applyBorder="1" applyAlignment="1">
      <alignment horizontal="left" vertical="center" wrapText="1"/>
    </xf>
    <xf numFmtId="0" fontId="12" fillId="20" borderId="37" xfId="22" applyFont="1" applyFill="1" applyBorder="1" applyAlignment="1">
      <alignment horizontal="left" vertical="center" wrapText="1"/>
    </xf>
    <xf numFmtId="0" fontId="12" fillId="20" borderId="16" xfId="22" applyFont="1" applyFill="1" applyBorder="1" applyAlignment="1">
      <alignment horizontal="left" vertical="center" wrapText="1"/>
    </xf>
    <xf numFmtId="0" fontId="19" fillId="0" borderId="5" xfId="0" applyFont="1" applyBorder="1" applyAlignment="1">
      <alignment horizontal="left" vertical="center" wrapText="1"/>
    </xf>
    <xf numFmtId="0" fontId="19" fillId="0" borderId="1" xfId="0" applyFont="1" applyBorder="1" applyAlignment="1">
      <alignment horizontal="left" vertical="center" wrapText="1"/>
    </xf>
    <xf numFmtId="0" fontId="19" fillId="0" borderId="9" xfId="0" applyFont="1" applyBorder="1" applyAlignment="1">
      <alignment horizontal="left" vertical="center" wrapText="1"/>
    </xf>
    <xf numFmtId="0" fontId="12" fillId="0" borderId="56" xfId="22" applyFont="1" applyBorder="1" applyAlignment="1">
      <alignment horizontal="center" vertical="center" wrapText="1"/>
    </xf>
    <xf numFmtId="0" fontId="12" fillId="0" borderId="44" xfId="22" applyFont="1" applyBorder="1" applyAlignment="1">
      <alignment horizontal="center" vertical="center" wrapText="1"/>
    </xf>
    <xf numFmtId="0" fontId="12" fillId="0" borderId="45" xfId="22" applyFont="1" applyBorder="1" applyAlignment="1">
      <alignment horizontal="center" vertical="center" wrapText="1"/>
    </xf>
    <xf numFmtId="0" fontId="12" fillId="0" borderId="31" xfId="22" applyFont="1" applyBorder="1" applyAlignment="1">
      <alignment horizontal="center" vertical="center" wrapText="1"/>
    </xf>
    <xf numFmtId="0" fontId="12" fillId="0" borderId="19" xfId="22" applyFont="1" applyBorder="1" applyAlignment="1">
      <alignment horizontal="center" vertical="center" wrapText="1"/>
    </xf>
    <xf numFmtId="0" fontId="12" fillId="0" borderId="33" xfId="22" applyFont="1" applyBorder="1" applyAlignment="1">
      <alignment horizontal="center" vertical="center" wrapText="1"/>
    </xf>
    <xf numFmtId="0" fontId="45" fillId="0" borderId="40" xfId="0" applyFont="1" applyBorder="1" applyAlignment="1">
      <alignment horizontal="left" vertical="center" wrapText="1"/>
    </xf>
    <xf numFmtId="0" fontId="45" fillId="0" borderId="19" xfId="0" applyFont="1" applyBorder="1" applyAlignment="1">
      <alignment horizontal="left" vertical="center" wrapText="1"/>
    </xf>
    <xf numFmtId="0" fontId="45" fillId="0" borderId="33" xfId="0" applyFont="1" applyBorder="1" applyAlignment="1">
      <alignment horizontal="left" vertical="center" wrapText="1"/>
    </xf>
    <xf numFmtId="0" fontId="12" fillId="20" borderId="11" xfId="22" applyFont="1" applyFill="1" applyBorder="1" applyAlignment="1">
      <alignment horizontal="left" vertical="center" wrapText="1"/>
    </xf>
    <xf numFmtId="0" fontId="12" fillId="20" borderId="0" xfId="22" applyFont="1" applyFill="1" applyAlignment="1">
      <alignment horizontal="left" vertical="center" wrapText="1"/>
    </xf>
    <xf numFmtId="0" fontId="12" fillId="20" borderId="15" xfId="22" applyFont="1" applyFill="1" applyBorder="1" applyAlignment="1">
      <alignment horizontal="left" vertical="center" wrapText="1"/>
    </xf>
    <xf numFmtId="14" fontId="44" fillId="0" borderId="36" xfId="0" applyNumberFormat="1" applyFont="1" applyBorder="1" applyAlignment="1">
      <alignment horizontal="center" vertical="center"/>
    </xf>
    <xf numFmtId="0" fontId="44" fillId="0" borderId="12" xfId="0" applyFont="1" applyBorder="1" applyAlignment="1">
      <alignment horizontal="center" vertical="center"/>
    </xf>
    <xf numFmtId="0" fontId="44" fillId="0" borderId="13" xfId="0" applyFont="1" applyBorder="1" applyAlignment="1">
      <alignment horizontal="center" vertical="center"/>
    </xf>
    <xf numFmtId="0" fontId="44" fillId="0" borderId="14" xfId="0" applyFont="1" applyBorder="1" applyAlignment="1">
      <alignment horizontal="center" vertical="center"/>
    </xf>
    <xf numFmtId="0" fontId="44" fillId="0" borderId="37" xfId="0" applyFont="1" applyBorder="1" applyAlignment="1">
      <alignment horizontal="center" vertical="center"/>
    </xf>
    <xf numFmtId="0" fontId="44" fillId="0" borderId="16" xfId="0" applyFont="1" applyBorder="1" applyAlignment="1">
      <alignment horizontal="center" vertical="center"/>
    </xf>
    <xf numFmtId="0" fontId="12" fillId="0" borderId="36" xfId="22" applyFont="1" applyBorder="1" applyAlignment="1">
      <alignment horizontal="center" vertical="center" wrapText="1"/>
    </xf>
    <xf numFmtId="0" fontId="12" fillId="0" borderId="11" xfId="22" applyFont="1" applyBorder="1" applyAlignment="1">
      <alignment horizontal="center" vertical="center" wrapText="1"/>
    </xf>
    <xf numFmtId="0" fontId="12" fillId="0" borderId="12" xfId="22" applyFont="1" applyBorder="1" applyAlignment="1">
      <alignment horizontal="center" vertical="center" wrapText="1"/>
    </xf>
    <xf numFmtId="0" fontId="12" fillId="0" borderId="13" xfId="22" applyFont="1" applyBorder="1" applyAlignment="1">
      <alignment horizontal="center" vertical="center" wrapText="1"/>
    </xf>
    <xf numFmtId="0" fontId="12" fillId="0" borderId="0" xfId="22" applyFont="1" applyAlignment="1">
      <alignment horizontal="center" vertical="center" wrapText="1"/>
    </xf>
    <xf numFmtId="0" fontId="12" fillId="0" borderId="14" xfId="22" applyFont="1" applyBorder="1" applyAlignment="1">
      <alignment horizontal="center" vertical="center" wrapText="1"/>
    </xf>
    <xf numFmtId="0" fontId="12" fillId="0" borderId="37" xfId="22" applyFont="1" applyBorder="1" applyAlignment="1">
      <alignment horizontal="center" vertical="center" wrapText="1"/>
    </xf>
    <xf numFmtId="0" fontId="12" fillId="0" borderId="15" xfId="22" applyFont="1" applyBorder="1" applyAlignment="1">
      <alignment horizontal="center" vertical="center" wrapText="1"/>
    </xf>
    <xf numFmtId="0" fontId="12" fillId="0" borderId="16" xfId="22" applyFont="1" applyBorder="1" applyAlignment="1">
      <alignment horizontal="center" vertical="center" wrapText="1"/>
    </xf>
    <xf numFmtId="0" fontId="46" fillId="0" borderId="63" xfId="0" applyFont="1" applyBorder="1" applyAlignment="1">
      <alignment horizontal="center" vertical="center"/>
    </xf>
    <xf numFmtId="0" fontId="46" fillId="0" borderId="64" xfId="0" applyFont="1" applyBorder="1" applyAlignment="1">
      <alignment horizontal="center" vertical="center"/>
    </xf>
    <xf numFmtId="0" fontId="46" fillId="0" borderId="65" xfId="0" applyFont="1" applyBorder="1" applyAlignment="1">
      <alignment horizontal="center" vertical="center"/>
    </xf>
    <xf numFmtId="0" fontId="12" fillId="20" borderId="59" xfId="22" applyFont="1" applyFill="1" applyBorder="1" applyAlignment="1">
      <alignment horizontal="center" vertical="center" wrapText="1"/>
    </xf>
    <xf numFmtId="0" fontId="12" fillId="20" borderId="61" xfId="22" applyFont="1" applyFill="1" applyBorder="1" applyAlignment="1">
      <alignment horizontal="center" vertical="center" wrapText="1"/>
    </xf>
    <xf numFmtId="0" fontId="12" fillId="20" borderId="60" xfId="22" applyFont="1" applyFill="1" applyBorder="1" applyAlignment="1">
      <alignment horizontal="center" vertical="center" wrapText="1"/>
    </xf>
    <xf numFmtId="0" fontId="12" fillId="20" borderId="13" xfId="22" applyFont="1" applyFill="1" applyBorder="1" applyAlignment="1">
      <alignment horizontal="center" vertical="center" wrapText="1"/>
    </xf>
    <xf numFmtId="0" fontId="12" fillId="20" borderId="0" xfId="22" applyFont="1" applyFill="1" applyAlignment="1">
      <alignment horizontal="center" vertical="center" wrapText="1"/>
    </xf>
    <xf numFmtId="0" fontId="12" fillId="20" borderId="14" xfId="22" applyFont="1" applyFill="1" applyBorder="1" applyAlignment="1">
      <alignment horizontal="center" vertical="center" wrapText="1"/>
    </xf>
    <xf numFmtId="0" fontId="12" fillId="20" borderId="37" xfId="22" applyFont="1" applyFill="1" applyBorder="1" applyAlignment="1">
      <alignment horizontal="center" vertical="center" wrapText="1"/>
    </xf>
    <xf numFmtId="0" fontId="12" fillId="20" borderId="15" xfId="22" applyFont="1" applyFill="1" applyBorder="1" applyAlignment="1">
      <alignment horizontal="center" vertical="center" wrapText="1"/>
    </xf>
    <xf numFmtId="0" fontId="12" fillId="20" borderId="16" xfId="22" applyFont="1" applyFill="1" applyBorder="1" applyAlignment="1">
      <alignment horizontal="center" vertical="center" wrapText="1"/>
    </xf>
    <xf numFmtId="0" fontId="12" fillId="20" borderId="56" xfId="22" applyFont="1" applyFill="1" applyBorder="1" applyAlignment="1">
      <alignment horizontal="center" vertical="center" wrapText="1"/>
    </xf>
    <xf numFmtId="0" fontId="12" fillId="20" borderId="66" xfId="22" applyFont="1" applyFill="1" applyBorder="1" applyAlignment="1">
      <alignment horizontal="center" vertical="center" wrapText="1"/>
    </xf>
    <xf numFmtId="9" fontId="12" fillId="0" borderId="59" xfId="22" applyNumberFormat="1" applyFont="1" applyBorder="1" applyAlignment="1">
      <alignment horizontal="center" vertical="center" wrapText="1"/>
    </xf>
    <xf numFmtId="9" fontId="12" fillId="0" borderId="60" xfId="22" applyNumberFormat="1" applyFont="1" applyBorder="1" applyAlignment="1">
      <alignment horizontal="center" vertical="center" wrapText="1"/>
    </xf>
    <xf numFmtId="0" fontId="12" fillId="19" borderId="56" xfId="22" applyFont="1" applyFill="1" applyBorder="1" applyAlignment="1">
      <alignment horizontal="center" vertical="center" wrapText="1"/>
    </xf>
    <xf numFmtId="0" fontId="12" fillId="19" borderId="57" xfId="22" applyFont="1" applyFill="1" applyBorder="1" applyAlignment="1">
      <alignment horizontal="center" vertical="center" wrapText="1"/>
    </xf>
    <xf numFmtId="0" fontId="12" fillId="19" borderId="44" xfId="22" applyFont="1" applyFill="1" applyBorder="1" applyAlignment="1">
      <alignment horizontal="center" vertical="center" wrapText="1"/>
    </xf>
    <xf numFmtId="0" fontId="12" fillId="19" borderId="45" xfId="22" applyFont="1" applyFill="1" applyBorder="1" applyAlignment="1">
      <alignment horizontal="center" vertical="center" wrapText="1"/>
    </xf>
    <xf numFmtId="0" fontId="12" fillId="20" borderId="8" xfId="22" applyFont="1" applyFill="1" applyBorder="1" applyAlignment="1">
      <alignment horizontal="center" vertical="center" wrapText="1"/>
    </xf>
    <xf numFmtId="0" fontId="12" fillId="20" borderId="2" xfId="22" applyFont="1" applyFill="1" applyBorder="1" applyAlignment="1">
      <alignment horizontal="center" vertical="center" wrapText="1"/>
    </xf>
    <xf numFmtId="0" fontId="12" fillId="20" borderId="31" xfId="22" applyFont="1" applyFill="1" applyBorder="1" applyAlignment="1">
      <alignment horizontal="center" vertical="center" wrapText="1"/>
    </xf>
    <xf numFmtId="0" fontId="12" fillId="20" borderId="21" xfId="22" applyFont="1" applyFill="1" applyBorder="1" applyAlignment="1">
      <alignment horizontal="center" vertical="center" wrapText="1"/>
    </xf>
    <xf numFmtId="0" fontId="12" fillId="0" borderId="59" xfId="22" applyFont="1" applyBorder="1" applyAlignment="1">
      <alignment horizontal="center" vertical="center" wrapText="1"/>
    </xf>
    <xf numFmtId="0" fontId="12" fillId="0" borderId="61" xfId="22" applyFont="1" applyBorder="1" applyAlignment="1">
      <alignment horizontal="center" vertical="center" wrapText="1"/>
    </xf>
    <xf numFmtId="0" fontId="12" fillId="0" borderId="60" xfId="22" applyFont="1" applyBorder="1" applyAlignment="1">
      <alignment horizontal="center" vertical="center" wrapText="1"/>
    </xf>
    <xf numFmtId="0" fontId="12" fillId="19" borderId="15" xfId="22" applyFont="1" applyFill="1" applyBorder="1" applyAlignment="1">
      <alignment horizontal="left" vertical="center" wrapText="1"/>
    </xf>
    <xf numFmtId="0" fontId="12" fillId="20" borderId="59" xfId="22" applyFont="1" applyFill="1" applyBorder="1" applyAlignment="1">
      <alignment horizontal="left" vertical="center" wrapText="1"/>
    </xf>
    <xf numFmtId="0" fontId="12" fillId="20" borderId="60" xfId="22" applyFont="1" applyFill="1" applyBorder="1" applyAlignment="1">
      <alignment horizontal="left" vertical="center" wrapText="1"/>
    </xf>
    <xf numFmtId="0" fontId="11" fillId="0" borderId="59" xfId="22" applyFont="1" applyBorder="1" applyAlignment="1">
      <alignment horizontal="center" vertical="center" wrapText="1"/>
    </xf>
    <xf numFmtId="0" fontId="11" fillId="0" borderId="61" xfId="22" applyFont="1" applyBorder="1" applyAlignment="1">
      <alignment horizontal="center" vertical="center" wrapText="1"/>
    </xf>
    <xf numFmtId="0" fontId="11" fillId="0" borderId="60" xfId="22" applyFont="1" applyBorder="1" applyAlignment="1">
      <alignment horizontal="center" vertical="center" wrapText="1"/>
    </xf>
    <xf numFmtId="0" fontId="12" fillId="0" borderId="27" xfId="22" applyFont="1" applyBorder="1" applyAlignment="1">
      <alignment horizontal="center" vertical="center" wrapText="1"/>
    </xf>
    <xf numFmtId="0" fontId="12" fillId="0" borderId="28" xfId="22" applyFont="1" applyBorder="1" applyAlignment="1">
      <alignment horizontal="center" vertical="center" wrapText="1"/>
    </xf>
    <xf numFmtId="0" fontId="12" fillId="0" borderId="29" xfId="22" applyFont="1" applyBorder="1" applyAlignment="1">
      <alignment horizontal="center" vertical="center" wrapText="1"/>
    </xf>
    <xf numFmtId="1" fontId="12" fillId="0" borderId="59" xfId="28" applyNumberFormat="1" applyFont="1" applyFill="1" applyBorder="1" applyAlignment="1" applyProtection="1">
      <alignment horizontal="center" vertical="center" wrapText="1"/>
    </xf>
    <xf numFmtId="1" fontId="12" fillId="0" borderId="60" xfId="28" applyNumberFormat="1" applyFont="1" applyFill="1" applyBorder="1" applyAlignment="1" applyProtection="1">
      <alignment horizontal="center" vertical="center" wrapText="1"/>
    </xf>
    <xf numFmtId="0" fontId="15" fillId="0" borderId="59" xfId="22" applyFont="1" applyBorder="1" applyAlignment="1">
      <alignment horizontal="center" vertical="center" wrapText="1"/>
    </xf>
    <xf numFmtId="0" fontId="15" fillId="0" borderId="61" xfId="22" applyFont="1" applyBorder="1" applyAlignment="1">
      <alignment horizontal="center" vertical="center" wrapText="1"/>
    </xf>
    <xf numFmtId="0" fontId="15" fillId="0" borderId="60" xfId="22" applyFont="1" applyBorder="1" applyAlignment="1">
      <alignment horizontal="center" vertical="center" wrapText="1"/>
    </xf>
    <xf numFmtId="0" fontId="12" fillId="20" borderId="30" xfId="22" applyFont="1" applyFill="1" applyBorder="1" applyAlignment="1">
      <alignment horizontal="center" vertical="center" wrapText="1"/>
    </xf>
    <xf numFmtId="0" fontId="12" fillId="20" borderId="6" xfId="22" applyFont="1" applyFill="1" applyBorder="1" applyAlignment="1">
      <alignment horizontal="center" vertical="center" wrapText="1"/>
    </xf>
    <xf numFmtId="0" fontId="12" fillId="20" borderId="51" xfId="22" applyFont="1" applyFill="1" applyBorder="1" applyAlignment="1">
      <alignment horizontal="center" vertical="center" wrapText="1"/>
    </xf>
    <xf numFmtId="0" fontId="12" fillId="20" borderId="23" xfId="22" applyFont="1" applyFill="1" applyBorder="1" applyAlignment="1">
      <alignment horizontal="center" vertical="center" wrapText="1"/>
    </xf>
    <xf numFmtId="0" fontId="12" fillId="20" borderId="20" xfId="22" applyFont="1" applyFill="1" applyBorder="1" applyAlignment="1">
      <alignment horizontal="center" vertical="center" wrapText="1"/>
    </xf>
    <xf numFmtId="0" fontId="12" fillId="20" borderId="25" xfId="22" applyFont="1" applyFill="1" applyBorder="1" applyAlignment="1">
      <alignment horizontal="center" vertical="center" wrapText="1"/>
    </xf>
    <xf numFmtId="0" fontId="12" fillId="20" borderId="58" xfId="22" applyFont="1" applyFill="1" applyBorder="1" applyAlignment="1">
      <alignment horizontal="center" vertical="center" wrapText="1"/>
    </xf>
    <xf numFmtId="0" fontId="12" fillId="20" borderId="5" xfId="22" applyFont="1" applyFill="1" applyBorder="1" applyAlignment="1">
      <alignment horizontal="center" vertical="center" wrapText="1"/>
    </xf>
    <xf numFmtId="0" fontId="12" fillId="20" borderId="1" xfId="22" applyFont="1" applyFill="1" applyBorder="1" applyAlignment="1">
      <alignment horizontal="center" vertical="center" wrapText="1"/>
    </xf>
    <xf numFmtId="0" fontId="12" fillId="20" borderId="9" xfId="22" applyFont="1" applyFill="1" applyBorder="1" applyAlignment="1">
      <alignment horizontal="center" vertical="center" wrapText="1"/>
    </xf>
    <xf numFmtId="3" fontId="12" fillId="0" borderId="51" xfId="22" applyNumberFormat="1" applyFont="1" applyBorder="1" applyAlignment="1">
      <alignment horizontal="center" vertical="center" wrapText="1"/>
    </xf>
    <xf numFmtId="3" fontId="12" fillId="0" borderId="23" xfId="22" applyNumberFormat="1" applyFont="1" applyBorder="1" applyAlignment="1">
      <alignment horizontal="center" vertical="center" wrapText="1"/>
    </xf>
    <xf numFmtId="0" fontId="40" fillId="0" borderId="1" xfId="22" applyFont="1" applyBorder="1" applyAlignment="1">
      <alignment horizontal="left" vertical="center" wrapText="1"/>
    </xf>
    <xf numFmtId="0" fontId="40" fillId="0" borderId="9" xfId="22" applyFont="1" applyBorder="1" applyAlignment="1">
      <alignment horizontal="left" vertical="center" wrapText="1"/>
    </xf>
    <xf numFmtId="0" fontId="12" fillId="0" borderId="53" xfId="22" applyFont="1" applyBorder="1" applyAlignment="1">
      <alignment horizontal="center" vertical="center" wrapText="1"/>
    </xf>
    <xf numFmtId="0" fontId="12" fillId="0" borderId="54" xfId="22" applyFont="1" applyBorder="1" applyAlignment="1">
      <alignment horizontal="center" vertical="center" wrapText="1"/>
    </xf>
    <xf numFmtId="0" fontId="12" fillId="0" borderId="55" xfId="22" applyFont="1" applyBorder="1" applyAlignment="1">
      <alignment horizontal="center" vertical="center" wrapText="1"/>
    </xf>
    <xf numFmtId="0" fontId="12" fillId="20" borderId="44" xfId="22" applyFont="1" applyFill="1" applyBorder="1" applyAlignment="1">
      <alignment horizontal="center" vertical="center" wrapText="1"/>
    </xf>
    <xf numFmtId="0" fontId="12" fillId="20" borderId="45" xfId="22" applyFont="1" applyFill="1" applyBorder="1" applyAlignment="1">
      <alignment horizontal="center" vertical="center" wrapText="1"/>
    </xf>
    <xf numFmtId="0" fontId="11" fillId="20" borderId="9" xfId="22" applyFont="1" applyFill="1" applyBorder="1" applyAlignment="1">
      <alignment horizontal="center" vertical="center" wrapText="1"/>
    </xf>
    <xf numFmtId="0" fontId="12" fillId="20" borderId="57" xfId="22" applyFont="1" applyFill="1" applyBorder="1" applyAlignment="1">
      <alignment horizontal="center" vertical="center" wrapText="1"/>
    </xf>
    <xf numFmtId="0" fontId="12" fillId="20" borderId="3" xfId="22" applyFont="1" applyFill="1" applyBorder="1" applyAlignment="1">
      <alignment horizontal="center" vertical="center" wrapText="1"/>
    </xf>
    <xf numFmtId="0" fontId="12" fillId="20" borderId="7" xfId="22" applyFont="1" applyFill="1" applyBorder="1" applyAlignment="1">
      <alignment horizontal="center" vertical="center" wrapText="1"/>
    </xf>
    <xf numFmtId="0" fontId="12" fillId="0" borderId="8" xfId="22" applyFont="1" applyBorder="1" applyAlignment="1">
      <alignment horizontal="center" vertical="center" wrapText="1"/>
    </xf>
    <xf numFmtId="9" fontId="12" fillId="0" borderId="1" xfId="22" applyNumberFormat="1" applyFont="1" applyBorder="1" applyAlignment="1">
      <alignment horizontal="center" vertical="center" wrapText="1"/>
    </xf>
    <xf numFmtId="9" fontId="11" fillId="35" borderId="68" xfId="30" applyFont="1" applyFill="1" applyBorder="1" applyAlignment="1" applyProtection="1">
      <alignment horizontal="left" vertical="center" wrapText="1"/>
    </xf>
    <xf numFmtId="9" fontId="11" fillId="35" borderId="0" xfId="30" applyFont="1" applyFill="1" applyBorder="1" applyAlignment="1" applyProtection="1">
      <alignment horizontal="left" vertical="center" wrapText="1"/>
    </xf>
    <xf numFmtId="9" fontId="11" fillId="35" borderId="24" xfId="30" applyFont="1" applyFill="1" applyBorder="1" applyAlignment="1" applyProtection="1">
      <alignment horizontal="left" vertical="center" wrapText="1"/>
    </xf>
    <xf numFmtId="9" fontId="39" fillId="35" borderId="51" xfId="30" applyFont="1" applyFill="1" applyBorder="1" applyAlignment="1" applyProtection="1">
      <alignment horizontal="left" vertical="center" wrapText="1"/>
    </xf>
    <xf numFmtId="9" fontId="39" fillId="35" borderId="22" xfId="30" applyFont="1" applyFill="1" applyBorder="1" applyAlignment="1" applyProtection="1">
      <alignment horizontal="left" vertical="center" wrapText="1"/>
    </xf>
    <xf numFmtId="9" fontId="39" fillId="35" borderId="52" xfId="30" applyFont="1" applyFill="1" applyBorder="1" applyAlignment="1" applyProtection="1">
      <alignment horizontal="left" vertical="center" wrapText="1"/>
    </xf>
    <xf numFmtId="9" fontId="39" fillId="35" borderId="42" xfId="30" applyFont="1" applyFill="1" applyBorder="1" applyAlignment="1" applyProtection="1">
      <alignment horizontal="left" vertical="center" wrapText="1"/>
    </xf>
    <xf numFmtId="9" fontId="39" fillId="35" borderId="15" xfId="30" applyFont="1" applyFill="1" applyBorder="1" applyAlignment="1" applyProtection="1">
      <alignment horizontal="left" vertical="center" wrapText="1"/>
    </xf>
    <xf numFmtId="9" fontId="39" fillId="35" borderId="16" xfId="30" applyFont="1" applyFill="1" applyBorder="1" applyAlignment="1" applyProtection="1">
      <alignment horizontal="left" vertical="center" wrapText="1"/>
    </xf>
    <xf numFmtId="9" fontId="39" fillId="35" borderId="23" xfId="30" applyFont="1" applyFill="1" applyBorder="1" applyAlignment="1" applyProtection="1">
      <alignment horizontal="left" vertical="center" wrapText="1"/>
    </xf>
    <xf numFmtId="9" fontId="39" fillId="35" borderId="43" xfId="30" applyFont="1" applyFill="1" applyBorder="1" applyAlignment="1" applyProtection="1">
      <alignment horizontal="left" vertical="center" wrapText="1"/>
    </xf>
    <xf numFmtId="9" fontId="58" fillId="35" borderId="22" xfId="30" applyFont="1" applyFill="1" applyBorder="1" applyAlignment="1">
      <alignment horizontal="left" vertical="center" wrapText="1"/>
    </xf>
    <xf numFmtId="9" fontId="43" fillId="35" borderId="22" xfId="30" applyFont="1" applyFill="1" applyBorder="1" applyAlignment="1">
      <alignment horizontal="left" vertical="center" wrapText="1"/>
    </xf>
    <xf numFmtId="9" fontId="43" fillId="35" borderId="23" xfId="30" applyFont="1" applyFill="1" applyBorder="1" applyAlignment="1">
      <alignment horizontal="left" vertical="center" wrapText="1"/>
    </xf>
    <xf numFmtId="9" fontId="43" fillId="35" borderId="15" xfId="30" applyFont="1" applyFill="1" applyBorder="1" applyAlignment="1">
      <alignment horizontal="left" vertical="center" wrapText="1"/>
    </xf>
    <xf numFmtId="9" fontId="43" fillId="35" borderId="43" xfId="30" applyFont="1" applyFill="1" applyBorder="1" applyAlignment="1">
      <alignment horizontal="left" vertical="center" wrapText="1"/>
    </xf>
    <xf numFmtId="2" fontId="11" fillId="0" borderId="8" xfId="22" applyNumberFormat="1" applyFont="1" applyBorder="1" applyAlignment="1">
      <alignment horizontal="justify" vertical="center" wrapText="1"/>
    </xf>
    <xf numFmtId="2" fontId="11" fillId="0" borderId="31" xfId="22" applyNumberFormat="1" applyFont="1" applyBorder="1" applyAlignment="1">
      <alignment horizontal="justify" vertical="center" wrapText="1"/>
    </xf>
    <xf numFmtId="9" fontId="11" fillId="0" borderId="1" xfId="22" applyNumberFormat="1" applyFont="1" applyBorder="1" applyAlignment="1">
      <alignment horizontal="center" vertical="center" wrapText="1"/>
    </xf>
    <xf numFmtId="0" fontId="11" fillId="0" borderId="19" xfId="22" applyFont="1" applyBorder="1" applyAlignment="1">
      <alignment horizontal="center" vertical="center" wrapText="1"/>
    </xf>
    <xf numFmtId="9" fontId="58" fillId="35" borderId="32" xfId="22" applyNumberFormat="1" applyFont="1" applyFill="1" applyBorder="1" applyAlignment="1">
      <alignment horizontal="left" vertical="center" wrapText="1"/>
    </xf>
    <xf numFmtId="9" fontId="43" fillId="35" borderId="4" xfId="22" applyNumberFormat="1" applyFont="1" applyFill="1" applyBorder="1" applyAlignment="1">
      <alignment horizontal="left" vertical="center" wrapText="1"/>
    </xf>
    <xf numFmtId="9" fontId="43" fillId="35" borderId="34" xfId="22" applyNumberFormat="1" applyFont="1" applyFill="1" applyBorder="1" applyAlignment="1">
      <alignment horizontal="left" vertical="center" wrapText="1"/>
    </xf>
    <xf numFmtId="9" fontId="43" fillId="35" borderId="31" xfId="22" applyNumberFormat="1" applyFont="1" applyFill="1" applyBorder="1" applyAlignment="1">
      <alignment horizontal="left" vertical="center" wrapText="1"/>
    </xf>
    <xf numFmtId="9" fontId="43" fillId="35" borderId="19" xfId="22" applyNumberFormat="1" applyFont="1" applyFill="1" applyBorder="1" applyAlignment="1">
      <alignment horizontal="left" vertical="center" wrapText="1"/>
    </xf>
    <xf numFmtId="9" fontId="43" fillId="35" borderId="33" xfId="22" applyNumberFormat="1" applyFont="1" applyFill="1" applyBorder="1" applyAlignment="1">
      <alignment horizontal="left" vertical="center" wrapText="1"/>
    </xf>
    <xf numFmtId="0" fontId="12" fillId="20" borderId="32" xfId="22" applyFont="1" applyFill="1" applyBorder="1" applyAlignment="1">
      <alignment horizontal="center" vertical="center" wrapText="1"/>
    </xf>
    <xf numFmtId="0" fontId="12" fillId="20" borderId="19" xfId="22" applyFont="1" applyFill="1" applyBorder="1" applyAlignment="1">
      <alignment horizontal="center" vertical="center" wrapText="1"/>
    </xf>
    <xf numFmtId="0" fontId="12" fillId="20" borderId="46" xfId="22" applyFont="1" applyFill="1" applyBorder="1" applyAlignment="1">
      <alignment horizontal="center" vertical="center" wrapText="1"/>
    </xf>
    <xf numFmtId="0" fontId="12" fillId="20" borderId="47" xfId="22" applyFont="1" applyFill="1" applyBorder="1" applyAlignment="1">
      <alignment horizontal="center" vertical="center" wrapText="1"/>
    </xf>
    <xf numFmtId="0" fontId="12" fillId="20" borderId="48" xfId="22" applyFont="1" applyFill="1" applyBorder="1" applyAlignment="1">
      <alignment horizontal="center" vertical="center" wrapText="1"/>
    </xf>
    <xf numFmtId="0" fontId="12" fillId="20" borderId="49" xfId="22" applyFont="1" applyFill="1" applyBorder="1" applyAlignment="1">
      <alignment horizontal="center" vertical="center" wrapText="1"/>
    </xf>
    <xf numFmtId="0" fontId="12" fillId="20" borderId="50" xfId="22" applyFont="1" applyFill="1" applyBorder="1" applyAlignment="1">
      <alignment horizontal="center" vertical="center" wrapText="1"/>
    </xf>
    <xf numFmtId="0" fontId="12" fillId="20" borderId="39" xfId="22" applyFont="1" applyFill="1" applyBorder="1" applyAlignment="1">
      <alignment horizontal="center" vertical="center" wrapText="1"/>
    </xf>
    <xf numFmtId="2" fontId="11" fillId="0" borderId="32" xfId="22" applyNumberFormat="1" applyFont="1" applyBorder="1" applyAlignment="1">
      <alignment horizontal="justify" vertical="center" wrapText="1"/>
    </xf>
    <xf numFmtId="9" fontId="11" fillId="0" borderId="4" xfId="22" applyNumberFormat="1" applyFont="1" applyBorder="1" applyAlignment="1">
      <alignment horizontal="center" vertical="center" wrapText="1"/>
    </xf>
    <xf numFmtId="0" fontId="11" fillId="0" borderId="1" xfId="22" applyFont="1" applyBorder="1" applyAlignment="1">
      <alignment horizontal="center" vertical="center" wrapText="1"/>
    </xf>
    <xf numFmtId="9" fontId="43" fillId="35" borderId="32" xfId="22" applyNumberFormat="1" applyFont="1" applyFill="1" applyBorder="1" applyAlignment="1">
      <alignment horizontal="left" vertical="center" wrapText="1"/>
    </xf>
    <xf numFmtId="9" fontId="11" fillId="35" borderId="4" xfId="22" applyNumberFormat="1" applyFont="1" applyFill="1" applyBorder="1" applyAlignment="1">
      <alignment horizontal="left" vertical="center" wrapText="1"/>
    </xf>
    <xf numFmtId="9" fontId="11" fillId="35" borderId="34" xfId="22" applyNumberFormat="1" applyFont="1" applyFill="1" applyBorder="1" applyAlignment="1">
      <alignment horizontal="left" vertical="center" wrapText="1"/>
    </xf>
    <xf numFmtId="9" fontId="11" fillId="35" borderId="8" xfId="22" applyNumberFormat="1" applyFont="1" applyFill="1" applyBorder="1" applyAlignment="1">
      <alignment horizontal="left" vertical="center" wrapText="1"/>
    </xf>
    <xf numFmtId="9" fontId="11" fillId="35" borderId="1" xfId="22" applyNumberFormat="1" applyFont="1" applyFill="1" applyBorder="1" applyAlignment="1">
      <alignment horizontal="left" vertical="center" wrapText="1"/>
    </xf>
    <xf numFmtId="9" fontId="11" fillId="35" borderId="9" xfId="22" applyNumberFormat="1" applyFont="1" applyFill="1" applyBorder="1" applyAlignment="1">
      <alignment horizontal="left" vertical="center" wrapText="1"/>
    </xf>
    <xf numFmtId="9" fontId="26" fillId="0" borderId="0" xfId="0" applyNumberFormat="1" applyFont="1" applyAlignment="1">
      <alignment horizontal="justify" vertical="center" wrapText="1"/>
    </xf>
    <xf numFmtId="0" fontId="26" fillId="0" borderId="0" xfId="0" applyFont="1" applyAlignment="1">
      <alignment horizontal="justify" vertical="center" wrapText="1"/>
    </xf>
    <xf numFmtId="174" fontId="25" fillId="0" borderId="0" xfId="0" applyNumberFormat="1" applyFont="1" applyAlignment="1">
      <alignment horizontal="center" vertical="center" wrapText="1"/>
    </xf>
    <xf numFmtId="174" fontId="11" fillId="0" borderId="0" xfId="0" applyNumberFormat="1" applyFont="1" applyAlignment="1">
      <alignment vertical="center"/>
    </xf>
    <xf numFmtId="0" fontId="24" fillId="24" borderId="83" xfId="0" applyFont="1" applyFill="1" applyBorder="1" applyAlignment="1">
      <alignment horizontal="justify" vertical="center" wrapText="1"/>
    </xf>
    <xf numFmtId="0" fontId="11" fillId="0" borderId="85" xfId="0" applyFont="1" applyBorder="1" applyAlignment="1">
      <alignment horizontal="justify" vertical="center" wrapText="1"/>
    </xf>
    <xf numFmtId="0" fontId="24" fillId="24" borderId="83" xfId="0" applyFont="1" applyFill="1" applyBorder="1" applyAlignment="1">
      <alignment horizontal="center" vertical="center" wrapText="1"/>
    </xf>
    <xf numFmtId="0" fontId="11" fillId="0" borderId="85" xfId="0" applyFont="1" applyBorder="1" applyAlignment="1">
      <alignment vertical="center"/>
    </xf>
    <xf numFmtId="0" fontId="24" fillId="24" borderId="84" xfId="0" applyFont="1" applyFill="1" applyBorder="1" applyAlignment="1">
      <alignment horizontal="center" vertical="center" wrapText="1"/>
    </xf>
    <xf numFmtId="0" fontId="11" fillId="0" borderId="90" xfId="0" applyFont="1" applyBorder="1" applyAlignment="1">
      <alignment vertical="center"/>
    </xf>
    <xf numFmtId="0" fontId="11" fillId="0" borderId="86" xfId="0" applyFont="1" applyBorder="1" applyAlignment="1">
      <alignment vertical="center"/>
    </xf>
    <xf numFmtId="9" fontId="26" fillId="0" borderId="83" xfId="0" applyNumberFormat="1" applyFont="1" applyBorder="1" applyAlignment="1">
      <alignment horizontal="justify" vertical="center" wrapText="1"/>
    </xf>
    <xf numFmtId="9" fontId="26" fillId="0" borderId="85" xfId="0" applyNumberFormat="1" applyFont="1" applyBorder="1" applyAlignment="1">
      <alignment horizontal="justify" vertical="center" wrapText="1"/>
    </xf>
    <xf numFmtId="9" fontId="25" fillId="0" borderId="83" xfId="0" applyNumberFormat="1" applyFont="1" applyBorder="1" applyAlignment="1">
      <alignment horizontal="center" vertical="center" wrapText="1"/>
    </xf>
    <xf numFmtId="9" fontId="11" fillId="0" borderId="85" xfId="0" applyNumberFormat="1" applyFont="1" applyBorder="1" applyAlignment="1">
      <alignment vertical="center"/>
    </xf>
    <xf numFmtId="0" fontId="26" fillId="0" borderId="85" xfId="0" applyFont="1" applyBorder="1" applyAlignment="1">
      <alignment horizontal="justify" vertical="center" wrapText="1"/>
    </xf>
    <xf numFmtId="174" fontId="25" fillId="0" borderId="83" xfId="0" applyNumberFormat="1" applyFont="1" applyBorder="1" applyAlignment="1">
      <alignment horizontal="center" vertical="center" wrapText="1"/>
    </xf>
    <xf numFmtId="174" fontId="11" fillId="0" borderId="85" xfId="0" applyNumberFormat="1" applyFont="1" applyBorder="1" applyAlignment="1">
      <alignment vertical="center"/>
    </xf>
    <xf numFmtId="2" fontId="11" fillId="0" borderId="32" xfId="0" applyNumberFormat="1" applyFont="1" applyBorder="1" applyAlignment="1">
      <alignment horizontal="left" vertical="center" wrapText="1"/>
    </xf>
    <xf numFmtId="0" fontId="20" fillId="0" borderId="31" xfId="0" applyFont="1" applyBorder="1"/>
    <xf numFmtId="9" fontId="39" fillId="35" borderId="30" xfId="22" applyNumberFormat="1" applyFont="1" applyFill="1" applyBorder="1" applyAlignment="1">
      <alignment horizontal="left" vertical="center" wrapText="1"/>
    </xf>
    <xf numFmtId="9" fontId="39" fillId="35" borderId="22" xfId="22" applyNumberFormat="1" applyFont="1" applyFill="1" applyBorder="1" applyAlignment="1">
      <alignment horizontal="left" vertical="center" wrapText="1"/>
    </xf>
    <xf numFmtId="9" fontId="39" fillId="35" borderId="52" xfId="22" applyNumberFormat="1" applyFont="1" applyFill="1" applyBorder="1" applyAlignment="1">
      <alignment horizontal="left" vertical="center" wrapText="1"/>
    </xf>
    <xf numFmtId="9" fontId="39" fillId="35" borderId="37" xfId="22" applyNumberFormat="1" applyFont="1" applyFill="1" applyBorder="1" applyAlignment="1">
      <alignment horizontal="left" vertical="center" wrapText="1"/>
    </xf>
    <xf numFmtId="9" fontId="39" fillId="35" borderId="15" xfId="22" applyNumberFormat="1" applyFont="1" applyFill="1" applyBorder="1" applyAlignment="1">
      <alignment horizontal="left" vertical="center" wrapText="1"/>
    </xf>
    <xf numFmtId="9" fontId="39" fillId="35" borderId="16" xfId="22" applyNumberFormat="1" applyFont="1" applyFill="1" applyBorder="1" applyAlignment="1">
      <alignment horizontal="left" vertical="center" wrapText="1"/>
    </xf>
    <xf numFmtId="2" fontId="11" fillId="0" borderId="8" xfId="0" applyNumberFormat="1" applyFont="1" applyBorder="1" applyAlignment="1">
      <alignment horizontal="left" vertical="center" wrapText="1"/>
    </xf>
    <xf numFmtId="0" fontId="20" fillId="0" borderId="8" xfId="0" applyFont="1" applyBorder="1"/>
    <xf numFmtId="9" fontId="11" fillId="35" borderId="30" xfId="22" applyNumberFormat="1" applyFont="1" applyFill="1" applyBorder="1" applyAlignment="1">
      <alignment horizontal="left" vertical="center" wrapText="1"/>
    </xf>
    <xf numFmtId="9" fontId="11" fillId="35" borderId="22" xfId="22" applyNumberFormat="1" applyFont="1" applyFill="1" applyBorder="1" applyAlignment="1">
      <alignment horizontal="left" vertical="center" wrapText="1"/>
    </xf>
    <xf numFmtId="9" fontId="11" fillId="35" borderId="52" xfId="22" applyNumberFormat="1" applyFont="1" applyFill="1" applyBorder="1" applyAlignment="1">
      <alignment horizontal="left" vertical="center" wrapText="1"/>
    </xf>
    <xf numFmtId="9" fontId="11" fillId="35" borderId="13" xfId="22" applyNumberFormat="1" applyFont="1" applyFill="1" applyBorder="1" applyAlignment="1">
      <alignment horizontal="left" vertical="center" wrapText="1"/>
    </xf>
    <xf numFmtId="9" fontId="11" fillId="35" borderId="0" xfId="22" applyNumberFormat="1" applyFont="1" applyFill="1" applyAlignment="1">
      <alignment horizontal="left" vertical="center" wrapText="1"/>
    </xf>
    <xf numFmtId="9" fontId="11" fillId="35" borderId="14" xfId="22" applyNumberFormat="1" applyFont="1" applyFill="1" applyBorder="1" applyAlignment="1">
      <alignment horizontal="left" vertical="center" wrapText="1"/>
    </xf>
    <xf numFmtId="9" fontId="11" fillId="35" borderId="14" xfId="30" applyFont="1" applyFill="1" applyBorder="1" applyAlignment="1" applyProtection="1">
      <alignment horizontal="left" vertical="center" wrapText="1"/>
    </xf>
    <xf numFmtId="0" fontId="41" fillId="20" borderId="46" xfId="22" applyFont="1" applyFill="1" applyBorder="1" applyAlignment="1">
      <alignment horizontal="left" vertical="center" wrapText="1"/>
    </xf>
    <xf numFmtId="0" fontId="41" fillId="20" borderId="47" xfId="22" applyFont="1" applyFill="1" applyBorder="1" applyAlignment="1">
      <alignment horizontal="left" vertical="center" wrapText="1"/>
    </xf>
    <xf numFmtId="0" fontId="41" fillId="20" borderId="48" xfId="22" applyFont="1" applyFill="1" applyBorder="1" applyAlignment="1">
      <alignment horizontal="left" vertical="center" wrapText="1"/>
    </xf>
    <xf numFmtId="0" fontId="41" fillId="20" borderId="62" xfId="22" applyFont="1" applyFill="1" applyBorder="1" applyAlignment="1">
      <alignment horizontal="center" vertical="center" wrapText="1"/>
    </xf>
    <xf numFmtId="0" fontId="41" fillId="20" borderId="58" xfId="22" applyFont="1" applyFill="1" applyBorder="1" applyAlignment="1">
      <alignment horizontal="center" vertical="center" wrapText="1"/>
    </xf>
    <xf numFmtId="0" fontId="41" fillId="20" borderId="26" xfId="22" applyFont="1" applyFill="1" applyBorder="1" applyAlignment="1">
      <alignment horizontal="center" vertical="center" wrapText="1"/>
    </xf>
    <xf numFmtId="0" fontId="12" fillId="0" borderId="67" xfId="22" applyFont="1" applyBorder="1" applyAlignment="1">
      <alignment horizontal="center" vertical="center" wrapText="1"/>
    </xf>
    <xf numFmtId="9" fontId="12" fillId="0" borderId="35" xfId="22" applyNumberFormat="1" applyFont="1" applyBorder="1" applyAlignment="1">
      <alignment horizontal="center" vertical="center" wrapText="1"/>
    </xf>
    <xf numFmtId="0" fontId="12" fillId="0" borderId="35" xfId="22" applyFont="1" applyBorder="1" applyAlignment="1">
      <alignment horizontal="center" vertical="center" wrapText="1"/>
    </xf>
    <xf numFmtId="9" fontId="39" fillId="35" borderId="13" xfId="30" applyFont="1" applyFill="1" applyBorder="1" applyAlignment="1" applyProtection="1">
      <alignment horizontal="left" vertical="center" wrapText="1"/>
    </xf>
    <xf numFmtId="9" fontId="39" fillId="35" borderId="0" xfId="30" applyFont="1" applyFill="1" applyBorder="1" applyAlignment="1" applyProtection="1">
      <alignment horizontal="left" vertical="center" wrapText="1"/>
    </xf>
    <xf numFmtId="9" fontId="39" fillId="35" borderId="24" xfId="30" applyFont="1" applyFill="1" applyBorder="1" applyAlignment="1" applyProtection="1">
      <alignment horizontal="left" vertical="center" wrapText="1"/>
    </xf>
    <xf numFmtId="0" fontId="11" fillId="20" borderId="19" xfId="22" applyFont="1" applyFill="1" applyBorder="1" applyAlignment="1">
      <alignment horizontal="center" vertical="center" wrapText="1"/>
    </xf>
    <xf numFmtId="0" fontId="12" fillId="20" borderId="42" xfId="22" applyFont="1" applyFill="1" applyBorder="1" applyAlignment="1">
      <alignment horizontal="center" vertical="center" wrapText="1"/>
    </xf>
    <xf numFmtId="0" fontId="12" fillId="20" borderId="43" xfId="22" applyFont="1" applyFill="1" applyBorder="1" applyAlignment="1">
      <alignment horizontal="center" vertical="center" wrapText="1"/>
    </xf>
    <xf numFmtId="2" fontId="11" fillId="0" borderId="8" xfId="0" applyNumberFormat="1" applyFont="1" applyBorder="1" applyAlignment="1">
      <alignment horizontal="justify" vertical="center" wrapText="1"/>
    </xf>
    <xf numFmtId="0" fontId="20" fillId="0" borderId="31" xfId="0" applyFont="1" applyBorder="1" applyAlignment="1">
      <alignment horizontal="justify" vertical="center" wrapText="1"/>
    </xf>
    <xf numFmtId="0" fontId="57" fillId="35" borderId="93" xfId="0" applyFont="1" applyFill="1" applyBorder="1" applyAlignment="1">
      <alignment horizontal="left" vertical="center" wrapText="1"/>
    </xf>
    <xf numFmtId="0" fontId="57" fillId="35" borderId="94" xfId="0" applyFont="1" applyFill="1" applyBorder="1" applyAlignment="1">
      <alignment horizontal="left" vertical="center" wrapText="1"/>
    </xf>
    <xf numFmtId="0" fontId="57" fillId="35" borderId="104" xfId="0" applyFont="1" applyFill="1" applyBorder="1" applyAlignment="1">
      <alignment horizontal="left" vertical="center" wrapText="1"/>
    </xf>
    <xf numFmtId="0" fontId="57" fillId="35" borderId="37" xfId="0" applyFont="1" applyFill="1" applyBorder="1" applyAlignment="1">
      <alignment horizontal="left" vertical="center" wrapText="1"/>
    </xf>
    <xf numFmtId="0" fontId="57" fillId="35" borderId="15" xfId="0" applyFont="1" applyFill="1" applyBorder="1" applyAlignment="1">
      <alignment horizontal="left" vertical="center" wrapText="1"/>
    </xf>
    <xf numFmtId="0" fontId="57" fillId="35" borderId="16" xfId="0" applyFont="1" applyFill="1" applyBorder="1" applyAlignment="1">
      <alignment horizontal="left" vertical="center" wrapText="1"/>
    </xf>
    <xf numFmtId="2" fontId="11" fillId="0" borderId="56" xfId="0" applyNumberFormat="1" applyFont="1" applyBorder="1" applyAlignment="1">
      <alignment horizontal="justify" vertical="center" wrapText="1"/>
    </xf>
    <xf numFmtId="0" fontId="20" fillId="0" borderId="8" xfId="0" applyFont="1" applyBorder="1" applyAlignment="1">
      <alignment horizontal="justify" vertical="center" wrapText="1"/>
    </xf>
    <xf numFmtId="9" fontId="11" fillId="0" borderId="44" xfId="22" applyNumberFormat="1" applyFont="1" applyBorder="1" applyAlignment="1">
      <alignment horizontal="center" vertical="center" wrapText="1"/>
    </xf>
    <xf numFmtId="0" fontId="57" fillId="0" borderId="36" xfId="0" applyFont="1" applyBorder="1" applyAlignment="1">
      <alignment horizontal="left" vertical="center" wrapText="1"/>
    </xf>
    <xf numFmtId="0" fontId="57" fillId="0" borderId="11" xfId="0" applyFont="1" applyBorder="1" applyAlignment="1">
      <alignment horizontal="left" vertical="center" wrapText="1"/>
    </xf>
    <xf numFmtId="0" fontId="57" fillId="0" borderId="12" xfId="0" applyFont="1" applyBorder="1" applyAlignment="1">
      <alignment horizontal="left" vertical="center" wrapText="1"/>
    </xf>
    <xf numFmtId="0" fontId="57" fillId="0" borderId="91" xfId="0" applyFont="1" applyBorder="1" applyAlignment="1">
      <alignment horizontal="left" vertical="center" wrapText="1"/>
    </xf>
    <xf numFmtId="0" fontId="57" fillId="0" borderId="92" xfId="0" applyFont="1" applyBorder="1" applyAlignment="1">
      <alignment horizontal="left" vertical="center" wrapText="1"/>
    </xf>
    <xf numFmtId="0" fontId="57" fillId="0" borderId="103" xfId="0" applyFont="1" applyBorder="1" applyAlignment="1">
      <alignment horizontal="left" vertical="center" wrapText="1"/>
    </xf>
    <xf numFmtId="0" fontId="57" fillId="0" borderId="93" xfId="0" applyFont="1" applyBorder="1" applyAlignment="1">
      <alignment horizontal="left" vertical="center" wrapText="1"/>
    </xf>
    <xf numFmtId="0" fontId="57" fillId="0" borderId="94" xfId="0" applyFont="1" applyBorder="1" applyAlignment="1">
      <alignment horizontal="left" vertical="center" wrapText="1"/>
    </xf>
    <xf numFmtId="0" fontId="57" fillId="0" borderId="104" xfId="0" applyFont="1" applyBorder="1" applyAlignment="1">
      <alignment horizontal="left" vertical="center" wrapText="1"/>
    </xf>
    <xf numFmtId="0" fontId="57" fillId="35" borderId="82" xfId="0" applyFont="1" applyFill="1" applyBorder="1" applyAlignment="1">
      <alignment horizontal="left" vertical="center" wrapText="1"/>
    </xf>
    <xf numFmtId="0" fontId="57" fillId="35" borderId="102" xfId="0" applyFont="1" applyFill="1" applyBorder="1" applyAlignment="1">
      <alignment horizontal="left" vertical="center" wrapText="1"/>
    </xf>
    <xf numFmtId="0" fontId="12" fillId="20" borderId="18" xfId="22" applyFont="1" applyFill="1" applyBorder="1" applyAlignment="1">
      <alignment horizontal="center" vertical="center" wrapText="1"/>
    </xf>
    <xf numFmtId="0" fontId="12" fillId="20" borderId="34" xfId="22" applyFont="1" applyFill="1" applyBorder="1" applyAlignment="1">
      <alignment horizontal="center" vertical="center" wrapText="1"/>
    </xf>
    <xf numFmtId="0" fontId="12" fillId="20" borderId="100" xfId="22" applyFont="1" applyFill="1" applyBorder="1" applyAlignment="1">
      <alignment horizontal="center" vertical="center" wrapText="1"/>
    </xf>
    <xf numFmtId="0" fontId="12" fillId="0" borderId="8" xfId="22" applyFont="1" applyBorder="1" applyAlignment="1">
      <alignment horizontal="justify" vertical="center" wrapText="1"/>
    </xf>
    <xf numFmtId="0" fontId="12" fillId="0" borderId="31" xfId="22" applyFont="1" applyBorder="1" applyAlignment="1">
      <alignment horizontal="justify" vertical="center" wrapText="1"/>
    </xf>
    <xf numFmtId="0" fontId="57" fillId="35" borderId="101" xfId="0" applyFont="1" applyFill="1" applyBorder="1" applyAlignment="1">
      <alignment horizontal="left" vertical="center" wrapText="1"/>
    </xf>
    <xf numFmtId="0" fontId="20" fillId="35" borderId="82" xfId="0" applyFont="1" applyFill="1" applyBorder="1" applyAlignment="1">
      <alignment horizontal="left" vertical="center" wrapText="1"/>
    </xf>
    <xf numFmtId="0" fontId="12" fillId="20" borderId="10" xfId="22" applyFont="1" applyFill="1" applyBorder="1" applyAlignment="1">
      <alignment horizontal="center" vertical="center" wrapText="1"/>
    </xf>
    <xf numFmtId="0" fontId="12" fillId="20" borderId="68" xfId="22" applyFont="1" applyFill="1" applyBorder="1" applyAlignment="1">
      <alignment horizontal="center" vertical="center" wrapText="1"/>
    </xf>
    <xf numFmtId="0" fontId="12" fillId="20" borderId="24" xfId="22" applyFont="1" applyFill="1" applyBorder="1" applyAlignment="1">
      <alignment horizontal="center" vertical="center" wrapText="1"/>
    </xf>
    <xf numFmtId="2" fontId="12" fillId="0" borderId="59" xfId="28" applyNumberFormat="1" applyFont="1" applyFill="1" applyBorder="1" applyAlignment="1" applyProtection="1">
      <alignment horizontal="center" vertical="center" wrapText="1"/>
    </xf>
    <xf numFmtId="2" fontId="12" fillId="0" borderId="60" xfId="28" applyNumberFormat="1" applyFont="1" applyFill="1" applyBorder="1" applyAlignment="1" applyProtection="1">
      <alignment horizontal="center" vertical="center" wrapText="1"/>
    </xf>
    <xf numFmtId="2" fontId="11" fillId="0" borderId="13" xfId="0" applyNumberFormat="1" applyFont="1" applyBorder="1" applyAlignment="1">
      <alignment horizontal="justify" vertical="center" wrapText="1"/>
    </xf>
    <xf numFmtId="0" fontId="20" fillId="0" borderId="37" xfId="0" applyFont="1" applyBorder="1" applyAlignment="1">
      <alignment horizontal="justify" vertical="center" wrapText="1"/>
    </xf>
    <xf numFmtId="9" fontId="43" fillId="35" borderId="30" xfId="22" applyNumberFormat="1" applyFont="1" applyFill="1" applyBorder="1" applyAlignment="1">
      <alignment horizontal="left" vertical="top" wrapText="1"/>
    </xf>
    <xf numFmtId="9" fontId="39" fillId="35" borderId="22" xfId="22" applyNumberFormat="1" applyFont="1" applyFill="1" applyBorder="1" applyAlignment="1">
      <alignment horizontal="left" vertical="top" wrapText="1"/>
    </xf>
    <xf numFmtId="9" fontId="39" fillId="35" borderId="52" xfId="22" applyNumberFormat="1" applyFont="1" applyFill="1" applyBorder="1" applyAlignment="1">
      <alignment horizontal="left" vertical="top" wrapText="1"/>
    </xf>
    <xf numFmtId="9" fontId="39" fillId="35" borderId="37" xfId="22" applyNumberFormat="1" applyFont="1" applyFill="1" applyBorder="1" applyAlignment="1">
      <alignment horizontal="left" vertical="top" wrapText="1"/>
    </xf>
    <xf numFmtId="9" fontId="39" fillId="35" borderId="15" xfId="22" applyNumberFormat="1" applyFont="1" applyFill="1" applyBorder="1" applyAlignment="1">
      <alignment horizontal="left" vertical="top" wrapText="1"/>
    </xf>
    <xf numFmtId="9" fontId="39" fillId="35" borderId="16" xfId="22" applyNumberFormat="1" applyFont="1" applyFill="1" applyBorder="1" applyAlignment="1">
      <alignment horizontal="left" vertical="top" wrapText="1"/>
    </xf>
    <xf numFmtId="9" fontId="43" fillId="35" borderId="36" xfId="22" applyNumberFormat="1" applyFont="1" applyFill="1" applyBorder="1" applyAlignment="1">
      <alignment horizontal="left" vertical="center" wrapText="1"/>
    </xf>
    <xf numFmtId="9" fontId="11" fillId="35" borderId="11" xfId="22" applyNumberFormat="1" applyFont="1" applyFill="1" applyBorder="1" applyAlignment="1">
      <alignment horizontal="left" vertical="center" wrapText="1"/>
    </xf>
    <xf numFmtId="9" fontId="11" fillId="35" borderId="12" xfId="22" applyNumberFormat="1" applyFont="1" applyFill="1" applyBorder="1" applyAlignment="1">
      <alignment horizontal="left" vertical="center" wrapText="1"/>
    </xf>
    <xf numFmtId="9" fontId="11" fillId="35" borderId="6" xfId="22" applyNumberFormat="1" applyFont="1" applyFill="1" applyBorder="1" applyAlignment="1">
      <alignment horizontal="left" vertical="center" wrapText="1"/>
    </xf>
    <xf numFmtId="9" fontId="11" fillId="35" borderId="3" xfId="22" applyNumberFormat="1" applyFont="1" applyFill="1" applyBorder="1" applyAlignment="1">
      <alignment horizontal="left" vertical="center" wrapText="1"/>
    </xf>
    <xf numFmtId="9" fontId="11" fillId="35" borderId="7" xfId="22" applyNumberFormat="1" applyFont="1" applyFill="1" applyBorder="1" applyAlignment="1">
      <alignment horizontal="left" vertical="center" wrapText="1"/>
    </xf>
    <xf numFmtId="9" fontId="39" fillId="35" borderId="98" xfId="30" applyFont="1" applyFill="1" applyBorder="1" applyAlignment="1" applyProtection="1">
      <alignment horizontal="left" vertical="center" wrapText="1"/>
    </xf>
    <xf numFmtId="9" fontId="39" fillId="35" borderId="11" xfId="30" applyFont="1" applyFill="1" applyBorder="1" applyAlignment="1" applyProtection="1">
      <alignment horizontal="left" vertical="center" wrapText="1"/>
    </xf>
    <xf numFmtId="9" fontId="39" fillId="35" borderId="12" xfId="30" applyFont="1" applyFill="1" applyBorder="1" applyAlignment="1" applyProtection="1">
      <alignment horizontal="left" vertical="center" wrapText="1"/>
    </xf>
    <xf numFmtId="0" fontId="12" fillId="35" borderId="46" xfId="22" applyFont="1" applyFill="1" applyBorder="1" applyAlignment="1">
      <alignment horizontal="center" vertical="center" wrapText="1"/>
    </xf>
    <xf numFmtId="0" fontId="12" fillId="35" borderId="47" xfId="22" applyFont="1" applyFill="1" applyBorder="1" applyAlignment="1">
      <alignment horizontal="center" vertical="center" wrapText="1"/>
    </xf>
    <xf numFmtId="0" fontId="12" fillId="35" borderId="48" xfId="22" applyFont="1" applyFill="1" applyBorder="1" applyAlignment="1">
      <alignment horizontal="center" vertical="center" wrapText="1"/>
    </xf>
    <xf numFmtId="9" fontId="43" fillId="35" borderId="36" xfId="30" applyFont="1" applyFill="1" applyBorder="1" applyAlignment="1" applyProtection="1">
      <alignment horizontal="left" vertical="center" wrapText="1"/>
    </xf>
    <xf numFmtId="9" fontId="39" fillId="35" borderId="97" xfId="30" applyFont="1" applyFill="1" applyBorder="1" applyAlignment="1" applyProtection="1">
      <alignment horizontal="left" vertical="center" wrapText="1"/>
    </xf>
    <xf numFmtId="9" fontId="39" fillId="35" borderId="37" xfId="30" applyFont="1" applyFill="1" applyBorder="1" applyAlignment="1" applyProtection="1">
      <alignment horizontal="left" vertical="center" wrapText="1"/>
    </xf>
    <xf numFmtId="9" fontId="43" fillId="35" borderId="98" xfId="30" applyFont="1" applyFill="1" applyBorder="1" applyAlignment="1" applyProtection="1">
      <alignment horizontal="left" vertical="center" wrapText="1"/>
    </xf>
    <xf numFmtId="0" fontId="11" fillId="35" borderId="95" xfId="0" applyFont="1" applyFill="1" applyBorder="1" applyAlignment="1">
      <alignment horizontal="left" vertical="center" wrapText="1"/>
    </xf>
    <xf numFmtId="0" fontId="11" fillId="35" borderId="96" xfId="0" applyFont="1" applyFill="1" applyBorder="1" applyAlignment="1">
      <alignment horizontal="left" vertical="center" wrapText="1"/>
    </xf>
    <xf numFmtId="0" fontId="11" fillId="20" borderId="1" xfId="22" applyFont="1" applyFill="1" applyBorder="1" applyAlignment="1">
      <alignment horizontal="center" vertical="center" wrapText="1"/>
    </xf>
    <xf numFmtId="9" fontId="11" fillId="0" borderId="2" xfId="22" applyNumberFormat="1" applyFont="1" applyBorder="1" applyAlignment="1">
      <alignment horizontal="center" vertical="center" wrapText="1"/>
    </xf>
    <xf numFmtId="0" fontId="11" fillId="0" borderId="21" xfId="22" applyFont="1" applyBorder="1" applyAlignment="1">
      <alignment horizontal="center" vertical="center" wrapText="1"/>
    </xf>
    <xf numFmtId="9" fontId="11" fillId="0" borderId="0" xfId="22" applyNumberFormat="1" applyFont="1" applyAlignment="1">
      <alignment horizontal="justify" vertical="center" wrapText="1"/>
    </xf>
    <xf numFmtId="9" fontId="11" fillId="0" borderId="14" xfId="22" applyNumberFormat="1" applyFont="1" applyBorder="1" applyAlignment="1">
      <alignment horizontal="justify" vertical="center" wrapText="1"/>
    </xf>
    <xf numFmtId="9" fontId="11" fillId="0" borderId="15" xfId="22" applyNumberFormat="1" applyFont="1" applyBorder="1" applyAlignment="1">
      <alignment horizontal="justify" vertical="center" wrapText="1"/>
    </xf>
    <xf numFmtId="9" fontId="11" fillId="0" borderId="16" xfId="22" applyNumberFormat="1" applyFont="1" applyBorder="1" applyAlignment="1">
      <alignment horizontal="justify" vertical="center" wrapText="1"/>
    </xf>
    <xf numFmtId="9" fontId="39" fillId="19" borderId="68" xfId="30" applyFont="1" applyFill="1" applyBorder="1" applyAlignment="1" applyProtection="1">
      <alignment horizontal="justify" vertical="center" wrapText="1"/>
    </xf>
    <xf numFmtId="9" fontId="39" fillId="19" borderId="0" xfId="30" applyFont="1" applyFill="1" applyBorder="1" applyAlignment="1" applyProtection="1">
      <alignment horizontal="justify" vertical="center" wrapText="1"/>
    </xf>
    <xf numFmtId="9" fontId="39" fillId="19" borderId="14" xfId="30" applyFont="1" applyFill="1" applyBorder="1" applyAlignment="1" applyProtection="1">
      <alignment horizontal="justify" vertical="center" wrapText="1"/>
    </xf>
    <xf numFmtId="9" fontId="39" fillId="19" borderId="42" xfId="30" applyFont="1" applyFill="1" applyBorder="1" applyAlignment="1" applyProtection="1">
      <alignment horizontal="justify" vertical="center" wrapText="1"/>
    </xf>
    <xf numFmtId="9" fontId="39" fillId="19" borderId="15" xfId="30" applyFont="1" applyFill="1" applyBorder="1" applyAlignment="1" applyProtection="1">
      <alignment horizontal="justify" vertical="center" wrapText="1"/>
    </xf>
    <xf numFmtId="9" fontId="39" fillId="19" borderId="16" xfId="30" applyFont="1" applyFill="1" applyBorder="1" applyAlignment="1" applyProtection="1">
      <alignment horizontal="justify" vertical="center" wrapText="1"/>
    </xf>
    <xf numFmtId="9" fontId="39" fillId="19" borderId="24" xfId="30" applyFont="1" applyFill="1" applyBorder="1" applyAlignment="1" applyProtection="1">
      <alignment horizontal="justify" vertical="center" wrapText="1"/>
    </xf>
    <xf numFmtId="9" fontId="39" fillId="19" borderId="43" xfId="30" applyFont="1" applyFill="1" applyBorder="1" applyAlignment="1" applyProtection="1">
      <alignment horizontal="justify" vertical="center" wrapText="1"/>
    </xf>
    <xf numFmtId="0" fontId="11" fillId="19" borderId="95" xfId="0" applyFont="1" applyFill="1" applyBorder="1" applyAlignment="1">
      <alignment horizontal="left" vertical="center" wrapText="1"/>
    </xf>
    <xf numFmtId="0" fontId="11" fillId="19" borderId="96" xfId="0" applyFont="1" applyFill="1" applyBorder="1" applyAlignment="1">
      <alignment horizontal="left" vertical="center" wrapText="1"/>
    </xf>
    <xf numFmtId="0" fontId="0" fillId="0" borderId="62" xfId="0" applyBorder="1" applyAlignment="1">
      <alignment horizontal="center" vertical="center"/>
    </xf>
    <xf numFmtId="0" fontId="0" fillId="0" borderId="26" xfId="0" applyBorder="1" applyAlignment="1">
      <alignment horizontal="center" vertical="center"/>
    </xf>
    <xf numFmtId="2" fontId="11" fillId="0" borderId="32" xfId="0" applyNumberFormat="1" applyFont="1" applyBorder="1" applyAlignment="1">
      <alignment horizontal="justify" vertical="center" wrapText="1"/>
    </xf>
    <xf numFmtId="9" fontId="39" fillId="0" borderId="22" xfId="22" applyNumberFormat="1" applyFont="1" applyBorder="1" applyAlignment="1">
      <alignment horizontal="justify" vertical="center" wrapText="1"/>
    </xf>
    <xf numFmtId="9" fontId="39" fillId="0" borderId="52" xfId="22" applyNumberFormat="1" applyFont="1" applyBorder="1" applyAlignment="1">
      <alignment horizontal="justify" vertical="center" wrapText="1"/>
    </xf>
    <xf numFmtId="9" fontId="39" fillId="0" borderId="15" xfId="22" applyNumberFormat="1" applyFont="1" applyBorder="1" applyAlignment="1">
      <alignment horizontal="justify" vertical="center" wrapText="1"/>
    </xf>
    <xf numFmtId="9" fontId="39" fillId="0" borderId="16" xfId="22" applyNumberFormat="1" applyFont="1" applyBorder="1" applyAlignment="1">
      <alignment horizontal="justify" vertical="center" wrapText="1"/>
    </xf>
    <xf numFmtId="9" fontId="11" fillId="0" borderId="22" xfId="22" applyNumberFormat="1" applyFont="1" applyBorder="1" applyAlignment="1">
      <alignment horizontal="justify" vertical="center" wrapText="1"/>
    </xf>
    <xf numFmtId="9" fontId="11" fillId="0" borderId="52" xfId="22" applyNumberFormat="1" applyFont="1" applyBorder="1" applyAlignment="1">
      <alignment horizontal="justify" vertical="center" wrapText="1"/>
    </xf>
    <xf numFmtId="9" fontId="11" fillId="19" borderId="68" xfId="30" applyFont="1" applyFill="1" applyBorder="1" applyAlignment="1" applyProtection="1">
      <alignment horizontal="left" vertical="center" wrapText="1"/>
    </xf>
    <xf numFmtId="9" fontId="11" fillId="19" borderId="0" xfId="30" applyFont="1" applyFill="1" applyBorder="1" applyAlignment="1" applyProtection="1">
      <alignment horizontal="left" vertical="center" wrapText="1"/>
    </xf>
    <xf numFmtId="9" fontId="11" fillId="19" borderId="24" xfId="30" applyFont="1" applyFill="1" applyBorder="1" applyAlignment="1" applyProtection="1">
      <alignment horizontal="left" vertical="center" wrapText="1"/>
    </xf>
    <xf numFmtId="9" fontId="11" fillId="19" borderId="42" xfId="30" applyFont="1" applyFill="1" applyBorder="1" applyAlignment="1" applyProtection="1">
      <alignment horizontal="left" vertical="center" wrapText="1"/>
    </xf>
    <xf numFmtId="9" fontId="11" fillId="19" borderId="15" xfId="30" applyFont="1" applyFill="1" applyBorder="1" applyAlignment="1" applyProtection="1">
      <alignment horizontal="left" vertical="center" wrapText="1"/>
    </xf>
    <xf numFmtId="9" fontId="11" fillId="19" borderId="43" xfId="30" applyFont="1" applyFill="1" applyBorder="1" applyAlignment="1" applyProtection="1">
      <alignment horizontal="left" vertical="center" wrapText="1"/>
    </xf>
    <xf numFmtId="0" fontId="11" fillId="20" borderId="10" xfId="22" applyFont="1" applyFill="1" applyBorder="1" applyAlignment="1">
      <alignment horizontal="center" vertical="center" wrapText="1"/>
    </xf>
    <xf numFmtId="9" fontId="11" fillId="0" borderId="66" xfId="22" applyNumberFormat="1" applyFont="1" applyBorder="1" applyAlignment="1">
      <alignment horizontal="center" vertical="center" wrapText="1"/>
    </xf>
    <xf numFmtId="9" fontId="57" fillId="35" borderId="11" xfId="22" applyNumberFormat="1" applyFont="1" applyFill="1" applyBorder="1" applyAlignment="1">
      <alignment vertical="center" wrapText="1" readingOrder="1"/>
    </xf>
    <xf numFmtId="9" fontId="39" fillId="35" borderId="11" xfId="22" applyNumberFormat="1" applyFont="1" applyFill="1" applyBorder="1" applyAlignment="1">
      <alignment horizontal="left" vertical="center" wrapText="1"/>
    </xf>
    <xf numFmtId="9" fontId="39" fillId="35" borderId="12" xfId="22" applyNumberFormat="1" applyFont="1" applyFill="1" applyBorder="1" applyAlignment="1">
      <alignment horizontal="left" vertical="center" wrapText="1"/>
    </xf>
    <xf numFmtId="0" fontId="12" fillId="0" borderId="56" xfId="22" applyFont="1" applyBorder="1" applyAlignment="1">
      <alignment horizontal="justify" vertical="center" wrapText="1"/>
    </xf>
    <xf numFmtId="0" fontId="12" fillId="0" borderId="18" xfId="22" applyFont="1" applyBorder="1" applyAlignment="1">
      <alignment horizontal="justify" vertical="center" wrapText="1"/>
    </xf>
    <xf numFmtId="9" fontId="12" fillId="0" borderId="44" xfId="22" applyNumberFormat="1" applyFont="1" applyBorder="1" applyAlignment="1">
      <alignment horizontal="center" vertical="center" wrapText="1"/>
    </xf>
    <xf numFmtId="0" fontId="12" fillId="0" borderId="10" xfId="22" applyFont="1" applyBorder="1" applyAlignment="1">
      <alignment horizontal="center" vertical="center" wrapText="1"/>
    </xf>
    <xf numFmtId="9" fontId="43" fillId="35" borderId="0" xfId="30" applyFont="1" applyFill="1" applyBorder="1" applyAlignment="1" applyProtection="1">
      <alignment vertical="center" wrapText="1" readingOrder="1"/>
    </xf>
    <xf numFmtId="9" fontId="39" fillId="35" borderId="0" xfId="30" applyFont="1" applyFill="1" applyBorder="1" applyAlignment="1" applyProtection="1">
      <alignment horizontal="justify" vertical="center" wrapText="1"/>
    </xf>
    <xf numFmtId="9" fontId="39" fillId="35" borderId="24" xfId="30" applyFont="1" applyFill="1" applyBorder="1" applyAlignment="1" applyProtection="1">
      <alignment horizontal="justify" vertical="center" wrapText="1"/>
    </xf>
    <xf numFmtId="0" fontId="11" fillId="35" borderId="95" xfId="0" applyFont="1" applyFill="1" applyBorder="1" applyAlignment="1">
      <alignment vertical="center" wrapText="1"/>
    </xf>
    <xf numFmtId="0" fontId="11" fillId="35" borderId="83" xfId="0" applyFont="1" applyFill="1" applyBorder="1" applyAlignment="1">
      <alignment vertical="center" wrapText="1"/>
    </xf>
    <xf numFmtId="9" fontId="39" fillId="35" borderId="68" xfId="30" applyFont="1" applyFill="1" applyBorder="1" applyAlignment="1" applyProtection="1">
      <alignment horizontal="justify" vertical="center" wrapText="1"/>
    </xf>
    <xf numFmtId="9" fontId="39" fillId="35" borderId="14" xfId="30" applyFont="1" applyFill="1" applyBorder="1" applyAlignment="1" applyProtection="1">
      <alignment horizontal="justify" vertical="center" wrapText="1"/>
    </xf>
    <xf numFmtId="2" fontId="12" fillId="20" borderId="44" xfId="22" applyNumberFormat="1" applyFont="1" applyFill="1" applyBorder="1" applyAlignment="1">
      <alignment horizontal="center" vertical="center" wrapText="1"/>
    </xf>
    <xf numFmtId="0" fontId="12" fillId="20" borderId="33" xfId="22" applyFont="1" applyFill="1" applyBorder="1" applyAlignment="1">
      <alignment horizontal="center" vertical="center" wrapText="1"/>
    </xf>
    <xf numFmtId="9" fontId="39" fillId="35" borderId="98" xfId="30" applyFont="1" applyFill="1" applyBorder="1" applyAlignment="1" applyProtection="1">
      <alignment horizontal="justify" vertical="center" wrapText="1"/>
    </xf>
    <xf numFmtId="9" fontId="39" fillId="35" borderId="11" xfId="30" applyFont="1" applyFill="1" applyBorder="1" applyAlignment="1" applyProtection="1">
      <alignment horizontal="justify" vertical="center" wrapText="1"/>
    </xf>
    <xf numFmtId="9" fontId="39" fillId="35" borderId="12" xfId="30" applyFont="1" applyFill="1" applyBorder="1" applyAlignment="1" applyProtection="1">
      <alignment horizontal="justify" vertical="center" wrapText="1"/>
    </xf>
    <xf numFmtId="9" fontId="39" fillId="35" borderId="42" xfId="30" applyFont="1" applyFill="1" applyBorder="1" applyAlignment="1" applyProtection="1">
      <alignment horizontal="justify" vertical="center" wrapText="1"/>
    </xf>
    <xf numFmtId="9" fontId="39" fillId="35" borderId="15" xfId="30" applyFont="1" applyFill="1" applyBorder="1" applyAlignment="1" applyProtection="1">
      <alignment horizontal="justify" vertical="center" wrapText="1"/>
    </xf>
    <xf numFmtId="9" fontId="39" fillId="35" borderId="16" xfId="30" applyFont="1" applyFill="1" applyBorder="1" applyAlignment="1" applyProtection="1">
      <alignment horizontal="justify" vertical="center" wrapText="1"/>
    </xf>
    <xf numFmtId="9" fontId="43" fillId="35" borderId="93" xfId="22" applyNumberFormat="1" applyFont="1" applyFill="1" applyBorder="1" applyAlignment="1">
      <alignment vertical="center" wrapText="1" readingOrder="1"/>
    </xf>
    <xf numFmtId="9" fontId="39" fillId="35" borderId="94" xfId="22" applyNumberFormat="1" applyFont="1" applyFill="1" applyBorder="1" applyAlignment="1">
      <alignment horizontal="justify" vertical="center" wrapText="1"/>
    </xf>
    <xf numFmtId="9" fontId="39" fillId="35" borderId="104" xfId="22" applyNumberFormat="1" applyFont="1" applyFill="1" applyBorder="1" applyAlignment="1">
      <alignment horizontal="justify" vertical="center" wrapText="1"/>
    </xf>
    <xf numFmtId="9" fontId="39" fillId="35" borderId="37" xfId="22" applyNumberFormat="1" applyFont="1" applyFill="1" applyBorder="1" applyAlignment="1">
      <alignment horizontal="justify" vertical="center" wrapText="1"/>
    </xf>
    <xf numFmtId="9" fontId="39" fillId="35" borderId="15" xfId="22" applyNumberFormat="1" applyFont="1" applyFill="1" applyBorder="1" applyAlignment="1">
      <alignment horizontal="justify" vertical="center" wrapText="1"/>
    </xf>
    <xf numFmtId="9" fontId="39" fillId="35" borderId="16" xfId="22" applyNumberFormat="1" applyFont="1" applyFill="1" applyBorder="1" applyAlignment="1">
      <alignment horizontal="justify" vertical="center" wrapText="1"/>
    </xf>
    <xf numFmtId="2" fontId="11" fillId="0" borderId="46" xfId="0" applyNumberFormat="1" applyFont="1" applyBorder="1" applyAlignment="1">
      <alignment horizontal="justify" vertical="center" wrapText="1"/>
    </xf>
    <xf numFmtId="0" fontId="20" fillId="0" borderId="62" xfId="0" applyFont="1" applyBorder="1" applyAlignment="1">
      <alignment horizontal="justify" vertical="center" wrapText="1"/>
    </xf>
    <xf numFmtId="9" fontId="11" fillId="0" borderId="56" xfId="22" applyNumberFormat="1" applyFont="1" applyBorder="1" applyAlignment="1">
      <alignment horizontal="center" vertical="center" wrapText="1"/>
    </xf>
    <xf numFmtId="0" fontId="11" fillId="0" borderId="8" xfId="22" applyFont="1" applyBorder="1" applyAlignment="1">
      <alignment horizontal="center" vertical="center" wrapText="1"/>
    </xf>
    <xf numFmtId="9" fontId="39" fillId="35" borderId="6" xfId="22" applyNumberFormat="1" applyFont="1" applyFill="1" applyBorder="1" applyAlignment="1">
      <alignment horizontal="left" vertical="center" wrapText="1"/>
    </xf>
    <xf numFmtId="9" fontId="39" fillId="35" borderId="3" xfId="22" applyNumberFormat="1" applyFont="1" applyFill="1" applyBorder="1" applyAlignment="1">
      <alignment horizontal="left" vertical="center" wrapText="1"/>
    </xf>
    <xf numFmtId="9" fontId="39" fillId="35" borderId="7" xfId="22" applyNumberFormat="1" applyFont="1" applyFill="1" applyBorder="1" applyAlignment="1">
      <alignment horizontal="left" vertical="center" wrapText="1"/>
    </xf>
    <xf numFmtId="2" fontId="11" fillId="0" borderId="62" xfId="0" applyNumberFormat="1" applyFont="1" applyBorder="1" applyAlignment="1">
      <alignment horizontal="justify" vertical="center" wrapText="1"/>
    </xf>
    <xf numFmtId="9" fontId="11" fillId="0" borderId="8" xfId="22" applyNumberFormat="1" applyFont="1" applyBorder="1" applyAlignment="1">
      <alignment horizontal="center" vertical="center" wrapText="1"/>
    </xf>
    <xf numFmtId="9" fontId="43" fillId="35" borderId="30" xfId="22" applyNumberFormat="1" applyFont="1" applyFill="1" applyBorder="1" applyAlignment="1">
      <alignment horizontal="justify" vertical="center" wrapText="1"/>
    </xf>
    <xf numFmtId="9" fontId="39" fillId="35" borderId="22" xfId="22" applyNumberFormat="1" applyFont="1" applyFill="1" applyBorder="1" applyAlignment="1">
      <alignment horizontal="justify" vertical="center" wrapText="1"/>
    </xf>
    <xf numFmtId="9" fontId="39" fillId="35" borderId="52" xfId="22" applyNumberFormat="1" applyFont="1" applyFill="1" applyBorder="1" applyAlignment="1">
      <alignment horizontal="justify" vertical="center" wrapText="1"/>
    </xf>
    <xf numFmtId="9" fontId="39" fillId="35" borderId="91" xfId="22" applyNumberFormat="1" applyFont="1" applyFill="1" applyBorder="1" applyAlignment="1">
      <alignment horizontal="justify" vertical="center" wrapText="1"/>
    </xf>
    <xf numFmtId="9" fontId="39" fillId="35" borderId="92" xfId="22" applyNumberFormat="1" applyFont="1" applyFill="1" applyBorder="1" applyAlignment="1">
      <alignment horizontal="justify" vertical="center" wrapText="1"/>
    </xf>
    <xf numFmtId="9" fontId="39" fillId="35" borderId="103" xfId="22" applyNumberFormat="1" applyFont="1" applyFill="1" applyBorder="1" applyAlignment="1">
      <alignment horizontal="justify" vertical="center" wrapText="1"/>
    </xf>
    <xf numFmtId="9" fontId="11" fillId="0" borderId="32" xfId="22" applyNumberFormat="1" applyFont="1" applyBorder="1" applyAlignment="1">
      <alignment horizontal="center" vertical="center" wrapText="1"/>
    </xf>
    <xf numFmtId="0" fontId="11" fillId="0" borderId="31" xfId="22" applyFont="1" applyBorder="1" applyAlignment="1">
      <alignment horizontal="center" vertical="center" wrapText="1"/>
    </xf>
    <xf numFmtId="9" fontId="43" fillId="35" borderId="36" xfId="30" applyFont="1" applyFill="1" applyBorder="1" applyAlignment="1" applyProtection="1">
      <alignment vertical="center" wrapText="1" readingOrder="1"/>
    </xf>
    <xf numFmtId="9" fontId="43" fillId="35" borderId="98" xfId="30" applyFont="1" applyFill="1" applyBorder="1" applyAlignment="1" applyProtection="1">
      <alignment vertical="center" wrapText="1" readingOrder="1"/>
    </xf>
    <xf numFmtId="9" fontId="39" fillId="35" borderId="5" xfId="30" applyFont="1" applyFill="1" applyBorder="1" applyAlignment="1" applyProtection="1">
      <alignment horizontal="left" vertical="center" wrapText="1"/>
    </xf>
    <xf numFmtId="9" fontId="39" fillId="35" borderId="1" xfId="30" applyFont="1" applyFill="1" applyBorder="1" applyAlignment="1" applyProtection="1">
      <alignment horizontal="left" vertical="center" wrapText="1"/>
    </xf>
    <xf numFmtId="9" fontId="39" fillId="35" borderId="40" xfId="30" applyFont="1" applyFill="1" applyBorder="1" applyAlignment="1" applyProtection="1">
      <alignment horizontal="left" vertical="center" wrapText="1"/>
    </xf>
    <xf numFmtId="9" fontId="39" fillId="35" borderId="19" xfId="30" applyFont="1" applyFill="1" applyBorder="1" applyAlignment="1" applyProtection="1">
      <alignment horizontal="left" vertical="center" wrapText="1"/>
    </xf>
    <xf numFmtId="9" fontId="11" fillId="35" borderId="37" xfId="22" applyNumberFormat="1" applyFont="1" applyFill="1" applyBorder="1" applyAlignment="1">
      <alignment horizontal="left" vertical="center" wrapText="1"/>
    </xf>
    <xf numFmtId="9" fontId="11" fillId="35" borderId="15" xfId="22" applyNumberFormat="1" applyFont="1" applyFill="1" applyBorder="1" applyAlignment="1">
      <alignment horizontal="left" vertical="center" wrapText="1"/>
    </xf>
    <xf numFmtId="9" fontId="11" fillId="35" borderId="16" xfId="22" applyNumberFormat="1" applyFont="1" applyFill="1" applyBorder="1" applyAlignment="1">
      <alignment horizontal="left" vertical="center" wrapText="1"/>
    </xf>
    <xf numFmtId="0" fontId="12" fillId="20" borderId="22" xfId="22" applyFont="1" applyFill="1" applyBorder="1" applyAlignment="1">
      <alignment horizontal="center" vertical="center" wrapText="1"/>
    </xf>
    <xf numFmtId="0" fontId="12" fillId="20" borderId="52" xfId="22" applyFont="1" applyFill="1" applyBorder="1" applyAlignment="1">
      <alignment horizontal="center" vertical="center" wrapText="1"/>
    </xf>
    <xf numFmtId="2" fontId="11" fillId="0" borderId="56" xfId="0" applyNumberFormat="1" applyFont="1" applyBorder="1" applyAlignment="1">
      <alignment horizontal="left" vertical="center" wrapText="1"/>
    </xf>
    <xf numFmtId="0" fontId="20" fillId="0" borderId="8" xfId="0" applyFont="1" applyBorder="1" applyAlignment="1">
      <alignment vertical="center"/>
    </xf>
    <xf numFmtId="9" fontId="11" fillId="35" borderId="36" xfId="22" applyNumberFormat="1" applyFont="1" applyFill="1" applyBorder="1" applyAlignment="1">
      <alignment horizontal="left" vertical="center" wrapText="1"/>
    </xf>
    <xf numFmtId="9" fontId="39" fillId="35" borderId="1" xfId="30" applyFont="1" applyFill="1" applyBorder="1" applyAlignment="1" applyProtection="1">
      <alignment horizontal="justify" vertical="center" wrapText="1"/>
    </xf>
    <xf numFmtId="9" fontId="39" fillId="35" borderId="9" xfId="30" applyFont="1" applyFill="1" applyBorder="1" applyAlignment="1" applyProtection="1">
      <alignment horizontal="justify" vertical="center" wrapText="1"/>
    </xf>
    <xf numFmtId="9" fontId="39" fillId="35" borderId="19" xfId="30" applyFont="1" applyFill="1" applyBorder="1" applyAlignment="1" applyProtection="1">
      <alignment horizontal="justify" vertical="center" wrapText="1"/>
    </xf>
    <xf numFmtId="9" fontId="39" fillId="35" borderId="33" xfId="30" applyFont="1" applyFill="1" applyBorder="1" applyAlignment="1" applyProtection="1">
      <alignment horizontal="justify" vertical="center" wrapText="1"/>
    </xf>
    <xf numFmtId="0" fontId="0" fillId="35" borderId="62" xfId="0" applyFill="1" applyBorder="1" applyAlignment="1">
      <alignment horizontal="center" vertical="center"/>
    </xf>
    <xf numFmtId="0" fontId="0" fillId="35" borderId="26" xfId="0" applyFill="1" applyBorder="1" applyAlignment="1">
      <alignment horizontal="center" vertical="center"/>
    </xf>
    <xf numFmtId="2" fontId="11" fillId="0" borderId="18" xfId="22" applyNumberFormat="1" applyFont="1" applyBorder="1" applyAlignment="1">
      <alignment horizontal="center" vertical="center" wrapText="1"/>
    </xf>
    <xf numFmtId="2" fontId="11" fillId="0" borderId="32" xfId="22" applyNumberFormat="1" applyFont="1" applyBorder="1" applyAlignment="1">
      <alignment horizontal="center" vertical="center" wrapText="1"/>
    </xf>
    <xf numFmtId="2" fontId="11" fillId="0" borderId="35" xfId="22" applyNumberFormat="1" applyFont="1" applyBorder="1" applyAlignment="1">
      <alignment horizontal="center" vertical="center" wrapText="1"/>
    </xf>
    <xf numFmtId="2" fontId="11" fillId="0" borderId="4" xfId="22" applyNumberFormat="1" applyFont="1" applyBorder="1" applyAlignment="1">
      <alignment horizontal="center" vertical="center" wrapText="1"/>
    </xf>
    <xf numFmtId="0" fontId="12" fillId="20" borderId="54" xfId="22" applyFont="1" applyFill="1" applyBorder="1" applyAlignment="1">
      <alignment horizontal="center" vertical="center" wrapText="1"/>
    </xf>
    <xf numFmtId="0" fontId="12" fillId="20" borderId="4" xfId="22" applyFont="1" applyFill="1" applyBorder="1" applyAlignment="1">
      <alignment horizontal="center" vertical="center" wrapText="1"/>
    </xf>
    <xf numFmtId="2" fontId="11" fillId="0" borderId="10" xfId="22" applyNumberFormat="1" applyFont="1" applyBorder="1" applyAlignment="1">
      <alignment horizontal="center" vertical="center" wrapText="1"/>
    </xf>
    <xf numFmtId="2" fontId="11" fillId="0" borderId="32" xfId="22" applyNumberFormat="1" applyFont="1" applyBorder="1" applyAlignment="1">
      <alignment vertical="center" wrapText="1"/>
    </xf>
    <xf numFmtId="2" fontId="11" fillId="0" borderId="8" xfId="22" applyNumberFormat="1" applyFont="1" applyBorder="1" applyAlignment="1">
      <alignment vertical="center" wrapText="1"/>
    </xf>
    <xf numFmtId="0" fontId="12" fillId="0" borderId="18" xfId="22" applyFont="1" applyBorder="1" applyAlignment="1">
      <alignment horizontal="center" vertical="center" wrapText="1"/>
    </xf>
    <xf numFmtId="0" fontId="12" fillId="0" borderId="69" xfId="22" applyFont="1" applyBorder="1" applyAlignment="1">
      <alignment horizontal="center" vertical="center" wrapText="1"/>
    </xf>
    <xf numFmtId="9" fontId="40" fillId="0" borderId="51" xfId="30" applyFont="1" applyFill="1" applyBorder="1" applyAlignment="1" applyProtection="1">
      <alignment horizontal="center" vertical="center" wrapText="1"/>
    </xf>
    <xf numFmtId="9" fontId="40" fillId="0" borderId="22" xfId="30" applyFont="1" applyFill="1" applyBorder="1" applyAlignment="1" applyProtection="1">
      <alignment horizontal="center" vertical="center" wrapText="1"/>
    </xf>
    <xf numFmtId="9" fontId="40" fillId="0" borderId="23" xfId="30" applyFont="1" applyFill="1" applyBorder="1" applyAlignment="1" applyProtection="1">
      <alignment horizontal="center" vertical="center" wrapText="1"/>
    </xf>
    <xf numFmtId="9" fontId="40" fillId="0" borderId="42" xfId="30" applyFont="1" applyFill="1" applyBorder="1" applyAlignment="1" applyProtection="1">
      <alignment horizontal="center" vertical="center" wrapText="1"/>
    </xf>
    <xf numFmtId="9" fontId="40" fillId="0" borderId="15" xfId="30" applyFont="1" applyFill="1" applyBorder="1" applyAlignment="1" applyProtection="1">
      <alignment horizontal="center" vertical="center" wrapText="1"/>
    </xf>
    <xf numFmtId="9" fontId="40" fillId="0" borderId="43" xfId="30" applyFont="1" applyFill="1" applyBorder="1" applyAlignment="1" applyProtection="1">
      <alignment horizontal="center" vertical="center" wrapText="1"/>
    </xf>
    <xf numFmtId="0" fontId="12" fillId="0" borderId="41" xfId="22" applyFont="1" applyBorder="1" applyAlignment="1">
      <alignment horizontal="center" vertical="center" wrapText="1"/>
    </xf>
    <xf numFmtId="0" fontId="12" fillId="0" borderId="2" xfId="22" applyFont="1" applyBorder="1" applyAlignment="1">
      <alignment horizontal="center" vertical="center" wrapText="1"/>
    </xf>
    <xf numFmtId="0" fontId="12" fillId="0" borderId="58" xfId="22" applyFont="1" applyBorder="1" applyAlignment="1">
      <alignment horizontal="center" vertical="center" wrapText="1"/>
    </xf>
    <xf numFmtId="0" fontId="12" fillId="0" borderId="5" xfId="22" applyFont="1" applyBorder="1" applyAlignment="1">
      <alignment horizontal="center" vertical="center" wrapText="1"/>
    </xf>
    <xf numFmtId="172" fontId="12" fillId="19" borderId="2" xfId="17" applyNumberFormat="1" applyFont="1" applyFill="1" applyBorder="1" applyAlignment="1" applyProtection="1">
      <alignment horizontal="center" vertical="center" wrapText="1"/>
    </xf>
    <xf numFmtId="172" fontId="12" fillId="19" borderId="5" xfId="17" applyNumberFormat="1" applyFont="1" applyFill="1" applyBorder="1" applyAlignment="1" applyProtection="1">
      <alignment horizontal="center" vertical="center" wrapText="1"/>
    </xf>
    <xf numFmtId="0" fontId="12" fillId="19" borderId="2" xfId="22" applyFont="1" applyFill="1" applyBorder="1" applyAlignment="1">
      <alignment horizontal="center" vertical="center" wrapText="1"/>
    </xf>
    <xf numFmtId="0" fontId="12" fillId="19" borderId="5" xfId="22" applyFont="1" applyFill="1" applyBorder="1" applyAlignment="1">
      <alignment horizontal="center" vertical="center" wrapText="1"/>
    </xf>
    <xf numFmtId="0" fontId="12" fillId="0" borderId="26" xfId="22" applyFont="1" applyBorder="1" applyAlignment="1">
      <alignment horizontal="center" vertical="center" wrapText="1"/>
    </xf>
    <xf numFmtId="2" fontId="11" fillId="0" borderId="41" xfId="22" applyNumberFormat="1" applyFont="1" applyBorder="1" applyAlignment="1">
      <alignment horizontal="center" vertical="center" wrapText="1"/>
    </xf>
    <xf numFmtId="9" fontId="40" fillId="0" borderId="51" xfId="22" applyNumberFormat="1" applyFont="1" applyBorder="1" applyAlignment="1">
      <alignment horizontal="center" vertical="center" wrapText="1"/>
    </xf>
    <xf numFmtId="9" fontId="40" fillId="0" borderId="22" xfId="22" applyNumberFormat="1" applyFont="1" applyBorder="1" applyAlignment="1">
      <alignment horizontal="center" vertical="center" wrapText="1"/>
    </xf>
    <xf numFmtId="9" fontId="40" fillId="0" borderId="52" xfId="22" applyNumberFormat="1" applyFont="1" applyBorder="1" applyAlignment="1">
      <alignment horizontal="center" vertical="center" wrapText="1"/>
    </xf>
    <xf numFmtId="9" fontId="40" fillId="0" borderId="42" xfId="22" applyNumberFormat="1" applyFont="1" applyBorder="1" applyAlignment="1">
      <alignment horizontal="center" vertical="center" wrapText="1"/>
    </xf>
    <xf numFmtId="9" fontId="40" fillId="0" borderId="15" xfId="22" applyNumberFormat="1" applyFont="1" applyBorder="1" applyAlignment="1">
      <alignment horizontal="center" vertical="center" wrapText="1"/>
    </xf>
    <xf numFmtId="9" fontId="40" fillId="0" borderId="16" xfId="22" applyNumberFormat="1" applyFont="1" applyBorder="1" applyAlignment="1">
      <alignment horizontal="center" vertical="center" wrapText="1"/>
    </xf>
    <xf numFmtId="9" fontId="40" fillId="0" borderId="68" xfId="22" applyNumberFormat="1" applyFont="1" applyBorder="1" applyAlignment="1">
      <alignment horizontal="center" vertical="center" wrapText="1"/>
    </xf>
    <xf numFmtId="9" fontId="40" fillId="0" borderId="0" xfId="22" applyNumberFormat="1" applyFont="1" applyAlignment="1">
      <alignment horizontal="center" vertical="center" wrapText="1"/>
    </xf>
    <xf numFmtId="9" fontId="40" fillId="0" borderId="14" xfId="22" applyNumberFormat="1" applyFont="1" applyBorder="1" applyAlignment="1">
      <alignment horizontal="center" vertical="center" wrapText="1"/>
    </xf>
    <xf numFmtId="172" fontId="12" fillId="19" borderId="21" xfId="17" applyNumberFormat="1" applyFont="1" applyFill="1" applyBorder="1" applyAlignment="1" applyProtection="1">
      <alignment horizontal="center" vertical="center" wrapText="1"/>
    </xf>
    <xf numFmtId="172" fontId="12" fillId="19" borderId="50" xfId="17" applyNumberFormat="1" applyFont="1" applyFill="1" applyBorder="1" applyAlignment="1" applyProtection="1">
      <alignment horizontal="center" vertical="center" wrapText="1"/>
    </xf>
    <xf numFmtId="172" fontId="12" fillId="19" borderId="40" xfId="17" applyNumberFormat="1" applyFont="1" applyFill="1" applyBorder="1" applyAlignment="1" applyProtection="1">
      <alignment horizontal="center" vertical="center" wrapText="1"/>
    </xf>
    <xf numFmtId="2" fontId="11" fillId="0" borderId="18" xfId="22" applyNumberFormat="1" applyFont="1" applyBorder="1" applyAlignment="1">
      <alignment vertical="center" wrapText="1"/>
    </xf>
    <xf numFmtId="0" fontId="0" fillId="0" borderId="69" xfId="0" applyBorder="1" applyAlignment="1">
      <alignment vertical="center" wrapText="1"/>
    </xf>
    <xf numFmtId="0" fontId="12" fillId="2" borderId="13" xfId="22" applyFont="1" applyFill="1" applyBorder="1" applyAlignment="1">
      <alignment horizontal="center" vertical="center" wrapText="1"/>
    </xf>
    <xf numFmtId="0" fontId="12" fillId="19" borderId="0" xfId="22" applyFont="1" applyFill="1" applyAlignment="1">
      <alignment horizontal="center" vertical="center" wrapText="1"/>
    </xf>
    <xf numFmtId="0" fontId="12" fillId="20" borderId="27" xfId="22" applyFont="1" applyFill="1" applyBorder="1" applyAlignment="1">
      <alignment horizontal="center" vertical="center" wrapText="1"/>
    </xf>
    <xf numFmtId="0" fontId="12" fillId="20" borderId="28" xfId="22" applyFont="1" applyFill="1" applyBorder="1" applyAlignment="1">
      <alignment horizontal="center" vertical="center" wrapText="1"/>
    </xf>
    <xf numFmtId="0" fontId="12" fillId="20" borderId="29" xfId="22" applyFont="1" applyFill="1" applyBorder="1" applyAlignment="1">
      <alignment horizontal="center" vertical="center" wrapText="1"/>
    </xf>
    <xf numFmtId="172" fontId="12" fillId="19" borderId="2" xfId="17" applyNumberFormat="1" applyFont="1" applyFill="1" applyBorder="1" applyAlignment="1" applyProtection="1">
      <alignment horizontal="center" vertical="center"/>
    </xf>
    <xf numFmtId="172" fontId="12" fillId="19" borderId="5" xfId="17" applyNumberFormat="1" applyFont="1" applyFill="1" applyBorder="1" applyAlignment="1" applyProtection="1">
      <alignment horizontal="center" vertical="center"/>
    </xf>
    <xf numFmtId="0" fontId="12" fillId="20" borderId="26" xfId="22" applyFont="1" applyFill="1" applyBorder="1" applyAlignment="1">
      <alignment horizontal="center" vertical="center" wrapText="1"/>
    </xf>
    <xf numFmtId="0" fontId="12" fillId="0" borderId="13" xfId="22" applyFont="1" applyBorder="1" applyAlignment="1">
      <alignment horizontal="center" vertical="center"/>
    </xf>
    <xf numFmtId="0" fontId="12" fillId="0" borderId="0" xfId="22" applyFont="1" applyAlignment="1">
      <alignment horizontal="center" vertical="center"/>
    </xf>
    <xf numFmtId="0" fontId="12" fillId="0" borderId="14" xfId="22" applyFont="1" applyBorder="1" applyAlignment="1">
      <alignment horizontal="center" vertical="center"/>
    </xf>
    <xf numFmtId="9" fontId="40" fillId="0" borderId="51" xfId="22" applyNumberFormat="1" applyFont="1" applyBorder="1" applyAlignment="1">
      <alignment horizontal="left" vertical="center" wrapText="1"/>
    </xf>
    <xf numFmtId="9" fontId="40" fillId="0" borderId="22" xfId="22" applyNumberFormat="1" applyFont="1" applyBorder="1" applyAlignment="1">
      <alignment horizontal="left" vertical="center" wrapText="1"/>
    </xf>
    <xf numFmtId="9" fontId="40" fillId="0" borderId="52" xfId="22" applyNumberFormat="1" applyFont="1" applyBorder="1" applyAlignment="1">
      <alignment horizontal="left" vertical="center" wrapText="1"/>
    </xf>
    <xf numFmtId="9" fontId="40" fillId="0" borderId="68" xfId="22" applyNumberFormat="1" applyFont="1" applyBorder="1" applyAlignment="1">
      <alignment horizontal="left" vertical="center" wrapText="1"/>
    </xf>
    <xf numFmtId="9" fontId="40" fillId="0" borderId="0" xfId="22" applyNumberFormat="1" applyFont="1" applyAlignment="1">
      <alignment horizontal="left" vertical="center" wrapText="1"/>
    </xf>
    <xf numFmtId="9" fontId="40" fillId="0" borderId="14" xfId="22" applyNumberFormat="1" applyFont="1" applyBorder="1" applyAlignment="1">
      <alignment horizontal="left" vertical="center" wrapText="1"/>
    </xf>
    <xf numFmtId="0" fontId="44" fillId="0" borderId="63" xfId="0" applyFont="1" applyBorder="1" applyAlignment="1">
      <alignment horizontal="center" vertical="center"/>
    </xf>
    <xf numFmtId="0" fontId="44" fillId="0" borderId="65" xfId="0" applyFont="1" applyBorder="1" applyAlignment="1">
      <alignment horizontal="center" vertical="center"/>
    </xf>
    <xf numFmtId="0" fontId="11" fillId="0" borderId="63" xfId="22" applyFont="1" applyBorder="1" applyAlignment="1">
      <alignment horizontal="center" vertical="center" wrapText="1"/>
    </xf>
    <xf numFmtId="0" fontId="11" fillId="0" borderId="64" xfId="22" applyFont="1" applyBorder="1" applyAlignment="1">
      <alignment horizontal="center" vertical="center" wrapText="1"/>
    </xf>
    <xf numFmtId="0" fontId="11" fillId="0" borderId="65" xfId="22" applyFont="1" applyBorder="1" applyAlignment="1">
      <alignment horizontal="center" vertical="center" wrapText="1"/>
    </xf>
    <xf numFmtId="0" fontId="12" fillId="31" borderId="5" xfId="0" applyFont="1" applyFill="1" applyBorder="1" applyAlignment="1">
      <alignment horizontal="left" vertical="center" wrapText="1"/>
    </xf>
    <xf numFmtId="0" fontId="12" fillId="31" borderId="1" xfId="0" applyFont="1" applyFill="1" applyBorder="1" applyAlignment="1">
      <alignment horizontal="left" vertical="center" wrapText="1"/>
    </xf>
    <xf numFmtId="0" fontId="12" fillId="31" borderId="9" xfId="0" applyFont="1" applyFill="1" applyBorder="1" applyAlignment="1">
      <alignment horizontal="left" vertical="center" wrapText="1"/>
    </xf>
    <xf numFmtId="0" fontId="41" fillId="0" borderId="40" xfId="0" applyFont="1" applyBorder="1" applyAlignment="1">
      <alignment horizontal="left" vertical="center" wrapText="1"/>
    </xf>
    <xf numFmtId="0" fontId="41" fillId="0" borderId="19" xfId="0" applyFont="1" applyBorder="1" applyAlignment="1">
      <alignment horizontal="left" vertical="center" wrapText="1"/>
    </xf>
    <xf numFmtId="0" fontId="41" fillId="0" borderId="33" xfId="0" applyFont="1" applyBorder="1" applyAlignment="1">
      <alignment horizontal="left" vertical="center" wrapText="1"/>
    </xf>
    <xf numFmtId="0" fontId="12" fillId="20" borderId="36" xfId="22" applyFont="1" applyFill="1" applyBorder="1" applyAlignment="1">
      <alignment horizontal="center" vertical="center" wrapText="1"/>
    </xf>
    <xf numFmtId="0" fontId="12" fillId="20" borderId="11" xfId="22" applyFont="1" applyFill="1" applyBorder="1" applyAlignment="1">
      <alignment horizontal="center" vertical="center" wrapText="1"/>
    </xf>
    <xf numFmtId="0" fontId="12" fillId="20" borderId="12" xfId="22" applyFont="1" applyFill="1" applyBorder="1" applyAlignment="1">
      <alignment horizontal="center" vertical="center" wrapText="1"/>
    </xf>
    <xf numFmtId="0" fontId="12" fillId="0" borderId="57" xfId="0" applyFont="1" applyBorder="1" applyAlignment="1">
      <alignment horizontal="left" vertical="center" wrapText="1"/>
    </xf>
    <xf numFmtId="0" fontId="12" fillId="0" borderId="44" xfId="0" applyFont="1" applyBorder="1" applyAlignment="1">
      <alignment horizontal="left" vertical="center" wrapText="1"/>
    </xf>
    <xf numFmtId="0" fontId="12" fillId="0" borderId="45" xfId="0" applyFont="1" applyBorder="1" applyAlignment="1">
      <alignment horizontal="left" vertical="center" wrapText="1"/>
    </xf>
    <xf numFmtId="0" fontId="12" fillId="0" borderId="36" xfId="22" applyFont="1" applyBorder="1" applyAlignment="1">
      <alignment horizontal="center" vertical="center"/>
    </xf>
    <xf numFmtId="0" fontId="12" fillId="0" borderId="11" xfId="22" applyFont="1" applyBorder="1" applyAlignment="1">
      <alignment horizontal="center" vertical="center"/>
    </xf>
    <xf numFmtId="0" fontId="12" fillId="0" borderId="12" xfId="22" applyFont="1" applyBorder="1" applyAlignment="1">
      <alignment horizontal="center" vertical="center"/>
    </xf>
    <xf numFmtId="0" fontId="44" fillId="0" borderId="36" xfId="0" applyFont="1" applyBorder="1" applyAlignment="1">
      <alignment horizontal="center" vertical="center"/>
    </xf>
    <xf numFmtId="9" fontId="40" fillId="0" borderId="52" xfId="30" applyFont="1" applyFill="1" applyBorder="1" applyAlignment="1" applyProtection="1">
      <alignment horizontal="center" vertical="center" wrapText="1"/>
    </xf>
    <xf numFmtId="9" fontId="40" fillId="0" borderId="16" xfId="30" applyFont="1" applyFill="1" applyBorder="1" applyAlignment="1" applyProtection="1">
      <alignment horizontal="center" vertical="center" wrapText="1"/>
    </xf>
    <xf numFmtId="0" fontId="12" fillId="19" borderId="6" xfId="22" applyFont="1" applyFill="1" applyBorder="1" applyAlignment="1">
      <alignment horizontal="center" vertical="center" wrapText="1"/>
    </xf>
    <xf numFmtId="0" fontId="12" fillId="19" borderId="3" xfId="22" applyFont="1" applyFill="1" applyBorder="1" applyAlignment="1">
      <alignment horizontal="center" vertical="center" wrapText="1"/>
    </xf>
    <xf numFmtId="0" fontId="12" fillId="19" borderId="25" xfId="22" applyFont="1" applyFill="1" applyBorder="1" applyAlignment="1">
      <alignment horizontal="center" vertical="center" wrapText="1"/>
    </xf>
    <xf numFmtId="0" fontId="12" fillId="19" borderId="20" xfId="22" applyFont="1" applyFill="1" applyBorder="1" applyAlignment="1">
      <alignment horizontal="center" vertical="center" wrapText="1"/>
    </xf>
    <xf numFmtId="0" fontId="12" fillId="19" borderId="7" xfId="22" applyFont="1" applyFill="1" applyBorder="1" applyAlignment="1">
      <alignment horizontal="center" vertical="center" wrapText="1"/>
    </xf>
    <xf numFmtId="172" fontId="12" fillId="19" borderId="49" xfId="17" applyNumberFormat="1" applyFont="1" applyFill="1" applyBorder="1" applyAlignment="1" applyProtection="1">
      <alignment horizontal="center" vertical="center" wrapText="1"/>
    </xf>
    <xf numFmtId="0" fontId="12" fillId="19" borderId="62" xfId="22" applyFont="1" applyFill="1" applyBorder="1" applyAlignment="1">
      <alignment horizontal="center" vertical="center" wrapText="1"/>
    </xf>
    <xf numFmtId="0" fontId="12" fillId="19" borderId="58" xfId="22" applyFont="1" applyFill="1" applyBorder="1" applyAlignment="1">
      <alignment horizontal="center" vertical="center" wrapText="1"/>
    </xf>
    <xf numFmtId="172" fontId="12" fillId="0" borderId="2" xfId="17" applyNumberFormat="1" applyFont="1" applyFill="1" applyBorder="1" applyAlignment="1" applyProtection="1">
      <alignment horizontal="center" vertical="center" wrapText="1"/>
    </xf>
    <xf numFmtId="172" fontId="12" fillId="0" borderId="26" xfId="17" applyNumberFormat="1" applyFont="1" applyFill="1" applyBorder="1" applyAlignment="1" applyProtection="1">
      <alignment horizontal="center" vertical="center" wrapText="1"/>
    </xf>
    <xf numFmtId="0" fontId="11" fillId="29" borderId="2" xfId="0" applyFont="1" applyFill="1" applyBorder="1" applyAlignment="1">
      <alignment horizontal="left" vertical="center" wrapText="1"/>
    </xf>
    <xf numFmtId="0" fontId="11" fillId="29" borderId="58" xfId="0" applyFont="1" applyFill="1" applyBorder="1" applyAlignment="1">
      <alignment horizontal="left" vertical="center" wrapText="1"/>
    </xf>
    <xf numFmtId="0" fontId="11" fillId="29" borderId="5" xfId="0" applyFont="1" applyFill="1" applyBorder="1" applyAlignment="1">
      <alignment horizontal="left" vertical="center" wrapText="1"/>
    </xf>
    <xf numFmtId="0" fontId="12" fillId="29" borderId="2" xfId="0" applyFont="1" applyFill="1" applyBorder="1" applyAlignment="1">
      <alignment horizontal="left" vertical="center" wrapText="1"/>
    </xf>
    <xf numFmtId="0" fontId="12" fillId="29" borderId="58" xfId="0" applyFont="1" applyFill="1" applyBorder="1" applyAlignment="1">
      <alignment horizontal="left" vertical="center" wrapText="1"/>
    </xf>
    <xf numFmtId="0" fontId="12" fillId="29" borderId="5" xfId="0" applyFont="1" applyFill="1" applyBorder="1" applyAlignment="1">
      <alignment horizontal="left" vertical="center" wrapText="1"/>
    </xf>
    <xf numFmtId="0" fontId="12" fillId="32" borderId="51" xfId="0" applyFont="1" applyFill="1" applyBorder="1" applyAlignment="1">
      <alignment horizontal="center" vertical="center" wrapText="1"/>
    </xf>
    <xf numFmtId="0" fontId="12" fillId="32" borderId="22" xfId="0" applyFont="1" applyFill="1" applyBorder="1" applyAlignment="1">
      <alignment horizontal="center" vertical="center" wrapText="1"/>
    </xf>
    <xf numFmtId="0" fontId="12" fillId="32" borderId="23" xfId="0" applyFont="1" applyFill="1" applyBorder="1" applyAlignment="1">
      <alignment horizontal="center" vertical="center" wrapText="1"/>
    </xf>
    <xf numFmtId="0" fontId="12" fillId="32" borderId="68" xfId="0" applyFont="1" applyFill="1" applyBorder="1" applyAlignment="1">
      <alignment horizontal="center" vertical="center" wrapText="1"/>
    </xf>
    <xf numFmtId="0" fontId="12" fillId="32" borderId="0" xfId="0" applyFont="1" applyFill="1" applyAlignment="1">
      <alignment horizontal="center" vertical="center" wrapText="1"/>
    </xf>
    <xf numFmtId="0" fontId="12" fillId="32" borderId="24" xfId="0" applyFont="1" applyFill="1" applyBorder="1" applyAlignment="1">
      <alignment horizontal="center" vertical="center" wrapText="1"/>
    </xf>
    <xf numFmtId="0" fontId="12" fillId="32" borderId="20" xfId="0" applyFont="1" applyFill="1" applyBorder="1" applyAlignment="1">
      <alignment horizontal="center" vertical="center" wrapText="1"/>
    </xf>
    <xf numFmtId="0" fontId="12" fillId="32" borderId="3" xfId="0" applyFont="1" applyFill="1" applyBorder="1" applyAlignment="1">
      <alignment horizontal="center" vertical="center" wrapText="1"/>
    </xf>
    <xf numFmtId="0" fontId="12" fillId="32" borderId="25" xfId="0" applyFont="1" applyFill="1" applyBorder="1" applyAlignment="1">
      <alignment horizontal="center" vertical="center" wrapText="1"/>
    </xf>
    <xf numFmtId="0" fontId="42" fillId="32" borderId="51" xfId="0" applyFont="1" applyFill="1" applyBorder="1" applyAlignment="1">
      <alignment horizontal="center" vertical="center" wrapText="1"/>
    </xf>
    <xf numFmtId="0" fontId="42" fillId="32" borderId="22" xfId="0" applyFont="1" applyFill="1" applyBorder="1" applyAlignment="1">
      <alignment horizontal="center" vertical="center" wrapText="1"/>
    </xf>
    <xf numFmtId="0" fontId="42" fillId="32" borderId="23" xfId="0" applyFont="1" applyFill="1" applyBorder="1" applyAlignment="1">
      <alignment horizontal="center" vertical="center" wrapText="1"/>
    </xf>
    <xf numFmtId="0" fontId="42" fillId="32" borderId="68" xfId="0" applyFont="1" applyFill="1" applyBorder="1" applyAlignment="1">
      <alignment horizontal="center" vertical="center" wrapText="1"/>
    </xf>
    <xf numFmtId="0" fontId="42" fillId="32" borderId="0" xfId="0" applyFont="1" applyFill="1" applyAlignment="1">
      <alignment horizontal="center" vertical="center" wrapText="1"/>
    </xf>
    <xf numFmtId="0" fontId="42" fillId="32" borderId="24" xfId="0" applyFont="1" applyFill="1" applyBorder="1" applyAlignment="1">
      <alignment horizontal="center" vertical="center" wrapText="1"/>
    </xf>
    <xf numFmtId="0" fontId="42" fillId="32" borderId="20" xfId="0" applyFont="1" applyFill="1" applyBorder="1" applyAlignment="1">
      <alignment horizontal="center" vertical="center" wrapText="1"/>
    </xf>
    <xf numFmtId="0" fontId="42" fillId="32" borderId="3" xfId="0" applyFont="1" applyFill="1" applyBorder="1" applyAlignment="1">
      <alignment horizontal="center" vertical="center" wrapText="1"/>
    </xf>
    <xf numFmtId="0" fontId="42" fillId="32" borderId="25" xfId="0" applyFont="1" applyFill="1" applyBorder="1" applyAlignment="1">
      <alignment horizontal="center" vertical="center" wrapText="1"/>
    </xf>
    <xf numFmtId="0" fontId="39" fillId="0" borderId="2" xfId="0" applyFont="1" applyBorder="1" applyAlignment="1">
      <alignment horizontal="left" vertical="center"/>
    </xf>
    <xf numFmtId="0" fontId="39" fillId="0" borderId="58" xfId="0" applyFont="1" applyBorder="1" applyAlignment="1">
      <alignment horizontal="left" vertical="center"/>
    </xf>
    <xf numFmtId="0" fontId="39" fillId="0" borderId="3" xfId="0" applyFont="1" applyBorder="1" applyAlignment="1">
      <alignment horizontal="left" vertical="center"/>
    </xf>
    <xf numFmtId="0" fontId="39" fillId="0" borderId="25" xfId="0" applyFont="1" applyBorder="1" applyAlignment="1">
      <alignment horizontal="left" vertical="center"/>
    </xf>
    <xf numFmtId="0" fontId="41" fillId="9" borderId="2" xfId="0" applyFont="1" applyFill="1" applyBorder="1" applyAlignment="1">
      <alignment horizontal="center" vertical="center"/>
    </xf>
    <xf numFmtId="0" fontId="41" fillId="9" borderId="58" xfId="0" applyFont="1" applyFill="1" applyBorder="1" applyAlignment="1">
      <alignment horizontal="center" vertical="center"/>
    </xf>
    <xf numFmtId="0" fontId="41" fillId="9" borderId="5" xfId="0" applyFont="1" applyFill="1" applyBorder="1" applyAlignment="1">
      <alignment horizontal="center" vertical="center"/>
    </xf>
    <xf numFmtId="0" fontId="43" fillId="0" borderId="2" xfId="0" applyFont="1" applyBorder="1" applyAlignment="1">
      <alignment horizontal="left" vertical="center"/>
    </xf>
    <xf numFmtId="0" fontId="43" fillId="0" borderId="58" xfId="0" applyFont="1" applyBorder="1" applyAlignment="1">
      <alignment horizontal="left" vertical="center"/>
    </xf>
    <xf numFmtId="0" fontId="43" fillId="0" borderId="5" xfId="0" applyFont="1" applyBorder="1" applyAlignment="1">
      <alignment horizontal="left" vertical="center"/>
    </xf>
    <xf numFmtId="0" fontId="41" fillId="9" borderId="10" xfId="0" applyFont="1" applyFill="1" applyBorder="1" applyAlignment="1">
      <alignment horizontal="center" vertical="center" wrapText="1"/>
    </xf>
    <xf numFmtId="0" fontId="41" fillId="9" borderId="4" xfId="0" applyFont="1" applyFill="1" applyBorder="1" applyAlignment="1">
      <alignment horizontal="center" vertical="center" wrapText="1"/>
    </xf>
    <xf numFmtId="0" fontId="41" fillId="9" borderId="35" xfId="0" applyFont="1" applyFill="1" applyBorder="1" applyAlignment="1">
      <alignment horizontal="center" vertical="center" wrapText="1"/>
    </xf>
    <xf numFmtId="0" fontId="41" fillId="0" borderId="1" xfId="0" applyFont="1" applyBorder="1" applyAlignment="1">
      <alignment horizontal="center" vertical="center" wrapText="1"/>
    </xf>
    <xf numFmtId="0" fontId="41" fillId="9" borderId="2" xfId="0" applyFont="1" applyFill="1" applyBorder="1" applyAlignment="1">
      <alignment horizontal="center" vertical="center" wrapText="1"/>
    </xf>
    <xf numFmtId="0" fontId="41" fillId="9" borderId="58" xfId="0" applyFont="1" applyFill="1" applyBorder="1" applyAlignment="1">
      <alignment horizontal="center" vertical="center" wrapText="1"/>
    </xf>
    <xf numFmtId="0" fontId="41" fillId="9" borderId="5" xfId="0" applyFont="1" applyFill="1" applyBorder="1" applyAlignment="1">
      <alignment horizontal="center" vertical="center" wrapText="1"/>
    </xf>
    <xf numFmtId="0" fontId="41" fillId="9" borderId="51" xfId="0" applyFont="1" applyFill="1" applyBorder="1" applyAlignment="1">
      <alignment horizontal="center" vertical="center"/>
    </xf>
    <xf numFmtId="0" fontId="41" fillId="9" borderId="23" xfId="0" applyFont="1" applyFill="1" applyBorder="1" applyAlignment="1">
      <alignment horizontal="center" vertical="center"/>
    </xf>
    <xf numFmtId="0" fontId="41" fillId="9" borderId="68" xfId="0" applyFont="1" applyFill="1" applyBorder="1" applyAlignment="1">
      <alignment horizontal="center" vertical="center"/>
    </xf>
    <xf numFmtId="0" fontId="41" fillId="9" borderId="24" xfId="0" applyFont="1" applyFill="1" applyBorder="1" applyAlignment="1">
      <alignment horizontal="center" vertical="center"/>
    </xf>
    <xf numFmtId="0" fontId="41" fillId="9" borderId="20" xfId="0" applyFont="1" applyFill="1" applyBorder="1" applyAlignment="1">
      <alignment horizontal="center" vertical="center"/>
    </xf>
    <xf numFmtId="0" fontId="41" fillId="9" borderId="25" xfId="0" applyFont="1" applyFill="1" applyBorder="1" applyAlignment="1">
      <alignment horizontal="center" vertical="center"/>
    </xf>
    <xf numFmtId="0" fontId="41" fillId="9" borderId="22" xfId="0" applyFont="1" applyFill="1" applyBorder="1" applyAlignment="1">
      <alignment horizontal="center" vertical="center"/>
    </xf>
    <xf numFmtId="0" fontId="41" fillId="9" borderId="0" xfId="0" applyFont="1" applyFill="1" applyAlignment="1">
      <alignment horizontal="center" vertical="center"/>
    </xf>
    <xf numFmtId="0" fontId="41" fillId="9" borderId="3" xfId="0" applyFont="1" applyFill="1" applyBorder="1" applyAlignment="1">
      <alignment horizontal="center" vertical="center"/>
    </xf>
    <xf numFmtId="0" fontId="41" fillId="9" borderId="1" xfId="0" applyFont="1" applyFill="1" applyBorder="1" applyAlignment="1">
      <alignment horizontal="center" vertical="center"/>
    </xf>
    <xf numFmtId="15" fontId="47" fillId="0" borderId="1" xfId="0" applyNumberFormat="1" applyFont="1" applyBorder="1" applyAlignment="1">
      <alignment horizontal="center" vertical="center"/>
    </xf>
    <xf numFmtId="0" fontId="47" fillId="0" borderId="1" xfId="0" applyFont="1" applyBorder="1" applyAlignment="1">
      <alignment horizontal="center" vertical="center"/>
    </xf>
    <xf numFmtId="0" fontId="41" fillId="9" borderId="20" xfId="0" applyFont="1" applyFill="1" applyBorder="1" applyAlignment="1">
      <alignment horizontal="left" vertical="center"/>
    </xf>
    <xf numFmtId="0" fontId="41" fillId="9" borderId="3" xfId="0" applyFont="1" applyFill="1" applyBorder="1" applyAlignment="1">
      <alignment horizontal="left" vertical="center"/>
    </xf>
    <xf numFmtId="0" fontId="41" fillId="9" borderId="25" xfId="0" applyFont="1" applyFill="1" applyBorder="1" applyAlignment="1">
      <alignment horizontal="left" vertical="center"/>
    </xf>
    <xf numFmtId="0" fontId="41" fillId="9" borderId="2" xfId="0" applyFont="1" applyFill="1" applyBorder="1" applyAlignment="1">
      <alignment horizontal="left" vertical="center"/>
    </xf>
    <xf numFmtId="0" fontId="41" fillId="9" borderId="58" xfId="0" applyFont="1" applyFill="1" applyBorder="1" applyAlignment="1">
      <alignment horizontal="left" vertical="center"/>
    </xf>
    <xf numFmtId="0" fontId="41" fillId="9" borderId="5" xfId="0" applyFont="1" applyFill="1" applyBorder="1" applyAlignment="1">
      <alignment horizontal="left" vertical="center"/>
    </xf>
    <xf numFmtId="0" fontId="12" fillId="0" borderId="5" xfId="0" applyFont="1" applyBorder="1" applyAlignment="1">
      <alignment horizontal="left" vertical="center" wrapText="1"/>
    </xf>
    <xf numFmtId="0" fontId="12" fillId="0" borderId="1" xfId="0" applyFont="1" applyBorder="1" applyAlignment="1">
      <alignment horizontal="left" vertical="center" wrapText="1"/>
    </xf>
    <xf numFmtId="0" fontId="41" fillId="0" borderId="1" xfId="0" applyFont="1" applyBorder="1" applyAlignment="1">
      <alignment horizontal="left" vertical="center" wrapText="1"/>
    </xf>
    <xf numFmtId="0" fontId="41" fillId="0" borderId="20" xfId="0" applyFont="1" applyBorder="1" applyAlignment="1">
      <alignment horizontal="center" vertical="center"/>
    </xf>
    <xf numFmtId="0" fontId="41" fillId="0" borderId="3" xfId="0" applyFont="1" applyBorder="1" applyAlignment="1">
      <alignment horizontal="center" vertical="center"/>
    </xf>
    <xf numFmtId="0" fontId="41" fillId="0" borderId="25" xfId="0" applyFont="1" applyBorder="1" applyAlignment="1">
      <alignment horizontal="center" vertical="center"/>
    </xf>
    <xf numFmtId="0" fontId="41" fillId="0" borderId="2" xfId="0" applyFont="1" applyBorder="1" applyAlignment="1">
      <alignment horizontal="center" vertical="center"/>
    </xf>
    <xf numFmtId="0" fontId="41" fillId="0" borderId="58" xfId="0" applyFont="1" applyBorder="1" applyAlignment="1">
      <alignment horizontal="center" vertical="center"/>
    </xf>
    <xf numFmtId="0" fontId="41" fillId="0" borderId="5" xfId="0" applyFont="1" applyBorder="1" applyAlignment="1">
      <alignment horizontal="center" vertical="center"/>
    </xf>
    <xf numFmtId="0" fontId="41" fillId="0" borderId="51" xfId="0" applyFont="1" applyBorder="1" applyAlignment="1">
      <alignment horizontal="center" vertical="center"/>
    </xf>
    <xf numFmtId="0" fontId="41" fillId="0" borderId="22" xfId="0" applyFont="1" applyBorder="1" applyAlignment="1">
      <alignment horizontal="center" vertical="center"/>
    </xf>
    <xf numFmtId="0" fontId="41" fillId="0" borderId="23" xfId="0" applyFont="1" applyBorder="1" applyAlignment="1">
      <alignment horizontal="center" vertical="center"/>
    </xf>
    <xf numFmtId="0" fontId="12" fillId="9" borderId="2" xfId="0" applyFont="1" applyFill="1" applyBorder="1" applyAlignment="1">
      <alignment horizontal="center" vertical="center" wrapText="1"/>
    </xf>
    <xf numFmtId="0" fontId="12" fillId="9" borderId="5" xfId="0" applyFont="1" applyFill="1" applyBorder="1" applyAlignment="1">
      <alignment horizontal="center" vertical="center" wrapText="1"/>
    </xf>
    <xf numFmtId="0" fontId="12" fillId="9" borderId="58" xfId="0" applyFont="1" applyFill="1" applyBorder="1" applyAlignment="1">
      <alignment horizontal="center" vertical="center" wrapText="1"/>
    </xf>
    <xf numFmtId="0" fontId="12" fillId="9" borderId="10" xfId="0" applyFont="1" applyFill="1" applyBorder="1" applyAlignment="1">
      <alignment horizontal="center" vertical="center" wrapText="1"/>
    </xf>
    <xf numFmtId="0" fontId="12" fillId="9" borderId="4" xfId="0" applyFont="1" applyFill="1" applyBorder="1" applyAlignment="1">
      <alignment horizontal="center" vertical="center" wrapText="1"/>
    </xf>
    <xf numFmtId="0" fontId="12" fillId="9" borderId="1" xfId="0" applyFont="1" applyFill="1" applyBorder="1" applyAlignment="1">
      <alignment horizontal="center" vertical="center"/>
    </xf>
    <xf numFmtId="0" fontId="13" fillId="19" borderId="4" xfId="0" applyFont="1" applyFill="1" applyBorder="1" applyAlignment="1">
      <alignment horizontal="center" vertical="center"/>
    </xf>
    <xf numFmtId="0" fontId="13" fillId="19" borderId="1" xfId="0" applyFont="1" applyFill="1" applyBorder="1" applyAlignment="1">
      <alignment horizontal="center" vertical="center"/>
    </xf>
    <xf numFmtId="0" fontId="41" fillId="0" borderId="51" xfId="0" applyFont="1" applyBorder="1" applyAlignment="1">
      <alignment vertical="center" wrapText="1"/>
    </xf>
    <xf numFmtId="0" fontId="41" fillId="0" borderId="22" xfId="0" applyFont="1" applyBorder="1" applyAlignment="1">
      <alignment vertical="center" wrapText="1"/>
    </xf>
    <xf numFmtId="0" fontId="41" fillId="0" borderId="23" xfId="0" applyFont="1" applyBorder="1" applyAlignment="1">
      <alignment vertical="center" wrapText="1"/>
    </xf>
    <xf numFmtId="0" fontId="41" fillId="0" borderId="1" xfId="0" applyFont="1" applyBorder="1" applyAlignment="1">
      <alignment horizontal="center" vertical="center"/>
    </xf>
    <xf numFmtId="0" fontId="12" fillId="0" borderId="1" xfId="0" applyFont="1" applyBorder="1" applyAlignment="1">
      <alignment vertical="center" wrapText="1"/>
    </xf>
    <xf numFmtId="41" fontId="39" fillId="0" borderId="51" xfId="12" applyFont="1" applyFill="1" applyBorder="1" applyAlignment="1">
      <alignment horizontal="left" vertical="center"/>
    </xf>
    <xf numFmtId="41" fontId="39" fillId="0" borderId="68" xfId="12" applyFont="1" applyFill="1" applyBorder="1" applyAlignment="1">
      <alignment horizontal="left" vertical="center"/>
    </xf>
    <xf numFmtId="41" fontId="39" fillId="0" borderId="20" xfId="12" applyFont="1" applyFill="1" applyBorder="1" applyAlignment="1">
      <alignment horizontal="left" vertical="center"/>
    </xf>
    <xf numFmtId="0" fontId="11" fillId="19" borderId="2" xfId="0" applyFont="1" applyFill="1" applyBorder="1" applyAlignment="1">
      <alignment horizontal="left" vertical="center" wrapText="1"/>
    </xf>
    <xf numFmtId="0" fontId="11" fillId="19" borderId="5" xfId="0" applyFont="1" applyFill="1" applyBorder="1" applyAlignment="1">
      <alignment horizontal="left" vertical="center" wrapText="1"/>
    </xf>
    <xf numFmtId="0" fontId="41" fillId="21" borderId="2" xfId="0" applyFont="1" applyFill="1" applyBorder="1" applyAlignment="1">
      <alignment horizontal="center" vertical="center"/>
    </xf>
    <xf numFmtId="0" fontId="41" fillId="21" borderId="5" xfId="0" applyFont="1" applyFill="1" applyBorder="1" applyAlignment="1">
      <alignment horizontal="center" vertical="center"/>
    </xf>
    <xf numFmtId="0" fontId="41" fillId="0" borderId="2" xfId="0" applyFont="1" applyBorder="1" applyAlignment="1">
      <alignment horizontal="left" vertical="center" wrapText="1"/>
    </xf>
    <xf numFmtId="0" fontId="41" fillId="0" borderId="5" xfId="0" applyFont="1" applyBorder="1" applyAlignment="1">
      <alignment horizontal="left" vertical="center" wrapText="1"/>
    </xf>
    <xf numFmtId="0" fontId="39" fillId="0" borderId="10" xfId="0" applyFont="1" applyBorder="1" applyAlignment="1">
      <alignment horizontal="left" vertical="center" wrapText="1"/>
    </xf>
    <xf numFmtId="0" fontId="39" fillId="0" borderId="35" xfId="0" applyFont="1" applyBorder="1" applyAlignment="1">
      <alignment horizontal="left" vertical="center" wrapText="1"/>
    </xf>
    <xf numFmtId="0" fontId="39" fillId="0" borderId="4" xfId="0" applyFont="1" applyBorder="1" applyAlignment="1">
      <alignment horizontal="left" vertical="center" wrapText="1"/>
    </xf>
    <xf numFmtId="0" fontId="0" fillId="13" borderId="1" xfId="0" applyFill="1" applyBorder="1" applyAlignment="1">
      <alignment horizontal="center"/>
    </xf>
    <xf numFmtId="0" fontId="0" fillId="0" borderId="24" xfId="0" applyBorder="1" applyAlignment="1">
      <alignment horizontal="center"/>
    </xf>
    <xf numFmtId="0" fontId="0" fillId="18" borderId="24" xfId="0" applyFill="1" applyBorder="1" applyAlignment="1">
      <alignment horizontal="center"/>
    </xf>
    <xf numFmtId="0" fontId="0" fillId="0" borderId="0" xfId="0" applyAlignment="1">
      <alignment horizontal="center"/>
    </xf>
    <xf numFmtId="0" fontId="0" fillId="0" borderId="3" xfId="0" applyBorder="1" applyAlignment="1">
      <alignment horizontal="center"/>
    </xf>
    <xf numFmtId="0" fontId="0" fillId="0" borderId="36" xfId="0" applyBorder="1" applyAlignment="1">
      <alignment horizontal="center"/>
    </xf>
    <xf numFmtId="0" fontId="0" fillId="0" borderId="11" xfId="0" applyBorder="1" applyAlignment="1">
      <alignment horizontal="center"/>
    </xf>
    <xf numFmtId="0" fontId="0" fillId="0" borderId="12" xfId="0" applyBorder="1" applyAlignment="1">
      <alignment horizontal="center"/>
    </xf>
  </cellXfs>
  <cellStyles count="34">
    <cellStyle name="20% - Énfasis6 2" xfId="1" xr:uid="{00000000-0005-0000-0000-000000000000}"/>
    <cellStyle name="BodyStyle" xfId="2" xr:uid="{00000000-0005-0000-0000-000001000000}"/>
    <cellStyle name="Borde de la tabla derecha" xfId="3" xr:uid="{00000000-0005-0000-0000-000002000000}"/>
    <cellStyle name="Borde de la tabla izquierda" xfId="4" xr:uid="{00000000-0005-0000-0000-000003000000}"/>
    <cellStyle name="Encabezado 1 2" xfId="5" xr:uid="{00000000-0005-0000-0000-000004000000}"/>
    <cellStyle name="Encabezado 2" xfId="6" xr:uid="{00000000-0005-0000-0000-000005000000}"/>
    <cellStyle name="Énfasis6 2" xfId="7" xr:uid="{00000000-0005-0000-0000-000006000000}"/>
    <cellStyle name="Fecha" xfId="8" xr:uid="{00000000-0005-0000-0000-000007000000}"/>
    <cellStyle name="HeaderStyle" xfId="9" xr:uid="{00000000-0005-0000-0000-000008000000}"/>
    <cellStyle name="Millares" xfId="10" builtinId="3"/>
    <cellStyle name="Millares [0]" xfId="11" builtinId="6"/>
    <cellStyle name="Millares [0] 2" xfId="12" xr:uid="{00000000-0005-0000-0000-00000B000000}"/>
    <cellStyle name="Millares 2" xfId="13" xr:uid="{00000000-0005-0000-0000-00000C000000}"/>
    <cellStyle name="Moneda" xfId="14" builtinId="4"/>
    <cellStyle name="Moneda [0]" xfId="15" builtinId="7"/>
    <cellStyle name="Moneda 130" xfId="16" xr:uid="{00000000-0005-0000-0000-00000F000000}"/>
    <cellStyle name="Moneda 2" xfId="17" xr:uid="{00000000-0005-0000-0000-000010000000}"/>
    <cellStyle name="Moneda 2 2" xfId="18" xr:uid="{00000000-0005-0000-0000-000011000000}"/>
    <cellStyle name="Moneda 23" xfId="19" xr:uid="{00000000-0005-0000-0000-000012000000}"/>
    <cellStyle name="Moneda 3" xfId="20" xr:uid="{00000000-0005-0000-0000-000013000000}"/>
    <cellStyle name="Neutral 2" xfId="21" xr:uid="{00000000-0005-0000-0000-000014000000}"/>
    <cellStyle name="Normal" xfId="0" builtinId="0"/>
    <cellStyle name="Normal 2" xfId="22" xr:uid="{00000000-0005-0000-0000-000016000000}"/>
    <cellStyle name="Normal 2 2" xfId="23" xr:uid="{00000000-0005-0000-0000-000017000000}"/>
    <cellStyle name="Normal 2 3" xfId="24" xr:uid="{00000000-0005-0000-0000-000018000000}"/>
    <cellStyle name="Normal 3" xfId="25" xr:uid="{00000000-0005-0000-0000-000019000000}"/>
    <cellStyle name="Normal 3 2" xfId="26" xr:uid="{00000000-0005-0000-0000-00001A000000}"/>
    <cellStyle name="Normal 6 2" xfId="27" xr:uid="{00000000-0005-0000-0000-00001B000000}"/>
    <cellStyle name="Porcentaje" xfId="28" builtinId="5"/>
    <cellStyle name="Porcentaje 2" xfId="29" xr:uid="{00000000-0005-0000-0000-00001D000000}"/>
    <cellStyle name="Porcentual 2" xfId="30" xr:uid="{00000000-0005-0000-0000-00001E000000}"/>
    <cellStyle name="Texto de inicio" xfId="31" xr:uid="{00000000-0005-0000-0000-00001F000000}"/>
    <cellStyle name="Texto de la columna A" xfId="32" xr:uid="{00000000-0005-0000-0000-000020000000}"/>
    <cellStyle name="Título 4" xfId="33" xr:uid="{00000000-0005-0000-0000-000021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5"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worksheet" Target="worksheets/sheet16.xml"/><Relationship Id="rId20" Type="http://schemas.microsoft.com/office/2017/10/relationships/person" Target="persons/perso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666750</xdr:colOff>
      <xdr:row>0</xdr:row>
      <xdr:rowOff>85725</xdr:rowOff>
    </xdr:from>
    <xdr:to>
      <xdr:col>0</xdr:col>
      <xdr:colOff>1838325</xdr:colOff>
      <xdr:row>3</xdr:row>
      <xdr:rowOff>142875</xdr:rowOff>
    </xdr:to>
    <xdr:pic>
      <xdr:nvPicPr>
        <xdr:cNvPr id="82410" name="Picture 47">
          <a:extLst>
            <a:ext uri="{FF2B5EF4-FFF2-40B4-BE49-F238E27FC236}">
              <a16:creationId xmlns:a16="http://schemas.microsoft.com/office/drawing/2014/main" id="{FCCDA58B-C1B8-4D80-A8D0-04EDE8EBED3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0" y="85725"/>
          <a:ext cx="1171575" cy="1162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666750</xdr:colOff>
      <xdr:row>0</xdr:row>
      <xdr:rowOff>85725</xdr:rowOff>
    </xdr:from>
    <xdr:to>
      <xdr:col>0</xdr:col>
      <xdr:colOff>1838325</xdr:colOff>
      <xdr:row>3</xdr:row>
      <xdr:rowOff>142875</xdr:rowOff>
    </xdr:to>
    <xdr:pic>
      <xdr:nvPicPr>
        <xdr:cNvPr id="90134" name="Picture 47">
          <a:extLst>
            <a:ext uri="{FF2B5EF4-FFF2-40B4-BE49-F238E27FC236}">
              <a16:creationId xmlns:a16="http://schemas.microsoft.com/office/drawing/2014/main" id="{1DFD8575-CE19-4951-A412-87B4878D896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0" y="85725"/>
          <a:ext cx="1171575" cy="1162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666750</xdr:colOff>
      <xdr:row>0</xdr:row>
      <xdr:rowOff>85725</xdr:rowOff>
    </xdr:from>
    <xdr:to>
      <xdr:col>0</xdr:col>
      <xdr:colOff>1838325</xdr:colOff>
      <xdr:row>3</xdr:row>
      <xdr:rowOff>142875</xdr:rowOff>
    </xdr:to>
    <xdr:pic>
      <xdr:nvPicPr>
        <xdr:cNvPr id="83228" name="Picture 47">
          <a:extLst>
            <a:ext uri="{FF2B5EF4-FFF2-40B4-BE49-F238E27FC236}">
              <a16:creationId xmlns:a16="http://schemas.microsoft.com/office/drawing/2014/main" id="{75987330-120B-4F08-BE20-E419B1B6C16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0" y="85725"/>
          <a:ext cx="1171575" cy="1162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666750</xdr:colOff>
      <xdr:row>0</xdr:row>
      <xdr:rowOff>85725</xdr:rowOff>
    </xdr:from>
    <xdr:to>
      <xdr:col>0</xdr:col>
      <xdr:colOff>1838325</xdr:colOff>
      <xdr:row>3</xdr:row>
      <xdr:rowOff>142875</xdr:rowOff>
    </xdr:to>
    <xdr:pic>
      <xdr:nvPicPr>
        <xdr:cNvPr id="88356" name="Picture 47">
          <a:extLst>
            <a:ext uri="{FF2B5EF4-FFF2-40B4-BE49-F238E27FC236}">
              <a16:creationId xmlns:a16="http://schemas.microsoft.com/office/drawing/2014/main" id="{234CD396-FA22-4AC6-B657-8A112C7B072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0" y="85725"/>
          <a:ext cx="1171575" cy="1162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666750</xdr:colOff>
      <xdr:row>0</xdr:row>
      <xdr:rowOff>85725</xdr:rowOff>
    </xdr:from>
    <xdr:to>
      <xdr:col>0</xdr:col>
      <xdr:colOff>1838325</xdr:colOff>
      <xdr:row>3</xdr:row>
      <xdr:rowOff>142875</xdr:rowOff>
    </xdr:to>
    <xdr:pic>
      <xdr:nvPicPr>
        <xdr:cNvPr id="84258" name="Picture 47">
          <a:extLst>
            <a:ext uri="{FF2B5EF4-FFF2-40B4-BE49-F238E27FC236}">
              <a16:creationId xmlns:a16="http://schemas.microsoft.com/office/drawing/2014/main" id="{8D62B700-8FB1-43CF-8EE1-0B1CABEB735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0" y="85725"/>
          <a:ext cx="1171575" cy="1162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666750</xdr:colOff>
      <xdr:row>0</xdr:row>
      <xdr:rowOff>85725</xdr:rowOff>
    </xdr:from>
    <xdr:to>
      <xdr:col>0</xdr:col>
      <xdr:colOff>1838325</xdr:colOff>
      <xdr:row>3</xdr:row>
      <xdr:rowOff>142875</xdr:rowOff>
    </xdr:to>
    <xdr:pic>
      <xdr:nvPicPr>
        <xdr:cNvPr id="85276" name="Picture 47">
          <a:extLst>
            <a:ext uri="{FF2B5EF4-FFF2-40B4-BE49-F238E27FC236}">
              <a16:creationId xmlns:a16="http://schemas.microsoft.com/office/drawing/2014/main" id="{FA018FDF-2964-4DF7-8F09-F9346EC65DF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0" y="85725"/>
          <a:ext cx="1171575" cy="1162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666750</xdr:colOff>
      <xdr:row>0</xdr:row>
      <xdr:rowOff>85725</xdr:rowOff>
    </xdr:from>
    <xdr:to>
      <xdr:col>0</xdr:col>
      <xdr:colOff>1838325</xdr:colOff>
      <xdr:row>3</xdr:row>
      <xdr:rowOff>142875</xdr:rowOff>
    </xdr:to>
    <xdr:pic>
      <xdr:nvPicPr>
        <xdr:cNvPr id="87327" name="Picture 47">
          <a:extLst>
            <a:ext uri="{FF2B5EF4-FFF2-40B4-BE49-F238E27FC236}">
              <a16:creationId xmlns:a16="http://schemas.microsoft.com/office/drawing/2014/main" id="{F1599452-F641-469C-91C2-90F8E0E3D7C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0" y="85725"/>
          <a:ext cx="1171575" cy="1162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666750</xdr:colOff>
      <xdr:row>0</xdr:row>
      <xdr:rowOff>85725</xdr:rowOff>
    </xdr:from>
    <xdr:to>
      <xdr:col>0</xdr:col>
      <xdr:colOff>1838325</xdr:colOff>
      <xdr:row>3</xdr:row>
      <xdr:rowOff>142875</xdr:rowOff>
    </xdr:to>
    <xdr:pic>
      <xdr:nvPicPr>
        <xdr:cNvPr id="2" name="Picture 47">
          <a:extLst>
            <a:ext uri="{FF2B5EF4-FFF2-40B4-BE49-F238E27FC236}">
              <a16:creationId xmlns:a16="http://schemas.microsoft.com/office/drawing/2014/main" id="{21F85F54-ADD0-5049-A36A-B4C8C7F7742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0" y="85725"/>
          <a:ext cx="1171575" cy="1149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666750</xdr:colOff>
      <xdr:row>0</xdr:row>
      <xdr:rowOff>85725</xdr:rowOff>
    </xdr:from>
    <xdr:to>
      <xdr:col>0</xdr:col>
      <xdr:colOff>1838325</xdr:colOff>
      <xdr:row>3</xdr:row>
      <xdr:rowOff>142875</xdr:rowOff>
    </xdr:to>
    <xdr:pic>
      <xdr:nvPicPr>
        <xdr:cNvPr id="2" name="Picture 47">
          <a:extLst>
            <a:ext uri="{FF2B5EF4-FFF2-40B4-BE49-F238E27FC236}">
              <a16:creationId xmlns:a16="http://schemas.microsoft.com/office/drawing/2014/main" id="{5048F0D7-EB6F-5C4E-97CE-50459CE3362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0" y="85725"/>
          <a:ext cx="1171575" cy="1149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0</xdr:col>
      <xdr:colOff>666750</xdr:colOff>
      <xdr:row>0</xdr:row>
      <xdr:rowOff>85725</xdr:rowOff>
    </xdr:from>
    <xdr:to>
      <xdr:col>0</xdr:col>
      <xdr:colOff>1838325</xdr:colOff>
      <xdr:row>3</xdr:row>
      <xdr:rowOff>142875</xdr:rowOff>
    </xdr:to>
    <xdr:pic>
      <xdr:nvPicPr>
        <xdr:cNvPr id="86303" name="Picture 47">
          <a:extLst>
            <a:ext uri="{FF2B5EF4-FFF2-40B4-BE49-F238E27FC236}">
              <a16:creationId xmlns:a16="http://schemas.microsoft.com/office/drawing/2014/main" id="{EC90699E-9ECF-49D8-808B-9E5EA9E67A9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0" y="85725"/>
          <a:ext cx="1171575" cy="1162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customProperty" Target="../customProperty1.bin"/><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10.xml"/><Relationship Id="rId1" Type="http://schemas.openxmlformats.org/officeDocument/2006/relationships/customProperty" Target="../customProperty8.bin"/><Relationship Id="rId4" Type="http://schemas.openxmlformats.org/officeDocument/2006/relationships/comments" Target="../comments10.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customProperty" Target="../customProperty9.bin"/><Relationship Id="rId1" Type="http://schemas.openxmlformats.org/officeDocument/2006/relationships/printerSettings" Target="../printerSettings/printerSettings5.bin"/><Relationship Id="rId4" Type="http://schemas.openxmlformats.org/officeDocument/2006/relationships/comments" Target="../comments11.xml"/></Relationships>
</file>

<file path=xl/worksheets/_rels/sheet12.xml.rels><?xml version="1.0" encoding="UTF-8" standalone="yes"?>
<Relationships xmlns="http://schemas.openxmlformats.org/package/2006/relationships"><Relationship Id="rId1" Type="http://schemas.openxmlformats.org/officeDocument/2006/relationships/customProperty" Target="../customProperty10.bin"/></Relationships>
</file>

<file path=xl/worksheets/_rels/sheet13.xml.rels><?xml version="1.0" encoding="UTF-8" standalone="yes"?>
<Relationships xmlns="http://schemas.openxmlformats.org/package/2006/relationships"><Relationship Id="rId1" Type="http://schemas.openxmlformats.org/officeDocument/2006/relationships/customProperty" Target="../customProperty11.bin"/></Relationships>
</file>

<file path=xl/worksheets/_rels/sheet14.xml.rels><?xml version="1.0" encoding="UTF-8" standalone="yes"?>
<Relationships xmlns="http://schemas.openxmlformats.org/package/2006/relationships"><Relationship Id="rId1" Type="http://schemas.openxmlformats.org/officeDocument/2006/relationships/customProperty" Target="../customProperty12.bin"/></Relationships>
</file>

<file path=xl/worksheets/_rels/sheet15.xml.rels><?xml version="1.0" encoding="UTF-8" standalone="yes"?>
<Relationships xmlns="http://schemas.openxmlformats.org/package/2006/relationships"><Relationship Id="rId1" Type="http://schemas.openxmlformats.org/officeDocument/2006/relationships/customProperty" Target="../customProperty13.bin"/></Relationships>
</file>

<file path=xl/worksheets/_rels/sheet16.xml.rels><?xml version="1.0" encoding="UTF-8" standalone="yes"?>
<Relationships xmlns="http://schemas.openxmlformats.org/package/2006/relationships"><Relationship Id="rId1" Type="http://schemas.openxmlformats.org/officeDocument/2006/relationships/customProperty" Target="../customProperty14.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customProperty" Target="../customProperty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customProperty" Target="../customProperty3.bin"/><Relationship Id="rId1" Type="http://schemas.openxmlformats.org/officeDocument/2006/relationships/printerSettings" Target="../printerSettings/printerSettings2.bin"/><Relationship Id="rId5" Type="http://schemas.openxmlformats.org/officeDocument/2006/relationships/comments" Target="../comments3.xml"/><Relationship Id="rId4" Type="http://schemas.openxmlformats.org/officeDocument/2006/relationships/vmlDrawing" Target="../drawings/vmlDrawing3.v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customProperty" Target="../customProperty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customProperty" Target="../customProperty5.bin"/><Relationship Id="rId4" Type="http://schemas.openxmlformats.org/officeDocument/2006/relationships/comments" Target="../comments5.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customProperty" Target="../customProperty6.bin"/><Relationship Id="rId4" Type="http://schemas.openxmlformats.org/officeDocument/2006/relationships/comments" Target="../comments6.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7.xml"/><Relationship Id="rId1" Type="http://schemas.openxmlformats.org/officeDocument/2006/relationships/printerSettings" Target="../printerSettings/printerSettings3.bin"/><Relationship Id="rId4" Type="http://schemas.openxmlformats.org/officeDocument/2006/relationships/comments" Target="../comments7.xml"/></Relationships>
</file>

<file path=xl/worksheets/_rels/sheet8.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customProperty" Target="../customProperty7.bin"/><Relationship Id="rId1" Type="http://schemas.openxmlformats.org/officeDocument/2006/relationships/printerSettings" Target="../printerSettings/printerSettings4.bin"/><Relationship Id="rId5" Type="http://schemas.openxmlformats.org/officeDocument/2006/relationships/comments" Target="../comments9.xml"/><Relationship Id="rId4" Type="http://schemas.openxmlformats.org/officeDocument/2006/relationships/vmlDrawing" Target="../drawings/vmlDrawing9.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7" tint="0.39997558519241921"/>
    <pageSetUpPr fitToPage="1"/>
  </sheetPr>
  <dimension ref="A1:BA85"/>
  <sheetViews>
    <sheetView showGridLines="0" topLeftCell="R34" zoomScale="60" zoomScaleNormal="60" workbookViewId="0">
      <selection activeCell="AA34" sqref="AA34:AD35"/>
    </sheetView>
  </sheetViews>
  <sheetFormatPr baseColWidth="10" defaultColWidth="9.140625" defaultRowHeight="15" x14ac:dyDescent="0.25"/>
  <cols>
    <col min="1" max="1" width="37" style="50" customWidth="1"/>
    <col min="2" max="2" width="9.140625" style="50"/>
    <col min="3" max="3" width="20.28515625" style="50" bestFit="1" customWidth="1"/>
    <col min="4" max="4" width="13.28515625" style="50" bestFit="1" customWidth="1"/>
    <col min="5" max="5" width="22.140625" style="50" bestFit="1" customWidth="1"/>
    <col min="6" max="6" width="12" style="50" bestFit="1" customWidth="1"/>
    <col min="7" max="7" width="9.7109375" style="50" bestFit="1" customWidth="1"/>
    <col min="8" max="8" width="13" style="50" bestFit="1" customWidth="1"/>
    <col min="9" max="14" width="9.7109375" style="50" bestFit="1" customWidth="1"/>
    <col min="15" max="15" width="14.140625" style="50" bestFit="1" customWidth="1"/>
    <col min="16" max="16" width="19.28515625" style="50" customWidth="1"/>
    <col min="17" max="19" width="27.140625" style="50" customWidth="1"/>
    <col min="20" max="22" width="24.85546875" style="50" customWidth="1"/>
    <col min="23" max="26" width="17.28515625" style="50" customWidth="1"/>
    <col min="27" max="30" width="20.140625" style="50" customWidth="1"/>
    <col min="31" max="31" width="9.140625" style="50"/>
    <col min="32" max="32" width="12.7109375" style="50" bestFit="1" customWidth="1"/>
    <col min="33" max="16384" width="9.140625" style="50"/>
  </cols>
  <sheetData>
    <row r="1" spans="1:53" ht="32.25" customHeight="1" thickBot="1" x14ac:dyDescent="0.3">
      <c r="A1" s="443"/>
      <c r="B1" s="446" t="s">
        <v>0</v>
      </c>
      <c r="C1" s="447"/>
      <c r="D1" s="447"/>
      <c r="E1" s="447"/>
      <c r="F1" s="447"/>
      <c r="G1" s="447"/>
      <c r="H1" s="447"/>
      <c r="I1" s="447"/>
      <c r="J1" s="447"/>
      <c r="K1" s="447"/>
      <c r="L1" s="447"/>
      <c r="M1" s="447"/>
      <c r="N1" s="447"/>
      <c r="O1" s="447"/>
      <c r="P1" s="447"/>
      <c r="Q1" s="447"/>
      <c r="R1" s="447"/>
      <c r="S1" s="447"/>
      <c r="T1" s="447"/>
      <c r="U1" s="447"/>
      <c r="V1" s="447"/>
      <c r="W1" s="447"/>
      <c r="X1" s="447"/>
      <c r="Y1" s="447"/>
      <c r="Z1" s="447"/>
      <c r="AA1" s="448"/>
      <c r="AB1" s="449" t="s">
        <v>1</v>
      </c>
      <c r="AC1" s="450"/>
      <c r="AD1" s="451"/>
    </row>
    <row r="2" spans="1:53" ht="30.75" customHeight="1" thickBot="1" x14ac:dyDescent="0.3">
      <c r="A2" s="444"/>
      <c r="B2" s="446" t="s">
        <v>2</v>
      </c>
      <c r="C2" s="447"/>
      <c r="D2" s="447"/>
      <c r="E2" s="447"/>
      <c r="F2" s="447"/>
      <c r="G2" s="447"/>
      <c r="H2" s="447"/>
      <c r="I2" s="447"/>
      <c r="J2" s="447"/>
      <c r="K2" s="447"/>
      <c r="L2" s="447"/>
      <c r="M2" s="447"/>
      <c r="N2" s="447"/>
      <c r="O2" s="447"/>
      <c r="P2" s="447"/>
      <c r="Q2" s="447"/>
      <c r="R2" s="447"/>
      <c r="S2" s="447"/>
      <c r="T2" s="447"/>
      <c r="U2" s="447"/>
      <c r="V2" s="447"/>
      <c r="W2" s="447"/>
      <c r="X2" s="447"/>
      <c r="Y2" s="447"/>
      <c r="Z2" s="447"/>
      <c r="AA2" s="448"/>
      <c r="AB2" s="470" t="s">
        <v>3</v>
      </c>
      <c r="AC2" s="471"/>
      <c r="AD2" s="472"/>
    </row>
    <row r="3" spans="1:53" ht="24" customHeight="1" x14ac:dyDescent="0.25">
      <c r="A3" s="444"/>
      <c r="B3" s="473" t="s">
        <v>4</v>
      </c>
      <c r="C3" s="474"/>
      <c r="D3" s="474"/>
      <c r="E3" s="474"/>
      <c r="F3" s="474"/>
      <c r="G3" s="474"/>
      <c r="H3" s="474"/>
      <c r="I3" s="474"/>
      <c r="J3" s="474"/>
      <c r="K3" s="474"/>
      <c r="L3" s="474"/>
      <c r="M3" s="474"/>
      <c r="N3" s="474"/>
      <c r="O3" s="474"/>
      <c r="P3" s="474"/>
      <c r="Q3" s="474"/>
      <c r="R3" s="474"/>
      <c r="S3" s="474"/>
      <c r="T3" s="474"/>
      <c r="U3" s="474"/>
      <c r="V3" s="474"/>
      <c r="W3" s="474"/>
      <c r="X3" s="474"/>
      <c r="Y3" s="474"/>
      <c r="Z3" s="474"/>
      <c r="AA3" s="475"/>
      <c r="AB3" s="470" t="s">
        <v>5</v>
      </c>
      <c r="AC3" s="471"/>
      <c r="AD3" s="472"/>
    </row>
    <row r="4" spans="1:53" ht="21.95" customHeight="1" thickBot="1" x14ac:dyDescent="0.3">
      <c r="A4" s="445"/>
      <c r="B4" s="476"/>
      <c r="C4" s="477"/>
      <c r="D4" s="477"/>
      <c r="E4" s="477"/>
      <c r="F4" s="477"/>
      <c r="G4" s="477"/>
      <c r="H4" s="477"/>
      <c r="I4" s="477"/>
      <c r="J4" s="477"/>
      <c r="K4" s="477"/>
      <c r="L4" s="477"/>
      <c r="M4" s="477"/>
      <c r="N4" s="477"/>
      <c r="O4" s="477"/>
      <c r="P4" s="477"/>
      <c r="Q4" s="477"/>
      <c r="R4" s="477"/>
      <c r="S4" s="477"/>
      <c r="T4" s="477"/>
      <c r="U4" s="477"/>
      <c r="V4" s="477"/>
      <c r="W4" s="477"/>
      <c r="X4" s="477"/>
      <c r="Y4" s="477"/>
      <c r="Z4" s="477"/>
      <c r="AA4" s="478"/>
      <c r="AB4" s="479" t="s">
        <v>6</v>
      </c>
      <c r="AC4" s="480"/>
      <c r="AD4" s="481"/>
    </row>
    <row r="5" spans="1:53" ht="9" customHeight="1" thickBot="1" x14ac:dyDescent="0.3">
      <c r="A5" s="51"/>
      <c r="B5" s="202"/>
      <c r="C5" s="203"/>
      <c r="D5" s="54"/>
      <c r="E5" s="54"/>
      <c r="F5" s="54"/>
      <c r="G5" s="54"/>
      <c r="H5" s="54"/>
      <c r="I5" s="54"/>
      <c r="J5" s="54"/>
      <c r="K5" s="54"/>
      <c r="L5" s="54"/>
      <c r="M5" s="54"/>
      <c r="N5" s="54"/>
      <c r="O5" s="54"/>
      <c r="P5" s="54"/>
      <c r="Q5" s="54"/>
      <c r="R5" s="54"/>
      <c r="S5" s="54"/>
      <c r="T5" s="54"/>
      <c r="U5" s="54"/>
      <c r="V5" s="54"/>
      <c r="W5" s="54"/>
      <c r="X5" s="54"/>
      <c r="Y5" s="54"/>
      <c r="Z5" s="55"/>
      <c r="AA5" s="54"/>
      <c r="AB5" s="56"/>
      <c r="AC5" s="57"/>
      <c r="AD5" s="58"/>
    </row>
    <row r="6" spans="1:53" ht="9" customHeight="1" thickBot="1" x14ac:dyDescent="0.3">
      <c r="A6" s="59"/>
      <c r="B6" s="54"/>
      <c r="C6" s="54"/>
      <c r="D6" s="54"/>
      <c r="E6" s="54"/>
      <c r="F6" s="54"/>
      <c r="G6" s="54"/>
      <c r="H6" s="54"/>
      <c r="I6" s="54"/>
      <c r="J6" s="54"/>
      <c r="K6" s="54"/>
      <c r="L6" s="54"/>
      <c r="M6" s="54"/>
      <c r="N6" s="54"/>
      <c r="O6" s="54"/>
      <c r="P6" s="54"/>
      <c r="Q6" s="54"/>
      <c r="R6" s="54"/>
      <c r="S6" s="54"/>
      <c r="T6" s="54"/>
      <c r="U6" s="54"/>
      <c r="V6" s="54"/>
      <c r="W6" s="54"/>
      <c r="X6" s="54"/>
      <c r="Y6" s="54"/>
      <c r="Z6" s="55"/>
      <c r="AA6" s="54"/>
      <c r="AB6" s="54"/>
      <c r="AC6" s="60"/>
      <c r="AD6" s="61"/>
    </row>
    <row r="7" spans="1:53" ht="15" customHeight="1" x14ac:dyDescent="0.25">
      <c r="A7" s="464" t="s">
        <v>7</v>
      </c>
      <c r="B7" s="465"/>
      <c r="C7" s="500" t="s">
        <v>8</v>
      </c>
      <c r="D7" s="464" t="s">
        <v>9</v>
      </c>
      <c r="E7" s="482"/>
      <c r="F7" s="482"/>
      <c r="G7" s="482"/>
      <c r="H7" s="465"/>
      <c r="I7" s="485">
        <v>45113</v>
      </c>
      <c r="J7" s="486"/>
      <c r="K7" s="464" t="s">
        <v>10</v>
      </c>
      <c r="L7" s="465"/>
      <c r="M7" s="456" t="s">
        <v>11</v>
      </c>
      <c r="N7" s="457"/>
      <c r="O7" s="458"/>
      <c r="P7" s="459"/>
      <c r="Q7" s="54"/>
      <c r="R7" s="54"/>
      <c r="S7" s="54"/>
      <c r="T7" s="54"/>
      <c r="U7" s="54"/>
      <c r="V7" s="54"/>
      <c r="W7" s="54"/>
      <c r="X7" s="54"/>
      <c r="Y7" s="54"/>
      <c r="Z7" s="55"/>
      <c r="AA7" s="54"/>
      <c r="AB7" s="54"/>
      <c r="AC7" s="60"/>
      <c r="AD7" s="61"/>
    </row>
    <row r="8" spans="1:53" ht="15" customHeight="1" x14ac:dyDescent="0.25">
      <c r="A8" s="466"/>
      <c r="B8" s="467"/>
      <c r="C8" s="501"/>
      <c r="D8" s="466"/>
      <c r="E8" s="483"/>
      <c r="F8" s="483"/>
      <c r="G8" s="483"/>
      <c r="H8" s="467"/>
      <c r="I8" s="487"/>
      <c r="J8" s="488"/>
      <c r="K8" s="466"/>
      <c r="L8" s="467"/>
      <c r="M8" s="460" t="s">
        <v>12</v>
      </c>
      <c r="N8" s="461"/>
      <c r="O8" s="462" t="s">
        <v>14</v>
      </c>
      <c r="P8" s="463"/>
      <c r="Q8" s="54"/>
      <c r="R8" s="54"/>
      <c r="S8" s="54"/>
      <c r="T8" s="54"/>
      <c r="U8" s="54"/>
      <c r="V8" s="54"/>
      <c r="W8" s="54"/>
      <c r="X8" s="54"/>
      <c r="Y8" s="54"/>
      <c r="Z8" s="55"/>
      <c r="AA8" s="54"/>
      <c r="AB8" s="54"/>
      <c r="AC8" s="60"/>
      <c r="AD8" s="61"/>
    </row>
    <row r="9" spans="1:53" ht="15.75" customHeight="1" thickBot="1" x14ac:dyDescent="0.3">
      <c r="A9" s="468"/>
      <c r="B9" s="469"/>
      <c r="C9" s="502"/>
      <c r="D9" s="468"/>
      <c r="E9" s="484"/>
      <c r="F9" s="484"/>
      <c r="G9" s="484"/>
      <c r="H9" s="469"/>
      <c r="I9" s="489"/>
      <c r="J9" s="490"/>
      <c r="K9" s="468"/>
      <c r="L9" s="469"/>
      <c r="M9" s="452" t="s">
        <v>13</v>
      </c>
      <c r="N9" s="453"/>
      <c r="O9" s="454" t="s">
        <v>14</v>
      </c>
      <c r="P9" s="455"/>
      <c r="Q9" s="54"/>
      <c r="R9" s="54"/>
      <c r="S9" s="54"/>
      <c r="T9" s="54"/>
      <c r="U9" s="54"/>
      <c r="V9" s="54"/>
      <c r="W9" s="54"/>
      <c r="X9" s="54"/>
      <c r="Y9" s="54"/>
      <c r="Z9" s="55"/>
      <c r="AA9" s="54"/>
      <c r="AB9" s="54"/>
      <c r="AC9" s="60"/>
      <c r="AD9" s="61"/>
    </row>
    <row r="10" spans="1:53" ht="15" customHeight="1" thickBot="1" x14ac:dyDescent="0.3">
      <c r="A10" s="169"/>
      <c r="B10" s="170"/>
      <c r="C10" s="170"/>
      <c r="D10" s="65"/>
      <c r="E10" s="65"/>
      <c r="F10" s="65"/>
      <c r="G10" s="65"/>
      <c r="H10" s="65"/>
      <c r="I10" s="166"/>
      <c r="J10" s="166"/>
      <c r="K10" s="65"/>
      <c r="L10" s="65"/>
      <c r="M10" s="167"/>
      <c r="N10" s="167"/>
      <c r="O10" s="168"/>
      <c r="P10" s="168"/>
      <c r="Q10" s="170"/>
      <c r="R10" s="170"/>
      <c r="S10" s="170"/>
      <c r="T10" s="170"/>
      <c r="U10" s="170"/>
      <c r="V10" s="170"/>
      <c r="W10" s="170"/>
      <c r="X10" s="170"/>
      <c r="Y10" s="170"/>
      <c r="Z10" s="171"/>
      <c r="AA10" s="170"/>
      <c r="AB10" s="170"/>
      <c r="AC10" s="172"/>
      <c r="AD10" s="173"/>
    </row>
    <row r="11" spans="1:53" ht="15" customHeight="1" x14ac:dyDescent="0.25">
      <c r="A11" s="464" t="s">
        <v>15</v>
      </c>
      <c r="B11" s="465"/>
      <c r="C11" s="491" t="s">
        <v>16</v>
      </c>
      <c r="D11" s="492"/>
      <c r="E11" s="492"/>
      <c r="F11" s="492"/>
      <c r="G11" s="492"/>
      <c r="H11" s="492"/>
      <c r="I11" s="492"/>
      <c r="J11" s="492"/>
      <c r="K11" s="492"/>
      <c r="L11" s="492"/>
      <c r="M11" s="492"/>
      <c r="N11" s="492"/>
      <c r="O11" s="492"/>
      <c r="P11" s="492"/>
      <c r="Q11" s="492"/>
      <c r="R11" s="492"/>
      <c r="S11" s="492"/>
      <c r="T11" s="492"/>
      <c r="U11" s="492"/>
      <c r="V11" s="492"/>
      <c r="W11" s="492"/>
      <c r="X11" s="492"/>
      <c r="Y11" s="492"/>
      <c r="Z11" s="492"/>
      <c r="AA11" s="492"/>
      <c r="AB11" s="492"/>
      <c r="AC11" s="492"/>
      <c r="AD11" s="493"/>
      <c r="BA11" s="327"/>
    </row>
    <row r="12" spans="1:53" ht="15" customHeight="1" x14ac:dyDescent="0.25">
      <c r="A12" s="466"/>
      <c r="B12" s="467"/>
      <c r="C12" s="494"/>
      <c r="D12" s="495"/>
      <c r="E12" s="495"/>
      <c r="F12" s="495"/>
      <c r="G12" s="495"/>
      <c r="H12" s="495"/>
      <c r="I12" s="495"/>
      <c r="J12" s="495"/>
      <c r="K12" s="495"/>
      <c r="L12" s="495"/>
      <c r="M12" s="495"/>
      <c r="N12" s="495"/>
      <c r="O12" s="495"/>
      <c r="P12" s="495"/>
      <c r="Q12" s="495"/>
      <c r="R12" s="495"/>
      <c r="S12" s="495"/>
      <c r="T12" s="495"/>
      <c r="U12" s="495"/>
      <c r="V12" s="495"/>
      <c r="W12" s="495"/>
      <c r="X12" s="495"/>
      <c r="Y12" s="495"/>
      <c r="Z12" s="495"/>
      <c r="AA12" s="495"/>
      <c r="AB12" s="495"/>
      <c r="AC12" s="495"/>
      <c r="AD12" s="496"/>
      <c r="BA12" s="327"/>
    </row>
    <row r="13" spans="1:53" ht="15" customHeight="1" thickBot="1" x14ac:dyDescent="0.3">
      <c r="A13" s="468"/>
      <c r="B13" s="469"/>
      <c r="C13" s="497"/>
      <c r="D13" s="498"/>
      <c r="E13" s="498"/>
      <c r="F13" s="498"/>
      <c r="G13" s="498"/>
      <c r="H13" s="498"/>
      <c r="I13" s="498"/>
      <c r="J13" s="498"/>
      <c r="K13" s="498"/>
      <c r="L13" s="498"/>
      <c r="M13" s="498"/>
      <c r="N13" s="498"/>
      <c r="O13" s="498"/>
      <c r="P13" s="498"/>
      <c r="Q13" s="498"/>
      <c r="R13" s="498"/>
      <c r="S13" s="498"/>
      <c r="T13" s="498"/>
      <c r="U13" s="498"/>
      <c r="V13" s="498"/>
      <c r="W13" s="498"/>
      <c r="X13" s="498"/>
      <c r="Y13" s="498"/>
      <c r="Z13" s="498"/>
      <c r="AA13" s="498"/>
      <c r="AB13" s="498"/>
      <c r="AC13" s="498"/>
      <c r="AD13" s="499"/>
      <c r="BA13" s="327"/>
    </row>
    <row r="14" spans="1:53" ht="9" customHeight="1" thickBot="1" x14ac:dyDescent="0.3">
      <c r="A14" s="67"/>
      <c r="B14" s="68"/>
      <c r="C14" s="69"/>
      <c r="D14" s="69"/>
      <c r="E14" s="69"/>
      <c r="F14" s="69"/>
      <c r="G14" s="69"/>
      <c r="H14" s="69"/>
      <c r="I14" s="69"/>
      <c r="J14" s="69"/>
      <c r="K14" s="69"/>
      <c r="L14" s="69"/>
      <c r="M14" s="70"/>
      <c r="N14" s="70"/>
      <c r="O14" s="70"/>
      <c r="P14" s="70"/>
      <c r="Q14" s="70"/>
      <c r="R14" s="71"/>
      <c r="S14" s="71"/>
      <c r="T14" s="71"/>
      <c r="U14" s="71"/>
      <c r="V14" s="71"/>
      <c r="W14" s="71"/>
      <c r="X14" s="71"/>
      <c r="Y14" s="65"/>
      <c r="Z14" s="65"/>
      <c r="AA14" s="65"/>
      <c r="AB14" s="65"/>
      <c r="AC14" s="65"/>
      <c r="AD14" s="66"/>
      <c r="BA14" s="327"/>
    </row>
    <row r="15" spans="1:53" ht="39" customHeight="1" thickBot="1" x14ac:dyDescent="0.3">
      <c r="A15" s="528" t="s">
        <v>17</v>
      </c>
      <c r="B15" s="529"/>
      <c r="C15" s="538" t="s">
        <v>18</v>
      </c>
      <c r="D15" s="539"/>
      <c r="E15" s="539"/>
      <c r="F15" s="539"/>
      <c r="G15" s="539"/>
      <c r="H15" s="539"/>
      <c r="I15" s="539"/>
      <c r="J15" s="539"/>
      <c r="K15" s="540"/>
      <c r="L15" s="503" t="s">
        <v>19</v>
      </c>
      <c r="M15" s="504"/>
      <c r="N15" s="504"/>
      <c r="O15" s="504"/>
      <c r="P15" s="504"/>
      <c r="Q15" s="505"/>
      <c r="R15" s="533" t="s">
        <v>20</v>
      </c>
      <c r="S15" s="534"/>
      <c r="T15" s="534"/>
      <c r="U15" s="534"/>
      <c r="V15" s="534"/>
      <c r="W15" s="534"/>
      <c r="X15" s="535"/>
      <c r="Y15" s="503" t="s">
        <v>21</v>
      </c>
      <c r="Z15" s="505"/>
      <c r="AA15" s="524" t="s">
        <v>22</v>
      </c>
      <c r="AB15" s="525"/>
      <c r="AC15" s="525"/>
      <c r="AD15" s="526"/>
      <c r="BA15" s="327"/>
    </row>
    <row r="16" spans="1:53" ht="105" customHeight="1" thickBot="1" x14ac:dyDescent="0.3">
      <c r="A16" s="59"/>
      <c r="B16" s="54"/>
      <c r="C16" s="527"/>
      <c r="D16" s="527"/>
      <c r="E16" s="527"/>
      <c r="F16" s="527"/>
      <c r="G16" s="527"/>
      <c r="H16" s="527"/>
      <c r="I16" s="527"/>
      <c r="J16" s="527"/>
      <c r="K16" s="527"/>
      <c r="L16" s="527"/>
      <c r="M16" s="527"/>
      <c r="N16" s="527"/>
      <c r="O16" s="527"/>
      <c r="P16" s="527"/>
      <c r="Q16" s="527"/>
      <c r="R16" s="527"/>
      <c r="S16" s="527"/>
      <c r="T16" s="527"/>
      <c r="U16" s="527"/>
      <c r="V16" s="527"/>
      <c r="W16" s="527"/>
      <c r="X16" s="527"/>
      <c r="Y16" s="527"/>
      <c r="Z16" s="527"/>
      <c r="AA16" s="527"/>
      <c r="AB16" s="527"/>
      <c r="AC16" s="73"/>
      <c r="AD16" s="74"/>
      <c r="AX16" s="388" t="s">
        <v>23</v>
      </c>
      <c r="BA16" s="327"/>
    </row>
    <row r="17" spans="1:53" s="76" customFormat="1" ht="37.5" customHeight="1" thickBot="1" x14ac:dyDescent="0.3">
      <c r="A17" s="528" t="s">
        <v>24</v>
      </c>
      <c r="B17" s="529"/>
      <c r="C17" s="530" t="s">
        <v>25</v>
      </c>
      <c r="D17" s="531"/>
      <c r="E17" s="531"/>
      <c r="F17" s="531"/>
      <c r="G17" s="531"/>
      <c r="H17" s="531"/>
      <c r="I17" s="531"/>
      <c r="J17" s="531"/>
      <c r="K17" s="531"/>
      <c r="L17" s="531"/>
      <c r="M17" s="531"/>
      <c r="N17" s="531"/>
      <c r="O17" s="531"/>
      <c r="P17" s="531"/>
      <c r="Q17" s="532"/>
      <c r="R17" s="503" t="s">
        <v>26</v>
      </c>
      <c r="S17" s="504"/>
      <c r="T17" s="504"/>
      <c r="U17" s="504"/>
      <c r="V17" s="505"/>
      <c r="W17" s="536">
        <v>1</v>
      </c>
      <c r="X17" s="537"/>
      <c r="Y17" s="504" t="s">
        <v>27</v>
      </c>
      <c r="Z17" s="504"/>
      <c r="AA17" s="504"/>
      <c r="AB17" s="505"/>
      <c r="AC17" s="514">
        <v>0.1</v>
      </c>
      <c r="AD17" s="515"/>
      <c r="AX17" s="387"/>
      <c r="BA17" s="328"/>
    </row>
    <row r="18" spans="1:53" ht="16.5" customHeight="1" thickBot="1" x14ac:dyDescent="0.3">
      <c r="A18" s="77"/>
      <c r="B18" s="78"/>
      <c r="C18" s="78"/>
      <c r="D18" s="78"/>
      <c r="E18" s="78"/>
      <c r="F18" s="78"/>
      <c r="G18" s="78"/>
      <c r="H18" s="78"/>
      <c r="I18" s="78"/>
      <c r="J18" s="78"/>
      <c r="K18" s="78"/>
      <c r="L18" s="78"/>
      <c r="M18" s="78"/>
      <c r="N18" s="78"/>
      <c r="O18" s="78"/>
      <c r="P18" s="78"/>
      <c r="Q18" s="78"/>
      <c r="R18" s="78"/>
      <c r="S18" s="78"/>
      <c r="T18" s="78"/>
      <c r="U18" s="78"/>
      <c r="V18" s="78"/>
      <c r="W18" s="78"/>
      <c r="X18" s="78"/>
      <c r="Y18" s="78"/>
      <c r="Z18" s="78"/>
      <c r="AA18" s="78"/>
      <c r="AB18" s="78"/>
      <c r="AC18" s="78"/>
      <c r="AD18" s="79"/>
      <c r="AF18" s="83">
        <f>+AC22+'Meta 2'!AC22+'Meta 3'!AC22+'Meta 4'!AC22+'Meta 5.'!AC22+'Meta 6.'!AC22+'Meta 7'!AC22</f>
        <v>9602924000</v>
      </c>
      <c r="BA18" s="327"/>
    </row>
    <row r="19" spans="1:53" ht="32.1" customHeight="1" thickBot="1" x14ac:dyDescent="0.3">
      <c r="A19" s="503" t="s">
        <v>28</v>
      </c>
      <c r="B19" s="504"/>
      <c r="C19" s="504"/>
      <c r="D19" s="504"/>
      <c r="E19" s="504"/>
      <c r="F19" s="504"/>
      <c r="G19" s="504"/>
      <c r="H19" s="504"/>
      <c r="I19" s="504"/>
      <c r="J19" s="504"/>
      <c r="K19" s="504"/>
      <c r="L19" s="504"/>
      <c r="M19" s="504"/>
      <c r="N19" s="504"/>
      <c r="O19" s="504"/>
      <c r="P19" s="504"/>
      <c r="Q19" s="504"/>
      <c r="R19" s="504"/>
      <c r="S19" s="504"/>
      <c r="T19" s="504"/>
      <c r="U19" s="504"/>
      <c r="V19" s="504"/>
      <c r="W19" s="504"/>
      <c r="X19" s="504"/>
      <c r="Y19" s="504"/>
      <c r="Z19" s="504"/>
      <c r="AA19" s="504"/>
      <c r="AB19" s="504"/>
      <c r="AC19" s="504"/>
      <c r="AD19" s="505"/>
      <c r="AE19" s="83"/>
      <c r="AF19" s="83">
        <f>+AC23+'Meta 2'!AC23+'Meta 3'!AC23+'Meta 4'!AC23+'Meta 5.'!AC23+'Meta 6.'!AC23+'Meta 7'!AC23</f>
        <v>8844440739</v>
      </c>
      <c r="BA19" s="327"/>
    </row>
    <row r="20" spans="1:53" ht="32.1" customHeight="1" thickBot="1" x14ac:dyDescent="0.3">
      <c r="A20" s="82"/>
      <c r="B20" s="60"/>
      <c r="C20" s="509" t="s">
        <v>29</v>
      </c>
      <c r="D20" s="510"/>
      <c r="E20" s="510"/>
      <c r="F20" s="510"/>
      <c r="G20" s="510"/>
      <c r="H20" s="510"/>
      <c r="I20" s="510"/>
      <c r="J20" s="510"/>
      <c r="K20" s="510"/>
      <c r="L20" s="510"/>
      <c r="M20" s="510"/>
      <c r="N20" s="510"/>
      <c r="O20" s="510"/>
      <c r="P20" s="511"/>
      <c r="Q20" s="506" t="s">
        <v>30</v>
      </c>
      <c r="R20" s="507"/>
      <c r="S20" s="507"/>
      <c r="T20" s="507"/>
      <c r="U20" s="507"/>
      <c r="V20" s="507"/>
      <c r="W20" s="507"/>
      <c r="X20" s="507"/>
      <c r="Y20" s="507"/>
      <c r="Z20" s="507"/>
      <c r="AA20" s="507"/>
      <c r="AB20" s="507"/>
      <c r="AC20" s="507"/>
      <c r="AD20" s="508"/>
      <c r="AE20" s="83"/>
      <c r="AF20" s="83">
        <f>+AC25+'Meta 2'!AC25+'Meta 3'!AC25+'Meta 4'!AC25+'Meta 5.'!AC25+'Meta 6.'!AC25+'Meta 7'!AC25</f>
        <v>3062139002</v>
      </c>
      <c r="BA20" s="327"/>
    </row>
    <row r="21" spans="1:53" ht="32.1" customHeight="1" thickBot="1" x14ac:dyDescent="0.3">
      <c r="A21" s="59"/>
      <c r="B21" s="54"/>
      <c r="C21" s="353" t="s">
        <v>31</v>
      </c>
      <c r="D21" s="352" t="s">
        <v>32</v>
      </c>
      <c r="E21" s="352" t="s">
        <v>33</v>
      </c>
      <c r="F21" s="352" t="s">
        <v>34</v>
      </c>
      <c r="G21" s="352" t="s">
        <v>35</v>
      </c>
      <c r="H21" s="352" t="s">
        <v>8</v>
      </c>
      <c r="I21" s="352" t="s">
        <v>36</v>
      </c>
      <c r="J21" s="352" t="s">
        <v>37</v>
      </c>
      <c r="K21" s="352" t="s">
        <v>38</v>
      </c>
      <c r="L21" s="352" t="s">
        <v>39</v>
      </c>
      <c r="M21" s="352" t="s">
        <v>40</v>
      </c>
      <c r="N21" s="352" t="s">
        <v>41</v>
      </c>
      <c r="O21" s="352" t="s">
        <v>42</v>
      </c>
      <c r="P21" s="354" t="s">
        <v>43</v>
      </c>
      <c r="Q21" s="353" t="s">
        <v>31</v>
      </c>
      <c r="R21" s="352" t="s">
        <v>32</v>
      </c>
      <c r="S21" s="352" t="s">
        <v>33</v>
      </c>
      <c r="T21" s="352" t="s">
        <v>34</v>
      </c>
      <c r="U21" s="352" t="s">
        <v>35</v>
      </c>
      <c r="V21" s="352" t="s">
        <v>8</v>
      </c>
      <c r="W21" s="352" t="s">
        <v>36</v>
      </c>
      <c r="X21" s="352" t="s">
        <v>37</v>
      </c>
      <c r="Y21" s="352" t="s">
        <v>38</v>
      </c>
      <c r="Z21" s="352" t="s">
        <v>39</v>
      </c>
      <c r="AA21" s="352" t="s">
        <v>40</v>
      </c>
      <c r="AB21" s="352" t="s">
        <v>41</v>
      </c>
      <c r="AC21" s="352" t="s">
        <v>42</v>
      </c>
      <c r="AD21" s="354" t="s">
        <v>43</v>
      </c>
      <c r="AE21" s="3"/>
      <c r="BA21" s="327"/>
    </row>
    <row r="22" spans="1:53" ht="32.1" customHeight="1" x14ac:dyDescent="0.25">
      <c r="A22" s="512" t="s">
        <v>44</v>
      </c>
      <c r="B22" s="513"/>
      <c r="C22" s="355"/>
      <c r="D22" s="356"/>
      <c r="E22" s="356"/>
      <c r="F22" s="356"/>
      <c r="G22" s="356"/>
      <c r="H22" s="356"/>
      <c r="I22" s="356"/>
      <c r="J22" s="356"/>
      <c r="K22" s="356"/>
      <c r="L22" s="356"/>
      <c r="M22" s="356"/>
      <c r="N22" s="356"/>
      <c r="O22" s="356">
        <f>SUM(C22:N22)</f>
        <v>0</v>
      </c>
      <c r="P22" s="431"/>
      <c r="Q22" s="361">
        <v>270886100</v>
      </c>
      <c r="R22" s="356"/>
      <c r="S22" s="356"/>
      <c r="T22" s="356">
        <v>21559511</v>
      </c>
      <c r="U22" s="356"/>
      <c r="V22" s="356">
        <f>2139478+34249272-13570647</f>
        <v>22818103</v>
      </c>
      <c r="W22" s="356"/>
      <c r="X22" s="356"/>
      <c r="Y22" s="356"/>
      <c r="Z22" s="356"/>
      <c r="AA22" s="356"/>
      <c r="AB22" s="356"/>
      <c r="AC22" s="429">
        <f>SUM(Q22:AB22)</f>
        <v>315263714</v>
      </c>
      <c r="AD22" s="357"/>
      <c r="AE22" s="3"/>
      <c r="AF22" s="442" t="s">
        <v>46</v>
      </c>
      <c r="AG22" s="442"/>
      <c r="AH22" s="442"/>
      <c r="AI22" s="442"/>
      <c r="AJ22" s="442"/>
      <c r="AK22" s="442"/>
      <c r="AL22" s="442"/>
      <c r="AM22" s="442"/>
    </row>
    <row r="23" spans="1:53" ht="32.1" customHeight="1" x14ac:dyDescent="0.25">
      <c r="A23" s="520" t="s">
        <v>47</v>
      </c>
      <c r="B23" s="521"/>
      <c r="C23" s="175"/>
      <c r="D23" s="174"/>
      <c r="E23" s="174"/>
      <c r="F23" s="174"/>
      <c r="G23" s="174"/>
      <c r="H23" s="174"/>
      <c r="I23" s="174"/>
      <c r="J23" s="174"/>
      <c r="K23" s="174"/>
      <c r="L23" s="174"/>
      <c r="M23" s="174"/>
      <c r="N23" s="174"/>
      <c r="O23" s="174">
        <f>SUM(C23:N23)</f>
        <v>0</v>
      </c>
      <c r="P23" s="432"/>
      <c r="Q23" s="359">
        <v>42119000</v>
      </c>
      <c r="R23" s="174">
        <v>143641483</v>
      </c>
      <c r="S23" s="174">
        <v>72012067</v>
      </c>
      <c r="T23" s="174">
        <v>-5686083</v>
      </c>
      <c r="U23" s="174">
        <v>21983446</v>
      </c>
      <c r="V23" s="174">
        <v>11200000</v>
      </c>
      <c r="W23" s="174"/>
      <c r="X23" s="174"/>
      <c r="Y23" s="174"/>
      <c r="Z23" s="174"/>
      <c r="AA23" s="174"/>
      <c r="AB23" s="174"/>
      <c r="AC23" s="430">
        <f>SUM(Q23:AB23)</f>
        <v>285269913</v>
      </c>
      <c r="AD23" s="182">
        <f>+AC23/AC22</f>
        <v>0.90486123309452604</v>
      </c>
      <c r="AE23" s="3"/>
      <c r="AF23" s="442"/>
      <c r="AG23" s="442"/>
      <c r="AH23" s="442"/>
      <c r="AI23" s="442"/>
      <c r="AJ23" s="442"/>
      <c r="AK23" s="442"/>
      <c r="AL23" s="442"/>
      <c r="AM23" s="442"/>
    </row>
    <row r="24" spans="1:53" ht="32.1" customHeight="1" x14ac:dyDescent="0.25">
      <c r="A24" s="520" t="s">
        <v>49</v>
      </c>
      <c r="B24" s="521"/>
      <c r="C24" s="175">
        <v>19304536</v>
      </c>
      <c r="D24" s="174">
        <f>1+1+3347500+1081500+432600+475860+4505045</f>
        <v>9842507</v>
      </c>
      <c r="E24" s="174"/>
      <c r="F24" s="174"/>
      <c r="G24" s="174"/>
      <c r="H24" s="174">
        <v>-3467667</v>
      </c>
      <c r="I24" s="174"/>
      <c r="J24" s="174"/>
      <c r="K24" s="174"/>
      <c r="L24" s="174"/>
      <c r="M24" s="174"/>
      <c r="N24" s="174"/>
      <c r="O24" s="213">
        <f>SUM(C24:N24)</f>
        <v>25679376</v>
      </c>
      <c r="P24" s="360"/>
      <c r="Q24" s="359"/>
      <c r="R24" s="174">
        <v>11387300</v>
      </c>
      <c r="S24" s="174">
        <v>23590800</v>
      </c>
      <c r="T24" s="174">
        <v>23590800</v>
      </c>
      <c r="U24" s="174">
        <f>23590800+21559511</f>
        <v>45150311</v>
      </c>
      <c r="V24" s="174">
        <f>23590800-13570647</f>
        <v>10020153</v>
      </c>
      <c r="W24" s="174">
        <f>23590800+2139478+11416424</f>
        <v>37146702</v>
      </c>
      <c r="X24" s="174">
        <v>23590800</v>
      </c>
      <c r="Y24" s="174">
        <f>23590800+11416424</f>
        <v>35007224</v>
      </c>
      <c r="Z24" s="174">
        <v>23590800</v>
      </c>
      <c r="AA24" s="174">
        <f>23590800+11416424</f>
        <v>35007224</v>
      </c>
      <c r="AB24" s="174">
        <v>47181600</v>
      </c>
      <c r="AC24" s="213">
        <f>SUM(Q24:AB24)</f>
        <v>315263714</v>
      </c>
      <c r="AD24" s="182"/>
      <c r="AE24" s="3"/>
      <c r="AF24" s="442"/>
      <c r="AG24" s="442"/>
      <c r="AH24" s="442"/>
      <c r="AI24" s="442"/>
      <c r="AJ24" s="442"/>
      <c r="AK24" s="442"/>
      <c r="AL24" s="442"/>
      <c r="AM24" s="442"/>
    </row>
    <row r="25" spans="1:53" ht="32.1" customHeight="1" thickBot="1" x14ac:dyDescent="0.3">
      <c r="A25" s="522" t="s">
        <v>50</v>
      </c>
      <c r="B25" s="523"/>
      <c r="C25" s="358">
        <v>1437194</v>
      </c>
      <c r="D25" s="176">
        <v>18698717</v>
      </c>
      <c r="E25" s="176" t="s">
        <v>51</v>
      </c>
      <c r="F25" s="176">
        <v>5151217</v>
      </c>
      <c r="G25" s="176">
        <v>0</v>
      </c>
      <c r="H25" s="176">
        <v>382121</v>
      </c>
      <c r="I25" s="176"/>
      <c r="J25" s="176"/>
      <c r="K25" s="176"/>
      <c r="L25" s="176"/>
      <c r="M25" s="176"/>
      <c r="N25" s="176"/>
      <c r="O25" s="176">
        <f>SUM(C25:N25)</f>
        <v>25669249</v>
      </c>
      <c r="P25" s="183">
        <f>+O25/O24</f>
        <v>0.99960563683478909</v>
      </c>
      <c r="Q25" s="362" t="s">
        <v>52</v>
      </c>
      <c r="R25" s="176">
        <v>944066</v>
      </c>
      <c r="S25" s="176">
        <v>6845767</v>
      </c>
      <c r="T25" s="176">
        <v>20800384</v>
      </c>
      <c r="U25" s="176">
        <v>24932000</v>
      </c>
      <c r="V25" s="176">
        <v>24884866</v>
      </c>
      <c r="W25" s="176"/>
      <c r="X25" s="176"/>
      <c r="Y25" s="176"/>
      <c r="Z25" s="176"/>
      <c r="AA25" s="176"/>
      <c r="AB25" s="176"/>
      <c r="AC25" s="176">
        <f>SUM(Q25:AB25)</f>
        <v>78407083</v>
      </c>
      <c r="AD25" s="183">
        <f>+AC25/AC23</f>
        <v>0.27485226947154429</v>
      </c>
      <c r="AE25" s="3"/>
      <c r="AF25" s="442"/>
      <c r="AG25" s="442"/>
      <c r="AH25" s="442"/>
      <c r="AI25" s="442"/>
      <c r="AJ25" s="442"/>
      <c r="AK25" s="442"/>
      <c r="AL25" s="442"/>
      <c r="AM25" s="442"/>
    </row>
    <row r="26" spans="1:53" ht="32.1" customHeight="1" thickBot="1" x14ac:dyDescent="0.3">
      <c r="A26" s="59"/>
      <c r="B26" s="54"/>
      <c r="C26" s="80"/>
      <c r="D26" s="80"/>
      <c r="E26" s="80"/>
      <c r="F26" s="80"/>
      <c r="G26" s="80"/>
      <c r="H26" s="80"/>
      <c r="I26" s="80"/>
      <c r="J26" s="80"/>
      <c r="K26" s="80"/>
      <c r="L26" s="80"/>
      <c r="M26" s="80"/>
      <c r="N26" s="80"/>
      <c r="O26" s="80"/>
      <c r="P26" s="80"/>
      <c r="Q26" s="80"/>
      <c r="R26" s="80"/>
      <c r="S26" s="80"/>
      <c r="T26" s="80"/>
      <c r="U26" s="80"/>
      <c r="V26" s="80"/>
      <c r="W26" s="80"/>
      <c r="X26" s="80"/>
      <c r="Y26" s="80"/>
      <c r="Z26" s="80"/>
      <c r="AA26" s="80"/>
      <c r="AB26" s="80"/>
      <c r="AC26" s="60"/>
      <c r="AD26" s="173"/>
    </row>
    <row r="27" spans="1:53" ht="33.950000000000003" customHeight="1" x14ac:dyDescent="0.25">
      <c r="A27" s="516" t="s">
        <v>53</v>
      </c>
      <c r="B27" s="517"/>
      <c r="C27" s="518"/>
      <c r="D27" s="518"/>
      <c r="E27" s="518"/>
      <c r="F27" s="518"/>
      <c r="G27" s="518"/>
      <c r="H27" s="518"/>
      <c r="I27" s="518"/>
      <c r="J27" s="518"/>
      <c r="K27" s="518"/>
      <c r="L27" s="518"/>
      <c r="M27" s="518"/>
      <c r="N27" s="518"/>
      <c r="O27" s="518"/>
      <c r="P27" s="518"/>
      <c r="Q27" s="518"/>
      <c r="R27" s="518"/>
      <c r="S27" s="518"/>
      <c r="T27" s="518"/>
      <c r="U27" s="518"/>
      <c r="V27" s="518"/>
      <c r="W27" s="518"/>
      <c r="X27" s="518"/>
      <c r="Y27" s="518"/>
      <c r="Z27" s="518"/>
      <c r="AA27" s="518"/>
      <c r="AB27" s="518"/>
      <c r="AC27" s="518"/>
      <c r="AD27" s="519"/>
    </row>
    <row r="28" spans="1:53" ht="15" customHeight="1" x14ac:dyDescent="0.25">
      <c r="A28" s="541" t="s">
        <v>54</v>
      </c>
      <c r="B28" s="543" t="s">
        <v>55</v>
      </c>
      <c r="C28" s="544"/>
      <c r="D28" s="521" t="s">
        <v>56</v>
      </c>
      <c r="E28" s="547"/>
      <c r="F28" s="547"/>
      <c r="G28" s="547"/>
      <c r="H28" s="547"/>
      <c r="I28" s="547"/>
      <c r="J28" s="547"/>
      <c r="K28" s="547"/>
      <c r="L28" s="547"/>
      <c r="M28" s="547"/>
      <c r="N28" s="547"/>
      <c r="O28" s="548"/>
      <c r="P28" s="549" t="s">
        <v>42</v>
      </c>
      <c r="Q28" s="549" t="s">
        <v>57</v>
      </c>
      <c r="R28" s="549"/>
      <c r="S28" s="549"/>
      <c r="T28" s="549"/>
      <c r="U28" s="549"/>
      <c r="V28" s="549"/>
      <c r="W28" s="549"/>
      <c r="X28" s="549"/>
      <c r="Y28" s="549"/>
      <c r="Z28" s="549"/>
      <c r="AA28" s="549"/>
      <c r="AB28" s="549"/>
      <c r="AC28" s="549"/>
      <c r="AD28" s="550"/>
    </row>
    <row r="29" spans="1:53" ht="27" customHeight="1" x14ac:dyDescent="0.25">
      <c r="A29" s="542"/>
      <c r="B29" s="545"/>
      <c r="C29" s="546"/>
      <c r="D29" s="88" t="s">
        <v>31</v>
      </c>
      <c r="E29" s="88" t="s">
        <v>32</v>
      </c>
      <c r="F29" s="88" t="s">
        <v>33</v>
      </c>
      <c r="G29" s="88" t="s">
        <v>34</v>
      </c>
      <c r="H29" s="88" t="s">
        <v>35</v>
      </c>
      <c r="I29" s="88" t="s">
        <v>8</v>
      </c>
      <c r="J29" s="88" t="s">
        <v>36</v>
      </c>
      <c r="K29" s="88" t="s">
        <v>37</v>
      </c>
      <c r="L29" s="88" t="s">
        <v>38</v>
      </c>
      <c r="M29" s="88" t="s">
        <v>39</v>
      </c>
      <c r="N29" s="88" t="s">
        <v>40</v>
      </c>
      <c r="O29" s="88" t="s">
        <v>41</v>
      </c>
      <c r="P29" s="548"/>
      <c r="Q29" s="549"/>
      <c r="R29" s="549"/>
      <c r="S29" s="549"/>
      <c r="T29" s="549"/>
      <c r="U29" s="549"/>
      <c r="V29" s="549"/>
      <c r="W29" s="549"/>
      <c r="X29" s="549"/>
      <c r="Y29" s="549"/>
      <c r="Z29" s="549"/>
      <c r="AA29" s="549"/>
      <c r="AB29" s="549"/>
      <c r="AC29" s="549"/>
      <c r="AD29" s="550"/>
    </row>
    <row r="30" spans="1:53" ht="68.25" customHeight="1" thickBot="1" x14ac:dyDescent="0.3">
      <c r="A30" s="85" t="s">
        <v>58</v>
      </c>
      <c r="B30" s="551"/>
      <c r="C30" s="552"/>
      <c r="D30" s="89"/>
      <c r="E30" s="89"/>
      <c r="F30" s="89"/>
      <c r="G30" s="89"/>
      <c r="H30" s="89"/>
      <c r="I30" s="89"/>
      <c r="J30" s="89"/>
      <c r="K30" s="89"/>
      <c r="L30" s="89"/>
      <c r="M30" s="89"/>
      <c r="N30" s="89"/>
      <c r="O30" s="89"/>
      <c r="P30" s="86">
        <f>SUM(D30:O30)</f>
        <v>0</v>
      </c>
      <c r="Q30" s="553"/>
      <c r="R30" s="553"/>
      <c r="S30" s="553"/>
      <c r="T30" s="553"/>
      <c r="U30" s="553"/>
      <c r="V30" s="553"/>
      <c r="W30" s="553"/>
      <c r="X30" s="553"/>
      <c r="Y30" s="553"/>
      <c r="Z30" s="553"/>
      <c r="AA30" s="553"/>
      <c r="AB30" s="553"/>
      <c r="AC30" s="553"/>
      <c r="AD30" s="554"/>
    </row>
    <row r="31" spans="1:53" ht="45" customHeight="1" thickBot="1" x14ac:dyDescent="0.3">
      <c r="A31" s="555" t="s">
        <v>59</v>
      </c>
      <c r="B31" s="556"/>
      <c r="C31" s="556"/>
      <c r="D31" s="556"/>
      <c r="E31" s="556"/>
      <c r="F31" s="556"/>
      <c r="G31" s="556"/>
      <c r="H31" s="556"/>
      <c r="I31" s="556"/>
      <c r="J31" s="556"/>
      <c r="K31" s="556"/>
      <c r="L31" s="556"/>
      <c r="M31" s="556"/>
      <c r="N31" s="556"/>
      <c r="O31" s="556"/>
      <c r="P31" s="556"/>
      <c r="Q31" s="556"/>
      <c r="R31" s="556"/>
      <c r="S31" s="556"/>
      <c r="T31" s="556"/>
      <c r="U31" s="556"/>
      <c r="V31" s="556"/>
      <c r="W31" s="556"/>
      <c r="X31" s="556"/>
      <c r="Y31" s="556"/>
      <c r="Z31" s="556"/>
      <c r="AA31" s="556"/>
      <c r="AB31" s="556"/>
      <c r="AC31" s="556"/>
      <c r="AD31" s="557"/>
    </row>
    <row r="32" spans="1:53" ht="23.1" customHeight="1" x14ac:dyDescent="0.25">
      <c r="A32" s="512" t="s">
        <v>60</v>
      </c>
      <c r="B32" s="558" t="s">
        <v>61</v>
      </c>
      <c r="C32" s="559" t="s">
        <v>55</v>
      </c>
      <c r="D32" s="561" t="s">
        <v>62</v>
      </c>
      <c r="E32" s="558"/>
      <c r="F32" s="558"/>
      <c r="G32" s="558"/>
      <c r="H32" s="558"/>
      <c r="I32" s="558"/>
      <c r="J32" s="558"/>
      <c r="K32" s="558"/>
      <c r="L32" s="558"/>
      <c r="M32" s="558"/>
      <c r="N32" s="558"/>
      <c r="O32" s="558"/>
      <c r="P32" s="559"/>
      <c r="Q32" s="561" t="s">
        <v>63</v>
      </c>
      <c r="R32" s="558"/>
      <c r="S32" s="558"/>
      <c r="T32" s="558"/>
      <c r="U32" s="558"/>
      <c r="V32" s="558"/>
      <c r="W32" s="558"/>
      <c r="X32" s="558"/>
      <c r="Y32" s="558"/>
      <c r="Z32" s="558"/>
      <c r="AA32" s="558"/>
      <c r="AB32" s="558"/>
      <c r="AC32" s="558"/>
      <c r="AD32" s="559"/>
      <c r="AG32" s="87"/>
      <c r="AH32" s="87"/>
      <c r="AI32" s="87"/>
      <c r="AJ32" s="87"/>
      <c r="AK32" s="87"/>
      <c r="AL32" s="87"/>
      <c r="AM32" s="87"/>
      <c r="AN32" s="87"/>
      <c r="AO32" s="87"/>
    </row>
    <row r="33" spans="1:41" ht="27" customHeight="1" thickBot="1" x14ac:dyDescent="0.3">
      <c r="A33" s="520"/>
      <c r="B33" s="549"/>
      <c r="C33" s="560"/>
      <c r="D33" s="274" t="s">
        <v>31</v>
      </c>
      <c r="E33" s="265" t="s">
        <v>32</v>
      </c>
      <c r="F33" s="265" t="s">
        <v>33</v>
      </c>
      <c r="G33" s="265" t="s">
        <v>34</v>
      </c>
      <c r="H33" s="265" t="s">
        <v>35</v>
      </c>
      <c r="I33" s="265" t="s">
        <v>8</v>
      </c>
      <c r="J33" s="265" t="s">
        <v>36</v>
      </c>
      <c r="K33" s="265" t="s">
        <v>37</v>
      </c>
      <c r="L33" s="265" t="s">
        <v>38</v>
      </c>
      <c r="M33" s="265" t="s">
        <v>39</v>
      </c>
      <c r="N33" s="265" t="s">
        <v>40</v>
      </c>
      <c r="O33" s="265" t="s">
        <v>41</v>
      </c>
      <c r="P33" s="266" t="s">
        <v>42</v>
      </c>
      <c r="Q33" s="548" t="s">
        <v>64</v>
      </c>
      <c r="R33" s="549"/>
      <c r="S33" s="549"/>
      <c r="T33" s="549" t="s">
        <v>65</v>
      </c>
      <c r="U33" s="549"/>
      <c r="V33" s="549"/>
      <c r="W33" s="545" t="s">
        <v>66</v>
      </c>
      <c r="X33" s="562"/>
      <c r="Y33" s="562"/>
      <c r="Z33" s="546"/>
      <c r="AA33" s="545" t="s">
        <v>67</v>
      </c>
      <c r="AB33" s="562"/>
      <c r="AC33" s="562"/>
      <c r="AD33" s="563"/>
      <c r="AG33" s="87"/>
      <c r="AH33" s="87"/>
      <c r="AI33" s="87"/>
      <c r="AJ33" s="87"/>
      <c r="AK33" s="87"/>
      <c r="AL33" s="87"/>
      <c r="AM33" s="87"/>
      <c r="AN33" s="87"/>
      <c r="AO33" s="87"/>
    </row>
    <row r="34" spans="1:41" ht="118.5" customHeight="1" x14ac:dyDescent="0.25">
      <c r="A34" s="564" t="s">
        <v>58</v>
      </c>
      <c r="B34" s="565">
        <v>0.1</v>
      </c>
      <c r="C34" s="276" t="s">
        <v>68</v>
      </c>
      <c r="D34" s="278">
        <f>D69</f>
        <v>6.5120361083249756E-2</v>
      </c>
      <c r="E34" s="257">
        <f t="shared" ref="E34:O34" si="0">E69</f>
        <v>8.512036108324976E-2</v>
      </c>
      <c r="F34" s="257">
        <f t="shared" si="0"/>
        <v>8.6624874623871626E-2</v>
      </c>
      <c r="G34" s="257">
        <f t="shared" si="0"/>
        <v>8.6624874623871626E-2</v>
      </c>
      <c r="H34" s="257">
        <f t="shared" si="0"/>
        <v>8.6624874623871626E-2</v>
      </c>
      <c r="I34" s="257">
        <f t="shared" si="0"/>
        <v>8.6624874623871626E-2</v>
      </c>
      <c r="J34" s="257">
        <f t="shared" si="0"/>
        <v>8.6624874623871626E-2</v>
      </c>
      <c r="K34" s="257">
        <f t="shared" si="0"/>
        <v>8.6624874623871626E-2</v>
      </c>
      <c r="L34" s="257">
        <f t="shared" si="0"/>
        <v>8.6624874623871626E-2</v>
      </c>
      <c r="M34" s="257">
        <f t="shared" si="0"/>
        <v>8.6624874623871626E-2</v>
      </c>
      <c r="N34" s="257">
        <f t="shared" si="0"/>
        <v>8.6624874623871626E-2</v>
      </c>
      <c r="O34" s="257">
        <f t="shared" si="0"/>
        <v>7.0135406218655966E-2</v>
      </c>
      <c r="P34" s="409">
        <f>SUM(D34:O34)</f>
        <v>1</v>
      </c>
      <c r="Q34" s="569" t="s">
        <v>69</v>
      </c>
      <c r="R34" s="570"/>
      <c r="S34" s="575"/>
      <c r="T34" s="577" t="s">
        <v>70</v>
      </c>
      <c r="U34" s="578"/>
      <c r="V34" s="579"/>
      <c r="W34" s="566" t="s">
        <v>574</v>
      </c>
      <c r="X34" s="567"/>
      <c r="Y34" s="567"/>
      <c r="Z34" s="568"/>
      <c r="AA34" s="569" t="s">
        <v>71</v>
      </c>
      <c r="AB34" s="570"/>
      <c r="AC34" s="570"/>
      <c r="AD34" s="571"/>
      <c r="AG34" s="87"/>
      <c r="AH34" s="87"/>
      <c r="AI34" s="87"/>
      <c r="AJ34" s="87"/>
      <c r="AK34" s="87"/>
      <c r="AL34" s="87"/>
      <c r="AM34" s="87"/>
      <c r="AN34" s="87"/>
      <c r="AO34" s="87"/>
    </row>
    <row r="35" spans="1:41" ht="158.1" customHeight="1" thickBot="1" x14ac:dyDescent="0.3">
      <c r="A35" s="476"/>
      <c r="B35" s="477"/>
      <c r="C35" s="270" t="s">
        <v>72</v>
      </c>
      <c r="D35" s="269">
        <f>D66</f>
        <v>6.5120361083249756E-2</v>
      </c>
      <c r="E35" s="259">
        <f t="shared" ref="E35:O35" si="1">E66</f>
        <v>8.512036108324976E-2</v>
      </c>
      <c r="F35" s="259">
        <f t="shared" si="1"/>
        <v>8.6624874623871626E-2</v>
      </c>
      <c r="G35" s="259">
        <f t="shared" si="1"/>
        <v>8.6624874623871626E-2</v>
      </c>
      <c r="H35" s="259">
        <f>H66</f>
        <v>8.6624874623871626E-2</v>
      </c>
      <c r="I35" s="259">
        <f t="shared" si="1"/>
        <v>8.6624874623871626E-2</v>
      </c>
      <c r="J35" s="259">
        <f t="shared" si="1"/>
        <v>0</v>
      </c>
      <c r="K35" s="259">
        <f t="shared" si="1"/>
        <v>0</v>
      </c>
      <c r="L35" s="259">
        <f t="shared" si="1"/>
        <v>0</v>
      </c>
      <c r="M35" s="259">
        <f t="shared" si="1"/>
        <v>0</v>
      </c>
      <c r="N35" s="259">
        <f t="shared" si="1"/>
        <v>0</v>
      </c>
      <c r="O35" s="259">
        <f t="shared" si="1"/>
        <v>0</v>
      </c>
      <c r="P35" s="410">
        <f>SUM(D35:O35)</f>
        <v>0.49674022066198609</v>
      </c>
      <c r="Q35" s="572"/>
      <c r="R35" s="573"/>
      <c r="S35" s="576"/>
      <c r="T35" s="580"/>
      <c r="U35" s="580"/>
      <c r="V35" s="581"/>
      <c r="W35" s="566"/>
      <c r="X35" s="567"/>
      <c r="Y35" s="567"/>
      <c r="Z35" s="568"/>
      <c r="AA35" s="572"/>
      <c r="AB35" s="573"/>
      <c r="AC35" s="573"/>
      <c r="AD35" s="574"/>
      <c r="AE35" s="49"/>
      <c r="AG35" s="87"/>
      <c r="AH35" s="87"/>
      <c r="AI35" s="87"/>
      <c r="AJ35" s="87"/>
      <c r="AK35" s="87"/>
      <c r="AL35" s="87"/>
      <c r="AM35" s="87"/>
      <c r="AN35" s="87"/>
      <c r="AO35" s="87"/>
    </row>
    <row r="36" spans="1:41" ht="26.1" customHeight="1" x14ac:dyDescent="0.25">
      <c r="A36" s="592" t="s">
        <v>73</v>
      </c>
      <c r="B36" s="558" t="s">
        <v>74</v>
      </c>
      <c r="C36" s="546" t="s">
        <v>75</v>
      </c>
      <c r="D36" s="558"/>
      <c r="E36" s="558"/>
      <c r="F36" s="558"/>
      <c r="G36" s="558"/>
      <c r="H36" s="558"/>
      <c r="I36" s="558"/>
      <c r="J36" s="558"/>
      <c r="K36" s="558"/>
      <c r="L36" s="558"/>
      <c r="M36" s="558"/>
      <c r="N36" s="558"/>
      <c r="O36" s="558"/>
      <c r="P36" s="559"/>
      <c r="Q36" s="594" t="s">
        <v>76</v>
      </c>
      <c r="R36" s="595"/>
      <c r="S36" s="595"/>
      <c r="T36" s="595"/>
      <c r="U36" s="595"/>
      <c r="V36" s="595"/>
      <c r="W36" s="595"/>
      <c r="X36" s="595"/>
      <c r="Y36" s="595"/>
      <c r="Z36" s="595"/>
      <c r="AA36" s="595"/>
      <c r="AB36" s="595"/>
      <c r="AC36" s="595"/>
      <c r="AD36" s="596"/>
      <c r="AG36" s="87"/>
      <c r="AH36" s="87"/>
      <c r="AI36" s="87"/>
      <c r="AJ36" s="87"/>
      <c r="AK36" s="87"/>
      <c r="AL36" s="87"/>
      <c r="AM36" s="87"/>
      <c r="AN36" s="87"/>
      <c r="AO36" s="87"/>
    </row>
    <row r="37" spans="1:41" ht="42" customHeight="1" thickBot="1" x14ac:dyDescent="0.3">
      <c r="A37" s="522"/>
      <c r="B37" s="593"/>
      <c r="C37" s="274" t="s">
        <v>77</v>
      </c>
      <c r="D37" s="265" t="s">
        <v>78</v>
      </c>
      <c r="E37" s="265" t="s">
        <v>79</v>
      </c>
      <c r="F37" s="265" t="s">
        <v>80</v>
      </c>
      <c r="G37" s="265" t="s">
        <v>81</v>
      </c>
      <c r="H37" s="265" t="s">
        <v>82</v>
      </c>
      <c r="I37" s="265" t="s">
        <v>83</v>
      </c>
      <c r="J37" s="265" t="s">
        <v>84</v>
      </c>
      <c r="K37" s="265" t="s">
        <v>85</v>
      </c>
      <c r="L37" s="265" t="s">
        <v>86</v>
      </c>
      <c r="M37" s="265" t="s">
        <v>87</v>
      </c>
      <c r="N37" s="265" t="s">
        <v>88</v>
      </c>
      <c r="O37" s="265" t="s">
        <v>89</v>
      </c>
      <c r="P37" s="266" t="s">
        <v>90</v>
      </c>
      <c r="Q37" s="597" t="s">
        <v>91</v>
      </c>
      <c r="R37" s="598"/>
      <c r="S37" s="598"/>
      <c r="T37" s="598"/>
      <c r="U37" s="598"/>
      <c r="V37" s="598"/>
      <c r="W37" s="598"/>
      <c r="X37" s="598"/>
      <c r="Y37" s="598"/>
      <c r="Z37" s="598"/>
      <c r="AA37" s="598"/>
      <c r="AB37" s="598"/>
      <c r="AC37" s="598"/>
      <c r="AD37" s="599"/>
      <c r="AG37" s="94"/>
      <c r="AH37" s="94"/>
      <c r="AI37" s="94"/>
      <c r="AJ37" s="94"/>
      <c r="AK37" s="94"/>
      <c r="AL37" s="94"/>
      <c r="AM37" s="94"/>
      <c r="AN37" s="94"/>
      <c r="AO37" s="94"/>
    </row>
    <row r="38" spans="1:41" ht="90" customHeight="1" x14ac:dyDescent="0.25">
      <c r="A38" s="600" t="s">
        <v>92</v>
      </c>
      <c r="B38" s="601">
        <v>0.05</v>
      </c>
      <c r="C38" s="224" t="s">
        <v>68</v>
      </c>
      <c r="D38" s="281">
        <v>0.05</v>
      </c>
      <c r="E38" s="282">
        <v>0.09</v>
      </c>
      <c r="F38" s="206">
        <v>0.09</v>
      </c>
      <c r="G38" s="206">
        <v>0.09</v>
      </c>
      <c r="H38" s="206">
        <v>0.09</v>
      </c>
      <c r="I38" s="206">
        <v>0.09</v>
      </c>
      <c r="J38" s="206">
        <v>0.09</v>
      </c>
      <c r="K38" s="206">
        <v>0.09</v>
      </c>
      <c r="L38" s="206">
        <v>0.09</v>
      </c>
      <c r="M38" s="206">
        <v>0.09</v>
      </c>
      <c r="N38" s="206">
        <v>0.09</v>
      </c>
      <c r="O38" s="206">
        <v>0.05</v>
      </c>
      <c r="P38" s="96">
        <f>SUM(D38:O38)</f>
        <v>0.99999999999999989</v>
      </c>
      <c r="Q38" s="603" t="s">
        <v>568</v>
      </c>
      <c r="R38" s="604"/>
      <c r="S38" s="604"/>
      <c r="T38" s="604"/>
      <c r="U38" s="604"/>
      <c r="V38" s="604"/>
      <c r="W38" s="604"/>
      <c r="X38" s="604"/>
      <c r="Y38" s="604"/>
      <c r="Z38" s="604"/>
      <c r="AA38" s="604"/>
      <c r="AB38" s="604"/>
      <c r="AC38" s="604"/>
      <c r="AD38" s="605"/>
      <c r="AE38" s="97"/>
      <c r="AG38" s="98"/>
      <c r="AH38" s="98"/>
      <c r="AI38" s="98"/>
      <c r="AJ38" s="98"/>
      <c r="AK38" s="98"/>
      <c r="AL38" s="98"/>
      <c r="AM38" s="98"/>
      <c r="AN38" s="98"/>
      <c r="AO38" s="98"/>
    </row>
    <row r="39" spans="1:41" ht="90" customHeight="1" x14ac:dyDescent="0.25">
      <c r="A39" s="582"/>
      <c r="B39" s="602"/>
      <c r="C39" s="225" t="s">
        <v>72</v>
      </c>
      <c r="D39" s="283">
        <v>0.05</v>
      </c>
      <c r="E39" s="283">
        <v>0.09</v>
      </c>
      <c r="F39" s="283">
        <v>0.09</v>
      </c>
      <c r="G39" s="283">
        <v>0.09</v>
      </c>
      <c r="H39" s="283">
        <v>0.09</v>
      </c>
      <c r="I39" s="283">
        <v>0.09</v>
      </c>
      <c r="J39" s="100"/>
      <c r="K39" s="100"/>
      <c r="L39" s="100"/>
      <c r="M39" s="100"/>
      <c r="N39" s="100"/>
      <c r="O39" s="100"/>
      <c r="P39" s="101">
        <f>SUM(D39:O39)</f>
        <v>0.5</v>
      </c>
      <c r="Q39" s="606"/>
      <c r="R39" s="607"/>
      <c r="S39" s="607"/>
      <c r="T39" s="607"/>
      <c r="U39" s="607"/>
      <c r="V39" s="607"/>
      <c r="W39" s="607"/>
      <c r="X39" s="607"/>
      <c r="Y39" s="607"/>
      <c r="Z39" s="607"/>
      <c r="AA39" s="607"/>
      <c r="AB39" s="607"/>
      <c r="AC39" s="607"/>
      <c r="AD39" s="608"/>
      <c r="AE39" s="97"/>
    </row>
    <row r="40" spans="1:41" ht="59.25" customHeight="1" x14ac:dyDescent="0.25">
      <c r="A40" s="582" t="s">
        <v>93</v>
      </c>
      <c r="B40" s="584">
        <v>0.05</v>
      </c>
      <c r="C40" s="226" t="s">
        <v>68</v>
      </c>
      <c r="D40" s="282">
        <v>0.08</v>
      </c>
      <c r="E40" s="282">
        <v>0.08</v>
      </c>
      <c r="F40" s="206">
        <v>8.3000000000000004E-2</v>
      </c>
      <c r="G40" s="206">
        <v>8.3000000000000004E-2</v>
      </c>
      <c r="H40" s="206">
        <v>8.3000000000000004E-2</v>
      </c>
      <c r="I40" s="206">
        <v>8.3000000000000004E-2</v>
      </c>
      <c r="J40" s="206">
        <v>8.3000000000000004E-2</v>
      </c>
      <c r="K40" s="206">
        <v>8.3000000000000004E-2</v>
      </c>
      <c r="L40" s="206">
        <v>8.3000000000000004E-2</v>
      </c>
      <c r="M40" s="206">
        <v>8.3000000000000004E-2</v>
      </c>
      <c r="N40" s="206">
        <v>8.3000000000000004E-2</v>
      </c>
      <c r="O40" s="206">
        <v>0.09</v>
      </c>
      <c r="P40" s="101">
        <f>SUM(D40:O40)</f>
        <v>0.99699999999999989</v>
      </c>
      <c r="Q40" s="586" t="s">
        <v>94</v>
      </c>
      <c r="R40" s="587"/>
      <c r="S40" s="587"/>
      <c r="T40" s="587"/>
      <c r="U40" s="587"/>
      <c r="V40" s="587"/>
      <c r="W40" s="587"/>
      <c r="X40" s="587"/>
      <c r="Y40" s="587"/>
      <c r="Z40" s="587"/>
      <c r="AA40" s="587"/>
      <c r="AB40" s="587"/>
      <c r="AC40" s="587"/>
      <c r="AD40" s="588"/>
      <c r="AE40" s="97"/>
    </row>
    <row r="41" spans="1:41" ht="100.5" customHeight="1" x14ac:dyDescent="0.25">
      <c r="A41" s="583"/>
      <c r="B41" s="585"/>
      <c r="C41" s="280" t="s">
        <v>72</v>
      </c>
      <c r="D41" s="284">
        <v>0.08</v>
      </c>
      <c r="E41" s="284">
        <v>0.08</v>
      </c>
      <c r="F41" s="284">
        <v>8.3000000000000004E-2</v>
      </c>
      <c r="G41" s="284">
        <v>8.3000000000000004E-2</v>
      </c>
      <c r="H41" s="284">
        <v>8.3000000000000004E-2</v>
      </c>
      <c r="I41" s="284">
        <v>8.3000000000000004E-2</v>
      </c>
      <c r="J41" s="105"/>
      <c r="K41" s="105"/>
      <c r="L41" s="106"/>
      <c r="M41" s="106"/>
      <c r="N41" s="106"/>
      <c r="O41" s="106"/>
      <c r="P41" s="107">
        <f>SUM(D41:O41)</f>
        <v>0.49200000000000005</v>
      </c>
      <c r="Q41" s="589"/>
      <c r="R41" s="590"/>
      <c r="S41" s="590"/>
      <c r="T41" s="590"/>
      <c r="U41" s="590"/>
      <c r="V41" s="590"/>
      <c r="W41" s="590"/>
      <c r="X41" s="590"/>
      <c r="Y41" s="590"/>
      <c r="Z41" s="590"/>
      <c r="AA41" s="590"/>
      <c r="AB41" s="590"/>
      <c r="AC41" s="590"/>
      <c r="AD41" s="591"/>
      <c r="AE41" s="97"/>
    </row>
    <row r="42" spans="1:41" x14ac:dyDescent="0.25">
      <c r="A42" s="50" t="s">
        <v>95</v>
      </c>
    </row>
    <row r="55" spans="1:30" x14ac:dyDescent="0.25">
      <c r="A55" s="613" t="s">
        <v>96</v>
      </c>
      <c r="B55" s="615" t="s">
        <v>74</v>
      </c>
      <c r="C55" s="617" t="s">
        <v>75</v>
      </c>
      <c r="D55" s="618"/>
      <c r="E55" s="618"/>
      <c r="F55" s="618"/>
      <c r="G55" s="618"/>
      <c r="H55" s="618"/>
      <c r="I55" s="618"/>
      <c r="J55" s="618"/>
      <c r="K55" s="618"/>
      <c r="L55" s="618"/>
      <c r="M55" s="618"/>
      <c r="N55" s="618"/>
      <c r="O55" s="618"/>
      <c r="P55" s="619"/>
      <c r="Q55" s="228"/>
      <c r="R55" s="228"/>
      <c r="S55" s="229"/>
      <c r="T55" s="229"/>
      <c r="U55" s="229"/>
      <c r="V55" s="229"/>
      <c r="W55" s="229"/>
      <c r="X55" s="229"/>
      <c r="Y55" s="229"/>
      <c r="Z55" s="229"/>
      <c r="AA55" s="229"/>
      <c r="AB55" s="229"/>
      <c r="AC55" s="229"/>
      <c r="AD55" s="229"/>
    </row>
    <row r="56" spans="1:30" ht="21" x14ac:dyDescent="0.25">
      <c r="A56" s="614"/>
      <c r="B56" s="616"/>
      <c r="C56" s="230" t="s">
        <v>77</v>
      </c>
      <c r="D56" s="230" t="s">
        <v>78</v>
      </c>
      <c r="E56" s="230" t="s">
        <v>79</v>
      </c>
      <c r="F56" s="230" t="s">
        <v>80</v>
      </c>
      <c r="G56" s="230" t="s">
        <v>81</v>
      </c>
      <c r="H56" s="230" t="s">
        <v>82</v>
      </c>
      <c r="I56" s="230" t="s">
        <v>83</v>
      </c>
      <c r="J56" s="230" t="s">
        <v>84</v>
      </c>
      <c r="K56" s="230" t="s">
        <v>85</v>
      </c>
      <c r="L56" s="230" t="s">
        <v>86</v>
      </c>
      <c r="M56" s="230" t="s">
        <v>87</v>
      </c>
      <c r="N56" s="230" t="s">
        <v>88</v>
      </c>
      <c r="O56" s="230" t="s">
        <v>89</v>
      </c>
      <c r="P56" s="230" t="s">
        <v>90</v>
      </c>
      <c r="Q56" s="228"/>
      <c r="R56" s="228"/>
      <c r="S56" s="229"/>
      <c r="T56" s="229"/>
      <c r="U56" s="229"/>
      <c r="V56" s="229"/>
      <c r="W56" s="229"/>
      <c r="X56" s="229"/>
      <c r="Y56" s="229"/>
      <c r="Z56" s="229"/>
      <c r="AA56" s="229"/>
      <c r="AB56" s="229"/>
      <c r="AC56" s="229"/>
      <c r="AD56" s="229"/>
    </row>
    <row r="57" spans="1:30" x14ac:dyDescent="0.25">
      <c r="A57" s="620" t="str">
        <f>A38</f>
        <v xml:space="preserve">1. Socializar los lineamientos técnicos del Sistema Distrital de Cuidado con espacios e instancias de participación y ciudadanía en general. </v>
      </c>
      <c r="B57" s="622">
        <f>B38</f>
        <v>0.05</v>
      </c>
      <c r="C57" s="231" t="s">
        <v>68</v>
      </c>
      <c r="D57" s="232">
        <f>D38*$B$38/$P$38</f>
        <v>2.5000000000000009E-3</v>
      </c>
      <c r="E57" s="232">
        <f t="shared" ref="D57:O58" si="2">E38*$B$38/$P$38</f>
        <v>4.5000000000000005E-3</v>
      </c>
      <c r="F57" s="232">
        <f t="shared" si="2"/>
        <v>4.5000000000000005E-3</v>
      </c>
      <c r="G57" s="232">
        <f t="shared" si="2"/>
        <v>4.5000000000000005E-3</v>
      </c>
      <c r="H57" s="232">
        <f t="shared" si="2"/>
        <v>4.5000000000000005E-3</v>
      </c>
      <c r="I57" s="232">
        <f t="shared" si="2"/>
        <v>4.5000000000000005E-3</v>
      </c>
      <c r="J57" s="232">
        <f t="shared" si="2"/>
        <v>4.5000000000000005E-3</v>
      </c>
      <c r="K57" s="232">
        <f t="shared" si="2"/>
        <v>4.5000000000000005E-3</v>
      </c>
      <c r="L57" s="232">
        <f t="shared" si="2"/>
        <v>4.5000000000000005E-3</v>
      </c>
      <c r="M57" s="232">
        <f t="shared" si="2"/>
        <v>4.5000000000000005E-3</v>
      </c>
      <c r="N57" s="232">
        <f t="shared" si="2"/>
        <v>4.5000000000000005E-3</v>
      </c>
      <c r="O57" s="232">
        <f t="shared" si="2"/>
        <v>2.5000000000000009E-3</v>
      </c>
      <c r="P57" s="233">
        <f>SUM(D57:O57)</f>
        <v>5.0000000000000017E-2</v>
      </c>
      <c r="Q57" s="234">
        <v>0.05</v>
      </c>
      <c r="R57" s="235">
        <f t="shared" ref="R57:R65" si="3">+P57-Q57</f>
        <v>0</v>
      </c>
      <c r="S57" s="229"/>
      <c r="T57" s="229"/>
      <c r="U57" s="229"/>
      <c r="V57" s="229"/>
      <c r="W57" s="229"/>
      <c r="X57" s="229"/>
      <c r="Y57" s="229"/>
      <c r="Z57" s="229"/>
      <c r="AA57" s="229"/>
      <c r="AB57" s="229"/>
      <c r="AC57" s="229"/>
      <c r="AD57" s="229"/>
    </row>
    <row r="58" spans="1:30" x14ac:dyDescent="0.25">
      <c r="A58" s="621"/>
      <c r="B58" s="623"/>
      <c r="C58" s="236" t="s">
        <v>72</v>
      </c>
      <c r="D58" s="237">
        <f t="shared" si="2"/>
        <v>2.5000000000000009E-3</v>
      </c>
      <c r="E58" s="237">
        <f t="shared" si="2"/>
        <v>4.5000000000000005E-3</v>
      </c>
      <c r="F58" s="237">
        <f t="shared" si="2"/>
        <v>4.5000000000000005E-3</v>
      </c>
      <c r="G58" s="237">
        <f t="shared" si="2"/>
        <v>4.5000000000000005E-3</v>
      </c>
      <c r="H58" s="237">
        <f t="shared" si="2"/>
        <v>4.5000000000000005E-3</v>
      </c>
      <c r="I58" s="237">
        <f t="shared" si="2"/>
        <v>4.5000000000000005E-3</v>
      </c>
      <c r="J58" s="237">
        <f t="shared" si="2"/>
        <v>0</v>
      </c>
      <c r="K58" s="237">
        <f t="shared" si="2"/>
        <v>0</v>
      </c>
      <c r="L58" s="237">
        <f t="shared" si="2"/>
        <v>0</v>
      </c>
      <c r="M58" s="237">
        <f t="shared" si="2"/>
        <v>0</v>
      </c>
      <c r="N58" s="237">
        <f t="shared" si="2"/>
        <v>0</v>
      </c>
      <c r="O58" s="237">
        <f t="shared" si="2"/>
        <v>0</v>
      </c>
      <c r="P58" s="238">
        <f>SUM(D58:O58)</f>
        <v>2.5000000000000001E-2</v>
      </c>
      <c r="Q58" s="239">
        <f>+P58</f>
        <v>2.5000000000000001E-2</v>
      </c>
      <c r="R58" s="235">
        <f t="shared" si="3"/>
        <v>0</v>
      </c>
      <c r="S58" s="229"/>
      <c r="T58" s="229"/>
      <c r="U58" s="229"/>
      <c r="V58" s="229"/>
      <c r="W58" s="229"/>
      <c r="X58" s="229"/>
      <c r="Y58" s="229"/>
      <c r="Z58" s="229"/>
      <c r="AA58" s="229"/>
      <c r="AB58" s="229"/>
      <c r="AC58" s="229"/>
      <c r="AD58" s="229"/>
    </row>
    <row r="59" spans="1:30" x14ac:dyDescent="0.25">
      <c r="A59" s="620" t="str">
        <f>A40</f>
        <v>2. Hacer seguimiento a la implementación del Convenio 913 de 2021 cuyo objeto es "Aunar esfuerzos administrativos para la articulación de servicios intersectoriales en el marco del Sistema Distrital de Cuidado que garantice la prestación efectiva, oportuna, eficiente y eficaz de los servicios"</v>
      </c>
      <c r="B59" s="625">
        <f>B40</f>
        <v>0.05</v>
      </c>
      <c r="C59" s="231" t="s">
        <v>68</v>
      </c>
      <c r="D59" s="232">
        <f t="shared" ref="D59:O60" si="4">D40*$B$40/$P$40</f>
        <v>4.0120361083249758E-3</v>
      </c>
      <c r="E59" s="232">
        <f t="shared" si="4"/>
        <v>4.0120361083249758E-3</v>
      </c>
      <c r="F59" s="232">
        <f t="shared" si="4"/>
        <v>4.1624874623871619E-3</v>
      </c>
      <c r="G59" s="232">
        <f t="shared" si="4"/>
        <v>4.1624874623871619E-3</v>
      </c>
      <c r="H59" s="232">
        <f t="shared" si="4"/>
        <v>4.1624874623871619E-3</v>
      </c>
      <c r="I59" s="232">
        <f t="shared" si="4"/>
        <v>4.1624874623871619E-3</v>
      </c>
      <c r="J59" s="232">
        <f t="shared" si="4"/>
        <v>4.1624874623871619E-3</v>
      </c>
      <c r="K59" s="232">
        <f t="shared" si="4"/>
        <v>4.1624874623871619E-3</v>
      </c>
      <c r="L59" s="232">
        <f t="shared" si="4"/>
        <v>4.1624874623871619E-3</v>
      </c>
      <c r="M59" s="232">
        <f t="shared" si="4"/>
        <v>4.1624874623871619E-3</v>
      </c>
      <c r="N59" s="232">
        <f t="shared" si="4"/>
        <v>4.1624874623871619E-3</v>
      </c>
      <c r="O59" s="232">
        <f t="shared" si="4"/>
        <v>4.5135406218655971E-3</v>
      </c>
      <c r="P59" s="233">
        <f>SUM(D59:O59)</f>
        <v>5.000000000000001E-2</v>
      </c>
      <c r="Q59" s="234">
        <v>2.5000000000000001E-2</v>
      </c>
      <c r="R59" s="235">
        <f t="shared" si="3"/>
        <v>2.5000000000000008E-2</v>
      </c>
      <c r="S59" s="229"/>
      <c r="T59" s="229"/>
      <c r="U59" s="229"/>
      <c r="V59" s="229"/>
      <c r="W59" s="229"/>
      <c r="X59" s="229"/>
      <c r="Y59" s="229"/>
      <c r="Z59" s="229"/>
      <c r="AA59" s="229"/>
      <c r="AB59" s="229"/>
      <c r="AC59" s="229"/>
      <c r="AD59" s="229"/>
    </row>
    <row r="60" spans="1:30" x14ac:dyDescent="0.25">
      <c r="A60" s="624"/>
      <c r="B60" s="626"/>
      <c r="C60" s="240" t="s">
        <v>72</v>
      </c>
      <c r="D60" s="237">
        <f t="shared" si="4"/>
        <v>4.0120361083249758E-3</v>
      </c>
      <c r="E60" s="237">
        <f t="shared" si="4"/>
        <v>4.0120361083249758E-3</v>
      </c>
      <c r="F60" s="237">
        <f t="shared" si="4"/>
        <v>4.1624874623871619E-3</v>
      </c>
      <c r="G60" s="237">
        <f t="shared" si="4"/>
        <v>4.1624874623871619E-3</v>
      </c>
      <c r="H60" s="237">
        <f t="shared" si="4"/>
        <v>4.1624874623871619E-3</v>
      </c>
      <c r="I60" s="237">
        <f t="shared" si="4"/>
        <v>4.1624874623871619E-3</v>
      </c>
      <c r="J60" s="237">
        <f t="shared" si="4"/>
        <v>0</v>
      </c>
      <c r="K60" s="237">
        <f t="shared" si="4"/>
        <v>0</v>
      </c>
      <c r="L60" s="237">
        <f t="shared" si="4"/>
        <v>0</v>
      </c>
      <c r="M60" s="237">
        <f t="shared" si="4"/>
        <v>0</v>
      </c>
      <c r="N60" s="237">
        <f t="shared" si="4"/>
        <v>0</v>
      </c>
      <c r="O60" s="237">
        <f t="shared" si="4"/>
        <v>0</v>
      </c>
      <c r="P60" s="238">
        <f>SUM(D60:O60)</f>
        <v>2.4674022066198602E-2</v>
      </c>
      <c r="Q60" s="239">
        <f>+P60</f>
        <v>2.4674022066198602E-2</v>
      </c>
      <c r="R60" s="235">
        <f t="shared" si="3"/>
        <v>0</v>
      </c>
      <c r="S60" s="229"/>
      <c r="T60" s="229"/>
      <c r="U60" s="229"/>
      <c r="V60" s="229"/>
      <c r="W60" s="229"/>
      <c r="X60" s="229"/>
      <c r="Y60" s="229"/>
      <c r="Z60" s="229"/>
      <c r="AA60" s="229"/>
      <c r="AB60" s="229"/>
      <c r="AC60" s="229"/>
      <c r="AD60" s="229"/>
    </row>
    <row r="61" spans="1:30" x14ac:dyDescent="0.25">
      <c r="A61" s="609"/>
      <c r="B61" s="611"/>
      <c r="C61" s="243"/>
      <c r="D61" s="232"/>
      <c r="E61" s="232"/>
      <c r="F61" s="232"/>
      <c r="G61" s="232"/>
      <c r="H61" s="232"/>
      <c r="I61" s="232"/>
      <c r="J61" s="232"/>
      <c r="K61" s="232"/>
      <c r="L61" s="232"/>
      <c r="M61" s="232"/>
      <c r="N61" s="232"/>
      <c r="O61" s="232"/>
      <c r="P61" s="244"/>
      <c r="Q61" s="234"/>
      <c r="R61" s="235"/>
      <c r="S61" s="229"/>
      <c r="T61" s="229"/>
      <c r="U61" s="229"/>
      <c r="V61" s="229"/>
      <c r="W61" s="229"/>
      <c r="X61" s="229"/>
      <c r="Y61" s="229"/>
      <c r="Z61" s="229"/>
      <c r="AA61" s="229"/>
      <c r="AB61" s="229"/>
      <c r="AC61" s="229"/>
      <c r="AD61" s="229"/>
    </row>
    <row r="62" spans="1:30" x14ac:dyDescent="0.25">
      <c r="A62" s="610"/>
      <c r="B62" s="612"/>
      <c r="C62" s="243"/>
      <c r="D62" s="247"/>
      <c r="E62" s="247"/>
      <c r="F62" s="247"/>
      <c r="G62" s="247"/>
      <c r="H62" s="247"/>
      <c r="I62" s="247"/>
      <c r="J62" s="247"/>
      <c r="K62" s="247"/>
      <c r="L62" s="247"/>
      <c r="M62" s="247"/>
      <c r="N62" s="247"/>
      <c r="O62" s="247"/>
      <c r="P62" s="244"/>
      <c r="Q62" s="239"/>
      <c r="R62" s="235"/>
      <c r="S62" s="229"/>
      <c r="T62" s="229"/>
      <c r="U62" s="229"/>
      <c r="V62" s="229"/>
      <c r="W62" s="229"/>
      <c r="X62" s="229"/>
      <c r="Y62" s="229"/>
      <c r="Z62" s="229"/>
      <c r="AA62" s="229"/>
      <c r="AB62" s="229"/>
      <c r="AC62" s="229"/>
      <c r="AD62" s="229"/>
    </row>
    <row r="63" spans="1:30" x14ac:dyDescent="0.25">
      <c r="A63" s="241"/>
      <c r="B63" s="242"/>
      <c r="C63" s="243"/>
      <c r="D63" s="232"/>
      <c r="E63" s="232"/>
      <c r="F63" s="232"/>
      <c r="G63" s="232"/>
      <c r="H63" s="232"/>
      <c r="I63" s="232"/>
      <c r="J63" s="232"/>
      <c r="K63" s="232"/>
      <c r="L63" s="232"/>
      <c r="M63" s="232"/>
      <c r="N63" s="232"/>
      <c r="O63" s="232"/>
      <c r="P63" s="244"/>
      <c r="Q63" s="234"/>
      <c r="R63" s="235"/>
      <c r="S63" s="229"/>
      <c r="T63" s="229"/>
      <c r="U63" s="229"/>
      <c r="V63" s="229"/>
      <c r="W63" s="229"/>
      <c r="X63" s="229"/>
      <c r="Y63" s="229"/>
      <c r="Z63" s="229"/>
      <c r="AA63" s="229"/>
      <c r="AB63" s="229"/>
      <c r="AC63" s="229"/>
      <c r="AD63" s="229"/>
    </row>
    <row r="64" spans="1:30" x14ac:dyDescent="0.25">
      <c r="A64" s="245"/>
      <c r="B64" s="246"/>
      <c r="C64" s="243"/>
      <c r="D64" s="247"/>
      <c r="E64" s="247"/>
      <c r="F64" s="247"/>
      <c r="G64" s="247"/>
      <c r="H64" s="247"/>
      <c r="I64" s="247"/>
      <c r="J64" s="247"/>
      <c r="K64" s="247"/>
      <c r="L64" s="247"/>
      <c r="M64" s="247"/>
      <c r="N64" s="247"/>
      <c r="O64" s="247"/>
      <c r="P64" s="244"/>
      <c r="Q64" s="239"/>
      <c r="R64" s="235"/>
      <c r="S64" s="229"/>
      <c r="T64" s="229"/>
      <c r="U64" s="229"/>
      <c r="V64" s="229"/>
      <c r="W64" s="229"/>
      <c r="X64" s="229"/>
      <c r="Y64" s="229"/>
      <c r="Z64" s="229"/>
      <c r="AA64" s="229"/>
      <c r="AB64" s="229"/>
      <c r="AC64" s="229"/>
      <c r="AD64" s="229"/>
    </row>
    <row r="65" spans="1:30" x14ac:dyDescent="0.25">
      <c r="A65" s="228"/>
      <c r="B65" s="248"/>
      <c r="C65" s="249"/>
      <c r="D65" s="250">
        <f>D58+D60</f>
        <v>6.5120361083249763E-3</v>
      </c>
      <c r="E65" s="250">
        <f t="shared" ref="E65:O65" si="5">E58+E60</f>
        <v>8.5120361083249763E-3</v>
      </c>
      <c r="F65" s="250">
        <f t="shared" si="5"/>
        <v>8.6624874623871632E-3</v>
      </c>
      <c r="G65" s="250">
        <f t="shared" si="5"/>
        <v>8.6624874623871632E-3</v>
      </c>
      <c r="H65" s="250">
        <f t="shared" si="5"/>
        <v>8.6624874623871632E-3</v>
      </c>
      <c r="I65" s="250">
        <f t="shared" si="5"/>
        <v>8.6624874623871632E-3</v>
      </c>
      <c r="J65" s="250">
        <f t="shared" si="5"/>
        <v>0</v>
      </c>
      <c r="K65" s="250">
        <f t="shared" si="5"/>
        <v>0</v>
      </c>
      <c r="L65" s="250">
        <f t="shared" si="5"/>
        <v>0</v>
      </c>
      <c r="M65" s="250">
        <f t="shared" si="5"/>
        <v>0</v>
      </c>
      <c r="N65" s="250">
        <f t="shared" si="5"/>
        <v>0</v>
      </c>
      <c r="O65" s="250">
        <f t="shared" si="5"/>
        <v>0</v>
      </c>
      <c r="P65" s="250">
        <f>P58+P60+P62</f>
        <v>4.96740220661986E-2</v>
      </c>
      <c r="Q65" s="228"/>
      <c r="R65" s="235">
        <f t="shared" si="3"/>
        <v>4.96740220661986E-2</v>
      </c>
      <c r="S65" s="229"/>
      <c r="T65" s="229"/>
      <c r="U65" s="229"/>
      <c r="V65" s="229"/>
      <c r="W65" s="229"/>
      <c r="X65" s="229"/>
      <c r="Y65" s="229"/>
      <c r="Z65" s="229"/>
      <c r="AA65" s="229"/>
      <c r="AB65" s="229"/>
      <c r="AC65" s="229"/>
      <c r="AD65" s="229"/>
    </row>
    <row r="66" spans="1:30" x14ac:dyDescent="0.25">
      <c r="A66" s="228"/>
      <c r="B66" s="251"/>
      <c r="C66" s="252" t="s">
        <v>72</v>
      </c>
      <c r="D66" s="253">
        <f>D65*$W$17/$B$34</f>
        <v>6.5120361083249756E-2</v>
      </c>
      <c r="E66" s="253">
        <f t="shared" ref="E66:O66" si="6">E65*$W$17/$B$34</f>
        <v>8.512036108324976E-2</v>
      </c>
      <c r="F66" s="253">
        <f t="shared" si="6"/>
        <v>8.6624874623871626E-2</v>
      </c>
      <c r="G66" s="253">
        <f t="shared" si="6"/>
        <v>8.6624874623871626E-2</v>
      </c>
      <c r="H66" s="253">
        <f t="shared" si="6"/>
        <v>8.6624874623871626E-2</v>
      </c>
      <c r="I66" s="253">
        <f t="shared" si="6"/>
        <v>8.6624874623871626E-2</v>
      </c>
      <c r="J66" s="253">
        <f t="shared" si="6"/>
        <v>0</v>
      </c>
      <c r="K66" s="253">
        <f t="shared" si="6"/>
        <v>0</v>
      </c>
      <c r="L66" s="253">
        <f t="shared" si="6"/>
        <v>0</v>
      </c>
      <c r="M66" s="253">
        <f t="shared" si="6"/>
        <v>0</v>
      </c>
      <c r="N66" s="253">
        <f t="shared" si="6"/>
        <v>0</v>
      </c>
      <c r="O66" s="253">
        <f t="shared" si="6"/>
        <v>0</v>
      </c>
      <c r="P66" s="254">
        <f>SUM(D66:O66)</f>
        <v>0.49674022066198609</v>
      </c>
      <c r="Q66" s="255"/>
      <c r="R66" s="228"/>
      <c r="S66" s="229"/>
      <c r="T66" s="229"/>
      <c r="U66" s="229"/>
      <c r="V66" s="229"/>
      <c r="W66" s="229"/>
      <c r="X66" s="229"/>
      <c r="Y66" s="229"/>
      <c r="Z66" s="229"/>
      <c r="AA66" s="229"/>
      <c r="AB66" s="229"/>
      <c r="AC66" s="229"/>
      <c r="AD66" s="229"/>
    </row>
    <row r="67" spans="1:30" x14ac:dyDescent="0.25">
      <c r="A67" s="255"/>
      <c r="B67" s="256"/>
      <c r="C67" s="256"/>
      <c r="D67" s="256"/>
      <c r="E67" s="256"/>
      <c r="F67" s="256"/>
      <c r="G67" s="256"/>
      <c r="H67" s="256"/>
      <c r="I67" s="256"/>
      <c r="J67" s="256"/>
      <c r="K67" s="256"/>
      <c r="L67" s="256"/>
      <c r="M67" s="256"/>
      <c r="N67" s="256"/>
      <c r="O67" s="256"/>
      <c r="P67" s="256"/>
      <c r="Q67" s="255"/>
      <c r="R67" s="255"/>
      <c r="S67" s="229"/>
      <c r="T67" s="229"/>
      <c r="U67" s="229"/>
      <c r="V67" s="229"/>
      <c r="W67" s="229"/>
      <c r="X67" s="229"/>
      <c r="Y67" s="229"/>
      <c r="Z67" s="229"/>
      <c r="AA67" s="229"/>
      <c r="AB67" s="229"/>
      <c r="AC67" s="229"/>
      <c r="AD67" s="229"/>
    </row>
    <row r="68" spans="1:30" x14ac:dyDescent="0.25">
      <c r="A68" s="234"/>
      <c r="B68" s="108"/>
      <c r="C68" s="108"/>
      <c r="D68" s="250">
        <f>+D57+D59</f>
        <v>6.5120361083249763E-3</v>
      </c>
      <c r="E68" s="250">
        <f t="shared" ref="E68:O68" si="7">+E57+E59</f>
        <v>8.5120361083249763E-3</v>
      </c>
      <c r="F68" s="250">
        <f t="shared" si="7"/>
        <v>8.6624874623871632E-3</v>
      </c>
      <c r="G68" s="250">
        <f t="shared" si="7"/>
        <v>8.6624874623871632E-3</v>
      </c>
      <c r="H68" s="250">
        <f t="shared" si="7"/>
        <v>8.6624874623871632E-3</v>
      </c>
      <c r="I68" s="250">
        <f t="shared" si="7"/>
        <v>8.6624874623871632E-3</v>
      </c>
      <c r="J68" s="250">
        <f t="shared" si="7"/>
        <v>8.6624874623871632E-3</v>
      </c>
      <c r="K68" s="250">
        <f t="shared" si="7"/>
        <v>8.6624874623871632E-3</v>
      </c>
      <c r="L68" s="250">
        <f t="shared" si="7"/>
        <v>8.6624874623871632E-3</v>
      </c>
      <c r="M68" s="250">
        <f t="shared" si="7"/>
        <v>8.6624874623871632E-3</v>
      </c>
      <c r="N68" s="250">
        <f t="shared" si="7"/>
        <v>8.6624874623871632E-3</v>
      </c>
      <c r="O68" s="250">
        <f t="shared" si="7"/>
        <v>7.0135406218655976E-3</v>
      </c>
      <c r="P68" s="250">
        <f>+P57+P59+P61</f>
        <v>0.10000000000000003</v>
      </c>
      <c r="Q68" s="234"/>
      <c r="R68" s="234"/>
      <c r="S68" s="229"/>
      <c r="T68" s="229"/>
      <c r="U68" s="229"/>
      <c r="V68" s="229"/>
      <c r="W68" s="229"/>
      <c r="X68" s="229"/>
      <c r="Y68" s="229"/>
      <c r="Z68" s="229"/>
      <c r="AA68" s="229"/>
      <c r="AB68" s="229"/>
      <c r="AC68" s="229"/>
      <c r="AD68" s="229"/>
    </row>
    <row r="69" spans="1:30" x14ac:dyDescent="0.25">
      <c r="A69" s="234"/>
      <c r="B69" s="108"/>
      <c r="C69" s="252" t="s">
        <v>68</v>
      </c>
      <c r="D69" s="253">
        <f>D68*$W$17/$B$34</f>
        <v>6.5120361083249756E-2</v>
      </c>
      <c r="E69" s="253">
        <f t="shared" ref="E69:O69" si="8">E68*$W$17/$B$34</f>
        <v>8.512036108324976E-2</v>
      </c>
      <c r="F69" s="253">
        <f t="shared" si="8"/>
        <v>8.6624874623871626E-2</v>
      </c>
      <c r="G69" s="253">
        <f t="shared" si="8"/>
        <v>8.6624874623871626E-2</v>
      </c>
      <c r="H69" s="253">
        <f t="shared" si="8"/>
        <v>8.6624874623871626E-2</v>
      </c>
      <c r="I69" s="253">
        <f t="shared" si="8"/>
        <v>8.6624874623871626E-2</v>
      </c>
      <c r="J69" s="253">
        <f t="shared" si="8"/>
        <v>8.6624874623871626E-2</v>
      </c>
      <c r="K69" s="253">
        <f t="shared" si="8"/>
        <v>8.6624874623871626E-2</v>
      </c>
      <c r="L69" s="253">
        <f t="shared" si="8"/>
        <v>8.6624874623871626E-2</v>
      </c>
      <c r="M69" s="253">
        <f t="shared" si="8"/>
        <v>8.6624874623871626E-2</v>
      </c>
      <c r="N69" s="253">
        <f t="shared" si="8"/>
        <v>8.6624874623871626E-2</v>
      </c>
      <c r="O69" s="253">
        <f t="shared" si="8"/>
        <v>7.0135406218655966E-2</v>
      </c>
      <c r="P69" s="254">
        <f>SUM(D69:O69)</f>
        <v>1</v>
      </c>
      <c r="Q69" s="234"/>
      <c r="R69" s="234"/>
      <c r="S69" s="229"/>
      <c r="T69" s="229"/>
      <c r="U69" s="229"/>
      <c r="V69" s="229"/>
      <c r="W69" s="229"/>
      <c r="X69" s="229"/>
      <c r="Y69" s="229"/>
      <c r="Z69" s="229"/>
      <c r="AA69" s="229"/>
      <c r="AB69" s="229"/>
      <c r="AC69" s="229"/>
      <c r="AD69" s="229"/>
    </row>
    <row r="70" spans="1:30" x14ac:dyDescent="0.25">
      <c r="A70" s="229"/>
      <c r="Q70" s="229"/>
      <c r="R70" s="229"/>
      <c r="S70" s="229"/>
      <c r="T70" s="229"/>
      <c r="U70" s="229"/>
      <c r="V70" s="229"/>
      <c r="W70" s="229"/>
      <c r="X70" s="229"/>
      <c r="Y70" s="229"/>
      <c r="Z70" s="229"/>
      <c r="AA70" s="229"/>
      <c r="AB70" s="229"/>
      <c r="AC70" s="229"/>
      <c r="AD70" s="229"/>
    </row>
    <row r="71" spans="1:30" x14ac:dyDescent="0.25">
      <c r="A71" s="229"/>
      <c r="Q71" s="229"/>
      <c r="R71" s="229"/>
      <c r="S71" s="229"/>
      <c r="T71" s="229"/>
      <c r="U71" s="229"/>
      <c r="V71" s="229"/>
      <c r="W71" s="229"/>
      <c r="X71" s="229"/>
      <c r="Y71" s="229"/>
      <c r="Z71" s="229"/>
      <c r="AA71" s="229"/>
      <c r="AB71" s="229"/>
      <c r="AC71" s="229"/>
      <c r="AD71" s="229"/>
    </row>
    <row r="72" spans="1:30" x14ac:dyDescent="0.25">
      <c r="A72" s="229"/>
      <c r="Q72" s="229"/>
      <c r="R72" s="229"/>
      <c r="S72" s="229"/>
      <c r="T72" s="229"/>
      <c r="U72" s="229"/>
      <c r="V72" s="229"/>
      <c r="W72" s="229"/>
      <c r="X72" s="229"/>
      <c r="Y72" s="229"/>
      <c r="Z72" s="229"/>
      <c r="AA72" s="229"/>
      <c r="AB72" s="229"/>
      <c r="AC72" s="229"/>
      <c r="AD72" s="229"/>
    </row>
    <row r="73" spans="1:30" x14ac:dyDescent="0.25">
      <c r="A73" s="229"/>
      <c r="Q73" s="229"/>
      <c r="R73" s="229"/>
      <c r="S73" s="229"/>
      <c r="T73" s="229"/>
      <c r="U73" s="229"/>
      <c r="V73" s="229"/>
      <c r="W73" s="229"/>
      <c r="X73" s="229"/>
      <c r="Y73" s="229"/>
      <c r="Z73" s="229"/>
      <c r="AA73" s="229"/>
      <c r="AB73" s="229"/>
      <c r="AC73" s="229"/>
      <c r="AD73" s="229"/>
    </row>
    <row r="74" spans="1:30" x14ac:dyDescent="0.25">
      <c r="A74" s="229"/>
      <c r="Q74" s="229"/>
      <c r="R74" s="229"/>
      <c r="S74" s="229"/>
      <c r="T74" s="229"/>
      <c r="U74" s="229"/>
      <c r="V74" s="229"/>
      <c r="W74" s="229"/>
      <c r="X74" s="229"/>
      <c r="Y74" s="229"/>
      <c r="Z74" s="229"/>
      <c r="AA74" s="229"/>
      <c r="AB74" s="229"/>
      <c r="AC74" s="229"/>
      <c r="AD74" s="229"/>
    </row>
    <row r="75" spans="1:30" x14ac:dyDescent="0.25">
      <c r="A75" s="229"/>
      <c r="Q75" s="229"/>
      <c r="R75" s="229"/>
      <c r="S75" s="229"/>
      <c r="T75" s="229"/>
      <c r="U75" s="229"/>
      <c r="V75" s="229"/>
      <c r="W75" s="229"/>
      <c r="X75" s="229"/>
      <c r="Y75" s="229"/>
      <c r="Z75" s="229"/>
      <c r="AA75" s="229"/>
      <c r="AB75" s="229"/>
      <c r="AC75" s="229"/>
      <c r="AD75" s="229"/>
    </row>
    <row r="76" spans="1:30" x14ac:dyDescent="0.25">
      <c r="A76" s="229"/>
      <c r="Q76" s="229"/>
      <c r="R76" s="229"/>
      <c r="S76" s="229"/>
      <c r="T76" s="229"/>
      <c r="U76" s="229"/>
      <c r="V76" s="229"/>
      <c r="W76" s="229"/>
      <c r="X76" s="229"/>
      <c r="Y76" s="229"/>
      <c r="Z76" s="229"/>
      <c r="AA76" s="229"/>
      <c r="AB76" s="229"/>
      <c r="AC76" s="229"/>
      <c r="AD76" s="229"/>
    </row>
    <row r="77" spans="1:30" x14ac:dyDescent="0.25">
      <c r="A77" s="229"/>
      <c r="Q77" s="229"/>
      <c r="R77" s="229"/>
      <c r="S77" s="229"/>
      <c r="T77" s="229"/>
      <c r="U77" s="229"/>
      <c r="V77" s="229"/>
      <c r="W77" s="229"/>
      <c r="X77" s="229"/>
      <c r="Y77" s="229"/>
      <c r="Z77" s="229"/>
      <c r="AA77" s="229"/>
      <c r="AB77" s="229"/>
      <c r="AC77" s="229"/>
      <c r="AD77" s="229"/>
    </row>
    <row r="78" spans="1:30" x14ac:dyDescent="0.25">
      <c r="A78" s="229"/>
      <c r="Q78" s="229"/>
      <c r="R78" s="229"/>
      <c r="S78" s="229"/>
      <c r="T78" s="229"/>
      <c r="U78" s="229"/>
      <c r="V78" s="229"/>
      <c r="W78" s="229"/>
      <c r="X78" s="229"/>
      <c r="Y78" s="229"/>
      <c r="Z78" s="229"/>
      <c r="AA78" s="229"/>
      <c r="AB78" s="229"/>
      <c r="AC78" s="229"/>
      <c r="AD78" s="229"/>
    </row>
    <row r="79" spans="1:30" x14ac:dyDescent="0.25">
      <c r="A79" s="229"/>
      <c r="Q79" s="229"/>
      <c r="R79" s="229"/>
      <c r="S79" s="229"/>
      <c r="T79" s="229"/>
      <c r="U79" s="229"/>
      <c r="V79" s="229"/>
      <c r="W79" s="229"/>
      <c r="X79" s="229"/>
      <c r="Y79" s="229"/>
      <c r="Z79" s="229"/>
      <c r="AA79" s="229"/>
      <c r="AB79" s="229"/>
      <c r="AC79" s="229"/>
      <c r="AD79" s="229"/>
    </row>
    <row r="80" spans="1:30" x14ac:dyDescent="0.25">
      <c r="A80" s="229"/>
      <c r="Q80" s="229"/>
      <c r="R80" s="229"/>
      <c r="S80" s="229"/>
      <c r="T80" s="229"/>
      <c r="U80" s="229"/>
      <c r="V80" s="229"/>
      <c r="W80" s="229"/>
      <c r="X80" s="229"/>
      <c r="Y80" s="229"/>
      <c r="Z80" s="229"/>
      <c r="AA80" s="229"/>
      <c r="AB80" s="229"/>
      <c r="AC80" s="229"/>
      <c r="AD80" s="229"/>
    </row>
    <row r="81" spans="1:30" x14ac:dyDescent="0.25">
      <c r="A81" s="229"/>
      <c r="Q81" s="229"/>
      <c r="R81" s="229"/>
      <c r="S81" s="229"/>
      <c r="T81" s="229"/>
      <c r="U81" s="229"/>
      <c r="V81" s="229"/>
      <c r="W81" s="229"/>
      <c r="X81" s="229"/>
      <c r="Y81" s="229"/>
      <c r="Z81" s="229"/>
      <c r="AA81" s="229"/>
      <c r="AB81" s="229"/>
      <c r="AC81" s="229"/>
      <c r="AD81" s="229"/>
    </row>
    <row r="82" spans="1:30" x14ac:dyDescent="0.25">
      <c r="A82" s="229"/>
      <c r="Q82" s="229"/>
      <c r="R82" s="229"/>
      <c r="S82" s="229"/>
      <c r="T82" s="229"/>
      <c r="U82" s="229"/>
      <c r="V82" s="229"/>
      <c r="W82" s="229"/>
      <c r="X82" s="229"/>
      <c r="Y82" s="229"/>
      <c r="Z82" s="229"/>
      <c r="AA82" s="229"/>
      <c r="AB82" s="229"/>
      <c r="AC82" s="229"/>
      <c r="AD82" s="229"/>
    </row>
    <row r="83" spans="1:30" x14ac:dyDescent="0.25">
      <c r="A83" s="229"/>
      <c r="Q83" s="229"/>
      <c r="R83" s="229"/>
      <c r="S83" s="229"/>
      <c r="T83" s="229"/>
      <c r="U83" s="229"/>
      <c r="V83" s="229"/>
      <c r="W83" s="229"/>
      <c r="X83" s="229"/>
      <c r="Y83" s="229"/>
      <c r="Z83" s="229"/>
      <c r="AA83" s="229"/>
      <c r="AB83" s="229"/>
      <c r="AC83" s="229"/>
      <c r="AD83" s="229"/>
    </row>
    <row r="84" spans="1:30" x14ac:dyDescent="0.25">
      <c r="A84" s="229"/>
      <c r="Q84" s="229"/>
      <c r="R84" s="229"/>
      <c r="S84" s="229"/>
      <c r="T84" s="229"/>
      <c r="U84" s="229"/>
      <c r="V84" s="229"/>
      <c r="W84" s="229"/>
      <c r="X84" s="229"/>
      <c r="Y84" s="229"/>
      <c r="Z84" s="229"/>
      <c r="AA84" s="229"/>
      <c r="AB84" s="229"/>
      <c r="AC84" s="229"/>
      <c r="AD84" s="229"/>
    </row>
    <row r="85" spans="1:30" x14ac:dyDescent="0.25">
      <c r="A85" s="229"/>
      <c r="Q85" s="229"/>
      <c r="R85" s="229"/>
      <c r="S85" s="229"/>
      <c r="T85" s="229"/>
      <c r="U85" s="229"/>
      <c r="V85" s="229"/>
      <c r="W85" s="229"/>
      <c r="X85" s="229"/>
      <c r="Y85" s="229"/>
      <c r="Z85" s="229"/>
      <c r="AA85" s="229"/>
      <c r="AB85" s="229"/>
      <c r="AC85" s="229"/>
      <c r="AD85" s="229"/>
    </row>
  </sheetData>
  <mergeCells count="86">
    <mergeCell ref="A61:A62"/>
    <mergeCell ref="B61:B62"/>
    <mergeCell ref="A55:A56"/>
    <mergeCell ref="B55:B56"/>
    <mergeCell ref="C55:P55"/>
    <mergeCell ref="A57:A58"/>
    <mergeCell ref="B57:B58"/>
    <mergeCell ref="A59:A60"/>
    <mergeCell ref="B59:B60"/>
    <mergeCell ref="A40:A41"/>
    <mergeCell ref="B40:B41"/>
    <mergeCell ref="Q40:AD41"/>
    <mergeCell ref="A36:A37"/>
    <mergeCell ref="B36:B37"/>
    <mergeCell ref="C36:P36"/>
    <mergeCell ref="Q36:AD36"/>
    <mergeCell ref="Q37:AD37"/>
    <mergeCell ref="A38:A39"/>
    <mergeCell ref="B38:B39"/>
    <mergeCell ref="Q38:AD39"/>
    <mergeCell ref="A34:A35"/>
    <mergeCell ref="B34:B35"/>
    <mergeCell ref="W34:Z35"/>
    <mergeCell ref="AA34:AD35"/>
    <mergeCell ref="Q33:S33"/>
    <mergeCell ref="T33:V33"/>
    <mergeCell ref="Q34:S35"/>
    <mergeCell ref="T34:V35"/>
    <mergeCell ref="B30:C30"/>
    <mergeCell ref="Q30:AD30"/>
    <mergeCell ref="A31:AD31"/>
    <mergeCell ref="A32:A33"/>
    <mergeCell ref="B32:B33"/>
    <mergeCell ref="C32:C33"/>
    <mergeCell ref="D32:P32"/>
    <mergeCell ref="Q32:AD32"/>
    <mergeCell ref="W33:Z33"/>
    <mergeCell ref="AA33:AD33"/>
    <mergeCell ref="A28:A29"/>
    <mergeCell ref="B28:C29"/>
    <mergeCell ref="D28:O28"/>
    <mergeCell ref="P28:P29"/>
    <mergeCell ref="Q28:AD29"/>
    <mergeCell ref="A27:AD27"/>
    <mergeCell ref="A23:B23"/>
    <mergeCell ref="A25:B25"/>
    <mergeCell ref="AA15:AD15"/>
    <mergeCell ref="C16:AB16"/>
    <mergeCell ref="A17:B17"/>
    <mergeCell ref="C17:Q17"/>
    <mergeCell ref="R17:V17"/>
    <mergeCell ref="L15:Q15"/>
    <mergeCell ref="R15:X15"/>
    <mergeCell ref="Y15:Z15"/>
    <mergeCell ref="W17:X17"/>
    <mergeCell ref="Y17:AB17"/>
    <mergeCell ref="A15:B15"/>
    <mergeCell ref="C15:K15"/>
    <mergeCell ref="A24:B24"/>
    <mergeCell ref="A19:AD19"/>
    <mergeCell ref="Q20:AD20"/>
    <mergeCell ref="C20:P20"/>
    <mergeCell ref="A22:B22"/>
    <mergeCell ref="AC17:AD17"/>
    <mergeCell ref="A11:B13"/>
    <mergeCell ref="D7:H9"/>
    <mergeCell ref="I7:J9"/>
    <mergeCell ref="K7:L9"/>
    <mergeCell ref="C11:AD13"/>
    <mergeCell ref="C7:C9"/>
    <mergeCell ref="AF22:AM25"/>
    <mergeCell ref="A1:A4"/>
    <mergeCell ref="B1:AA1"/>
    <mergeCell ref="AB1:AD1"/>
    <mergeCell ref="M9:N9"/>
    <mergeCell ref="O9:P9"/>
    <mergeCell ref="M7:N7"/>
    <mergeCell ref="O7:P7"/>
    <mergeCell ref="M8:N8"/>
    <mergeCell ref="O8:P8"/>
    <mergeCell ref="A7:B9"/>
    <mergeCell ref="B2:AA2"/>
    <mergeCell ref="AB2:AD2"/>
    <mergeCell ref="B3:AA4"/>
    <mergeCell ref="AB3:AD3"/>
    <mergeCell ref="AB4:AD4"/>
  </mergeCells>
  <dataValidations count="3">
    <dataValidation type="textLength" operator="lessThanOrEqual" allowBlank="1" showInputMessage="1" showErrorMessage="1" errorTitle="Máximo 2.000 caracteres" error="Máximo 2.000 caracteres" sqref="AA34 Q34 W34 Q38:AD41" xr:uid="{00000000-0002-0000-0000-000000000000}">
      <formula1>2000</formula1>
    </dataValidation>
    <dataValidation type="textLength" operator="lessThanOrEqual" allowBlank="1" showInputMessage="1" showErrorMessage="1" errorTitle="Máximo 2.000 caracteres" error="Máximo 2.000 caracteres" promptTitle="2.000 caracteres" sqref="Q30:AD30" xr:uid="{00000000-0002-0000-0000-000001000000}">
      <formula1>2000</formula1>
    </dataValidation>
    <dataValidation type="list" allowBlank="1" showInputMessage="1" showErrorMessage="1" sqref="C7:C9" xr:uid="{00000000-0002-0000-0000-000002000000}">
      <formula1>$C$21:$N$21</formula1>
    </dataValidation>
  </dataValidations>
  <pageMargins left="0.25" right="0.25" top="0.75" bottom="0.75" header="0.3" footer="0.3"/>
  <pageSetup scale="22" orientation="landscape" r:id="rId1"/>
  <customProperties>
    <customPr name="_pios_id" r:id="rId2"/>
  </customProperties>
  <drawing r:id="rId3"/>
  <legacyDrawing r:id="rId4"/>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7" tint="0.39997558519241921"/>
    <pageSetUpPr fitToPage="1"/>
  </sheetPr>
  <dimension ref="A1:AM40"/>
  <sheetViews>
    <sheetView topLeftCell="H9" zoomScaleNormal="106" workbookViewId="0">
      <selection activeCell="S13" sqref="S13:T13"/>
    </sheetView>
  </sheetViews>
  <sheetFormatPr baseColWidth="10" defaultColWidth="10.85546875" defaultRowHeight="15" x14ac:dyDescent="0.25"/>
  <cols>
    <col min="1" max="1" width="38.42578125" style="50" customWidth="1"/>
    <col min="2" max="2" width="15.42578125" style="50" customWidth="1"/>
    <col min="3" max="3" width="16.28515625" style="50" customWidth="1"/>
    <col min="4" max="6" width="7" style="50" customWidth="1"/>
    <col min="7" max="15" width="7.7109375" style="50" customWidth="1"/>
    <col min="16" max="16" width="13.28515625" style="50" customWidth="1"/>
    <col min="17" max="17" width="10.85546875" style="50"/>
    <col min="18" max="18" width="7.42578125" style="50" customWidth="1"/>
    <col min="19" max="20" width="10.85546875" style="50"/>
    <col min="21" max="21" width="13" style="50" customWidth="1"/>
    <col min="22" max="22" width="7.85546875" style="50" customWidth="1"/>
    <col min="23" max="28" width="12.140625" style="50" customWidth="1"/>
    <col min="29" max="29" width="6.28515625" style="50" bestFit="1" customWidth="1"/>
    <col min="30" max="30" width="22.85546875" style="50" customWidth="1"/>
    <col min="31" max="31" width="18.42578125" style="50" bestFit="1" customWidth="1"/>
    <col min="32" max="32" width="8.42578125" style="50" customWidth="1"/>
    <col min="33" max="33" width="18.42578125" style="50" bestFit="1" customWidth="1"/>
    <col min="34" max="34" width="5.7109375" style="50" customWidth="1"/>
    <col min="35" max="35" width="18.42578125" style="50" bestFit="1" customWidth="1"/>
    <col min="36" max="36" width="4.7109375" style="50" customWidth="1"/>
    <col min="37" max="37" width="23" style="50" bestFit="1" customWidth="1"/>
    <col min="38" max="38" width="10.85546875" style="50"/>
    <col min="39" max="39" width="18.42578125" style="50" bestFit="1" customWidth="1"/>
    <col min="40" max="40" width="16.140625" style="50" customWidth="1"/>
    <col min="41" max="16384" width="10.85546875" style="50"/>
  </cols>
  <sheetData>
    <row r="1" spans="1:28" ht="32.25" customHeight="1" x14ac:dyDescent="0.25">
      <c r="A1" s="878"/>
      <c r="B1" s="893" t="s">
        <v>0</v>
      </c>
      <c r="C1" s="894"/>
      <c r="D1" s="894"/>
      <c r="E1" s="894"/>
      <c r="F1" s="894"/>
      <c r="G1" s="894"/>
      <c r="H1" s="894"/>
      <c r="I1" s="894"/>
      <c r="J1" s="894"/>
      <c r="K1" s="894"/>
      <c r="L1" s="894"/>
      <c r="M1" s="894"/>
      <c r="N1" s="894"/>
      <c r="O1" s="894"/>
      <c r="P1" s="894"/>
      <c r="Q1" s="894"/>
      <c r="R1" s="894"/>
      <c r="S1" s="894"/>
      <c r="T1" s="894"/>
      <c r="U1" s="894"/>
      <c r="V1" s="894"/>
      <c r="W1" s="894"/>
      <c r="X1" s="894"/>
      <c r="Y1" s="895"/>
      <c r="Z1" s="890" t="s">
        <v>161</v>
      </c>
      <c r="AA1" s="891"/>
      <c r="AB1" s="892"/>
    </row>
    <row r="2" spans="1:28" ht="30.75" customHeight="1" x14ac:dyDescent="0.25">
      <c r="A2" s="879"/>
      <c r="B2" s="867" t="s">
        <v>97</v>
      </c>
      <c r="C2" s="868"/>
      <c r="D2" s="868"/>
      <c r="E2" s="868"/>
      <c r="F2" s="868"/>
      <c r="G2" s="868"/>
      <c r="H2" s="868"/>
      <c r="I2" s="868"/>
      <c r="J2" s="868"/>
      <c r="K2" s="868"/>
      <c r="L2" s="868"/>
      <c r="M2" s="868"/>
      <c r="N2" s="868"/>
      <c r="O2" s="868"/>
      <c r="P2" s="868"/>
      <c r="Q2" s="868"/>
      <c r="R2" s="868"/>
      <c r="S2" s="868"/>
      <c r="T2" s="868"/>
      <c r="U2" s="868"/>
      <c r="V2" s="868"/>
      <c r="W2" s="868"/>
      <c r="X2" s="868"/>
      <c r="Y2" s="869"/>
      <c r="Z2" s="881" t="s">
        <v>162</v>
      </c>
      <c r="AA2" s="882"/>
      <c r="AB2" s="883"/>
    </row>
    <row r="3" spans="1:28" ht="24" customHeight="1" x14ac:dyDescent="0.25">
      <c r="A3" s="879"/>
      <c r="B3" s="494" t="s">
        <v>4</v>
      </c>
      <c r="C3" s="495"/>
      <c r="D3" s="495"/>
      <c r="E3" s="495"/>
      <c r="F3" s="495"/>
      <c r="G3" s="495"/>
      <c r="H3" s="495"/>
      <c r="I3" s="495"/>
      <c r="J3" s="495"/>
      <c r="K3" s="495"/>
      <c r="L3" s="495"/>
      <c r="M3" s="495"/>
      <c r="N3" s="495"/>
      <c r="O3" s="495"/>
      <c r="P3" s="495"/>
      <c r="Q3" s="495"/>
      <c r="R3" s="495"/>
      <c r="S3" s="495"/>
      <c r="T3" s="495"/>
      <c r="U3" s="495"/>
      <c r="V3" s="495"/>
      <c r="W3" s="495"/>
      <c r="X3" s="495"/>
      <c r="Y3" s="496"/>
      <c r="Z3" s="881" t="s">
        <v>163</v>
      </c>
      <c r="AA3" s="882"/>
      <c r="AB3" s="883"/>
    </row>
    <row r="4" spans="1:28" ht="15.75" customHeight="1" thickBot="1" x14ac:dyDescent="0.3">
      <c r="A4" s="880"/>
      <c r="B4" s="497"/>
      <c r="C4" s="498"/>
      <c r="D4" s="498"/>
      <c r="E4" s="498"/>
      <c r="F4" s="498"/>
      <c r="G4" s="498"/>
      <c r="H4" s="498"/>
      <c r="I4" s="498"/>
      <c r="J4" s="498"/>
      <c r="K4" s="498"/>
      <c r="L4" s="498"/>
      <c r="M4" s="498"/>
      <c r="N4" s="498"/>
      <c r="O4" s="498"/>
      <c r="P4" s="498"/>
      <c r="Q4" s="498"/>
      <c r="R4" s="498"/>
      <c r="S4" s="498"/>
      <c r="T4" s="498"/>
      <c r="U4" s="498"/>
      <c r="V4" s="498"/>
      <c r="W4" s="498"/>
      <c r="X4" s="498"/>
      <c r="Y4" s="499"/>
      <c r="Z4" s="884" t="s">
        <v>6</v>
      </c>
      <c r="AA4" s="885"/>
      <c r="AB4" s="886"/>
    </row>
    <row r="5" spans="1:28" ht="9" customHeight="1" thickBot="1" x14ac:dyDescent="0.3">
      <c r="A5" s="51"/>
      <c r="B5" s="52"/>
      <c r="C5" s="53"/>
      <c r="D5" s="54"/>
      <c r="E5" s="54"/>
      <c r="F5" s="54"/>
      <c r="G5" s="54"/>
      <c r="H5" s="54"/>
      <c r="I5" s="54"/>
      <c r="J5" s="54"/>
      <c r="K5" s="54"/>
      <c r="L5" s="54"/>
      <c r="M5" s="54"/>
      <c r="N5" s="54"/>
      <c r="O5" s="54"/>
      <c r="P5" s="54"/>
      <c r="Q5" s="54"/>
      <c r="R5" s="54"/>
      <c r="S5" s="54"/>
      <c r="T5" s="54"/>
      <c r="U5" s="54"/>
      <c r="V5" s="54"/>
      <c r="W5" s="54"/>
      <c r="X5" s="55"/>
      <c r="Y5" s="54"/>
      <c r="Z5" s="56"/>
      <c r="AA5" s="57"/>
      <c r="AB5" s="58"/>
    </row>
    <row r="6" spans="1:28" ht="9" customHeight="1" thickBot="1" x14ac:dyDescent="0.3">
      <c r="A6" s="59"/>
      <c r="B6" s="54"/>
      <c r="C6" s="54"/>
      <c r="D6" s="54"/>
      <c r="E6" s="54"/>
      <c r="F6" s="54"/>
      <c r="G6" s="54"/>
      <c r="H6" s="54"/>
      <c r="I6" s="54"/>
      <c r="J6" s="54"/>
      <c r="K6" s="54"/>
      <c r="L6" s="54"/>
      <c r="M6" s="54"/>
      <c r="N6" s="54"/>
      <c r="O6" s="54"/>
      <c r="P6" s="54"/>
      <c r="Q6" s="54"/>
      <c r="R6" s="54"/>
      <c r="S6" s="54"/>
      <c r="T6" s="54"/>
      <c r="U6" s="54"/>
      <c r="V6" s="54"/>
      <c r="W6" s="54"/>
      <c r="X6" s="55"/>
      <c r="Y6" s="54"/>
      <c r="Z6" s="54"/>
      <c r="AA6" s="60"/>
      <c r="AB6" s="61"/>
    </row>
    <row r="7" spans="1:28" ht="15" customHeight="1" x14ac:dyDescent="0.25">
      <c r="A7" s="464" t="s">
        <v>15</v>
      </c>
      <c r="B7" s="465"/>
      <c r="C7" s="491"/>
      <c r="D7" s="492"/>
      <c r="E7" s="492"/>
      <c r="F7" s="492"/>
      <c r="G7" s="492"/>
      <c r="H7" s="492"/>
      <c r="I7" s="492"/>
      <c r="J7" s="492"/>
      <c r="K7" s="493"/>
      <c r="L7" s="62"/>
      <c r="M7" s="63"/>
      <c r="N7" s="63"/>
      <c r="O7" s="63"/>
      <c r="P7" s="63"/>
      <c r="Q7" s="64"/>
      <c r="R7" s="887" t="s">
        <v>9</v>
      </c>
      <c r="S7" s="888"/>
      <c r="T7" s="889"/>
      <c r="U7" s="896" t="s">
        <v>164</v>
      </c>
      <c r="V7" s="486"/>
      <c r="W7" s="887" t="s">
        <v>10</v>
      </c>
      <c r="X7" s="889"/>
      <c r="Y7" s="456" t="s">
        <v>98</v>
      </c>
      <c r="Z7" s="457"/>
      <c r="AA7" s="458"/>
      <c r="AB7" s="459"/>
    </row>
    <row r="8" spans="1:28" ht="15" customHeight="1" x14ac:dyDescent="0.25">
      <c r="A8" s="466"/>
      <c r="B8" s="467"/>
      <c r="C8" s="494"/>
      <c r="D8" s="495"/>
      <c r="E8" s="495"/>
      <c r="F8" s="495"/>
      <c r="G8" s="495"/>
      <c r="H8" s="495"/>
      <c r="I8" s="495"/>
      <c r="J8" s="495"/>
      <c r="K8" s="496"/>
      <c r="L8" s="62"/>
      <c r="M8" s="63"/>
      <c r="N8" s="63"/>
      <c r="O8" s="63"/>
      <c r="P8" s="63"/>
      <c r="Q8" s="64"/>
      <c r="R8" s="506"/>
      <c r="S8" s="507"/>
      <c r="T8" s="508"/>
      <c r="U8" s="487"/>
      <c r="V8" s="488"/>
      <c r="W8" s="506"/>
      <c r="X8" s="508"/>
      <c r="Y8" s="460" t="s">
        <v>99</v>
      </c>
      <c r="Z8" s="461"/>
      <c r="AA8" s="736"/>
      <c r="AB8" s="737"/>
    </row>
    <row r="9" spans="1:28" ht="15" customHeight="1" thickBot="1" x14ac:dyDescent="0.3">
      <c r="A9" s="468"/>
      <c r="B9" s="469"/>
      <c r="C9" s="497"/>
      <c r="D9" s="498"/>
      <c r="E9" s="498"/>
      <c r="F9" s="498"/>
      <c r="G9" s="498"/>
      <c r="H9" s="498"/>
      <c r="I9" s="498"/>
      <c r="J9" s="498"/>
      <c r="K9" s="499"/>
      <c r="L9" s="62"/>
      <c r="M9" s="63"/>
      <c r="N9" s="63"/>
      <c r="O9" s="63"/>
      <c r="P9" s="63"/>
      <c r="Q9" s="64"/>
      <c r="R9" s="509"/>
      <c r="S9" s="510"/>
      <c r="T9" s="511"/>
      <c r="U9" s="489"/>
      <c r="V9" s="490"/>
      <c r="W9" s="509"/>
      <c r="X9" s="511"/>
      <c r="Y9" s="452" t="s">
        <v>13</v>
      </c>
      <c r="Z9" s="453"/>
      <c r="AA9" s="454"/>
      <c r="AB9" s="455"/>
    </row>
    <row r="10" spans="1:28" ht="9" customHeight="1" thickBot="1" x14ac:dyDescent="0.3">
      <c r="A10" s="67"/>
      <c r="B10" s="68"/>
      <c r="C10" s="69"/>
      <c r="D10" s="69"/>
      <c r="E10" s="69"/>
      <c r="F10" s="69"/>
      <c r="G10" s="69"/>
      <c r="H10" s="69"/>
      <c r="I10" s="69"/>
      <c r="J10" s="69"/>
      <c r="K10" s="69"/>
      <c r="L10" s="69"/>
      <c r="M10" s="70"/>
      <c r="N10" s="70"/>
      <c r="O10" s="70"/>
      <c r="P10" s="70"/>
      <c r="Q10" s="70"/>
      <c r="R10" s="71"/>
      <c r="S10" s="71"/>
      <c r="T10" s="71"/>
      <c r="U10" s="71"/>
      <c r="V10" s="71"/>
      <c r="W10" s="65"/>
      <c r="X10" s="65"/>
      <c r="Y10" s="65"/>
      <c r="Z10" s="65"/>
      <c r="AA10" s="65"/>
      <c r="AB10" s="66"/>
    </row>
    <row r="11" spans="1:28" ht="39" customHeight="1" thickBot="1" x14ac:dyDescent="0.3">
      <c r="A11" s="528" t="s">
        <v>17</v>
      </c>
      <c r="B11" s="529"/>
      <c r="C11" s="538"/>
      <c r="D11" s="539"/>
      <c r="E11" s="539"/>
      <c r="F11" s="539"/>
      <c r="G11" s="539"/>
      <c r="H11" s="539"/>
      <c r="I11" s="539"/>
      <c r="J11" s="539"/>
      <c r="K11" s="540"/>
      <c r="L11" s="72"/>
      <c r="M11" s="503" t="s">
        <v>19</v>
      </c>
      <c r="N11" s="504"/>
      <c r="O11" s="504"/>
      <c r="P11" s="504"/>
      <c r="Q11" s="505"/>
      <c r="R11" s="533"/>
      <c r="S11" s="534"/>
      <c r="T11" s="534"/>
      <c r="U11" s="534"/>
      <c r="V11" s="535"/>
      <c r="W11" s="503" t="s">
        <v>21</v>
      </c>
      <c r="X11" s="505"/>
      <c r="Y11" s="524"/>
      <c r="Z11" s="525"/>
      <c r="AA11" s="525"/>
      <c r="AB11" s="526"/>
    </row>
    <row r="12" spans="1:28" ht="9" customHeight="1" thickBot="1" x14ac:dyDescent="0.3">
      <c r="A12" s="59"/>
      <c r="B12" s="54"/>
      <c r="C12" s="527"/>
      <c r="D12" s="527"/>
      <c r="E12" s="527"/>
      <c r="F12" s="527"/>
      <c r="G12" s="527"/>
      <c r="H12" s="527"/>
      <c r="I12" s="527"/>
      <c r="J12" s="527"/>
      <c r="K12" s="527"/>
      <c r="L12" s="527"/>
      <c r="M12" s="527"/>
      <c r="N12" s="527"/>
      <c r="O12" s="527"/>
      <c r="P12" s="527"/>
      <c r="Q12" s="527"/>
      <c r="R12" s="527"/>
      <c r="S12" s="527"/>
      <c r="T12" s="527"/>
      <c r="U12" s="527"/>
      <c r="V12" s="527"/>
      <c r="W12" s="527"/>
      <c r="X12" s="527"/>
      <c r="Y12" s="527"/>
      <c r="Z12" s="527"/>
      <c r="AA12" s="73"/>
      <c r="AB12" s="74"/>
    </row>
    <row r="13" spans="1:28" s="76" customFormat="1" ht="37.5" customHeight="1" thickBot="1" x14ac:dyDescent="0.3">
      <c r="A13" s="528" t="s">
        <v>24</v>
      </c>
      <c r="B13" s="529"/>
      <c r="C13" s="530"/>
      <c r="D13" s="531"/>
      <c r="E13" s="531"/>
      <c r="F13" s="531"/>
      <c r="G13" s="531"/>
      <c r="H13" s="531"/>
      <c r="I13" s="531"/>
      <c r="J13" s="531"/>
      <c r="K13" s="531"/>
      <c r="L13" s="531"/>
      <c r="M13" s="531"/>
      <c r="N13" s="531"/>
      <c r="O13" s="531"/>
      <c r="P13" s="531"/>
      <c r="Q13" s="532"/>
      <c r="R13" s="54"/>
      <c r="S13" s="860" t="s">
        <v>165</v>
      </c>
      <c r="T13" s="860"/>
      <c r="U13" s="75"/>
      <c r="V13" s="859" t="s">
        <v>27</v>
      </c>
      <c r="W13" s="860"/>
      <c r="X13" s="860"/>
      <c r="Y13" s="860"/>
      <c r="Z13" s="54"/>
      <c r="AA13" s="514"/>
      <c r="AB13" s="515"/>
    </row>
    <row r="14" spans="1:28" ht="16.5" customHeight="1" thickBot="1" x14ac:dyDescent="0.3">
      <c r="A14" s="77"/>
      <c r="B14" s="78"/>
      <c r="C14" s="78"/>
      <c r="D14" s="78"/>
      <c r="E14" s="78"/>
      <c r="F14" s="78"/>
      <c r="G14" s="78"/>
      <c r="H14" s="78"/>
      <c r="I14" s="78"/>
      <c r="J14" s="78"/>
      <c r="K14" s="78"/>
      <c r="L14" s="78"/>
      <c r="M14" s="78"/>
      <c r="N14" s="78"/>
      <c r="O14" s="78"/>
      <c r="P14" s="78"/>
      <c r="Q14" s="78"/>
      <c r="R14" s="78"/>
      <c r="S14" s="78"/>
      <c r="T14" s="78"/>
      <c r="U14" s="78"/>
      <c r="V14" s="78"/>
      <c r="W14" s="78"/>
      <c r="X14" s="78"/>
      <c r="Y14" s="78"/>
      <c r="Z14" s="78"/>
      <c r="AA14" s="78"/>
      <c r="AB14" s="79"/>
    </row>
    <row r="15" spans="1:28" ht="24" customHeight="1" thickBot="1" x14ac:dyDescent="0.3">
      <c r="A15" s="464" t="s">
        <v>7</v>
      </c>
      <c r="B15" s="465"/>
      <c r="C15" s="876" t="s">
        <v>166</v>
      </c>
      <c r="D15" s="80"/>
      <c r="E15" s="80"/>
      <c r="F15" s="80"/>
      <c r="G15" s="80"/>
      <c r="H15" s="80"/>
      <c r="I15" s="80"/>
      <c r="J15" s="70"/>
      <c r="K15" s="81"/>
      <c r="L15" s="70"/>
      <c r="M15" s="60"/>
      <c r="N15" s="60"/>
      <c r="O15" s="60"/>
      <c r="P15" s="60"/>
      <c r="Q15" s="861" t="s">
        <v>28</v>
      </c>
      <c r="R15" s="862"/>
      <c r="S15" s="862"/>
      <c r="T15" s="862"/>
      <c r="U15" s="862"/>
      <c r="V15" s="862"/>
      <c r="W15" s="862"/>
      <c r="X15" s="862"/>
      <c r="Y15" s="862"/>
      <c r="Z15" s="862"/>
      <c r="AA15" s="862"/>
      <c r="AB15" s="863"/>
    </row>
    <row r="16" spans="1:28" ht="35.25" customHeight="1" thickBot="1" x14ac:dyDescent="0.3">
      <c r="A16" s="468"/>
      <c r="B16" s="469"/>
      <c r="C16" s="877"/>
      <c r="D16" s="80"/>
      <c r="E16" s="80"/>
      <c r="F16" s="80"/>
      <c r="G16" s="80"/>
      <c r="H16" s="80"/>
      <c r="I16" s="80"/>
      <c r="J16" s="70"/>
      <c r="K16" s="70"/>
      <c r="L16" s="70"/>
      <c r="M16" s="60"/>
      <c r="N16" s="60"/>
      <c r="O16" s="60"/>
      <c r="P16" s="60"/>
      <c r="Q16" s="899" t="s">
        <v>167</v>
      </c>
      <c r="R16" s="900"/>
      <c r="S16" s="900"/>
      <c r="T16" s="900"/>
      <c r="U16" s="900"/>
      <c r="V16" s="901"/>
      <c r="W16" s="902" t="s">
        <v>168</v>
      </c>
      <c r="X16" s="900"/>
      <c r="Y16" s="900"/>
      <c r="Z16" s="900"/>
      <c r="AA16" s="900"/>
      <c r="AB16" s="903"/>
    </row>
    <row r="17" spans="1:39" ht="27" customHeight="1" x14ac:dyDescent="0.25">
      <c r="A17" s="82"/>
      <c r="B17" s="60"/>
      <c r="C17" s="60"/>
      <c r="D17" s="80"/>
      <c r="E17" s="80"/>
      <c r="F17" s="80"/>
      <c r="G17" s="80"/>
      <c r="H17" s="80"/>
      <c r="I17" s="80"/>
      <c r="J17" s="80"/>
      <c r="K17" s="80"/>
      <c r="L17" s="80"/>
      <c r="M17" s="60"/>
      <c r="N17" s="60"/>
      <c r="O17" s="60"/>
      <c r="P17" s="60"/>
      <c r="Q17" s="905" t="s">
        <v>169</v>
      </c>
      <c r="R17" s="906"/>
      <c r="S17" s="842"/>
      <c r="T17" s="836" t="s">
        <v>170</v>
      </c>
      <c r="U17" s="837"/>
      <c r="V17" s="838"/>
      <c r="W17" s="841" t="s">
        <v>169</v>
      </c>
      <c r="X17" s="842"/>
      <c r="Y17" s="841" t="s">
        <v>171</v>
      </c>
      <c r="Z17" s="842"/>
      <c r="AA17" s="836" t="s">
        <v>172</v>
      </c>
      <c r="AB17" s="843"/>
      <c r="AC17" s="83"/>
      <c r="AD17" s="83"/>
    </row>
    <row r="18" spans="1:39" ht="27" customHeight="1" x14ac:dyDescent="0.25">
      <c r="A18" s="82"/>
      <c r="B18" s="60"/>
      <c r="C18" s="60"/>
      <c r="D18" s="80"/>
      <c r="E18" s="80"/>
      <c r="F18" s="80"/>
      <c r="G18" s="80"/>
      <c r="H18" s="80"/>
      <c r="I18" s="80"/>
      <c r="J18" s="80"/>
      <c r="K18" s="80"/>
      <c r="L18" s="80"/>
      <c r="M18" s="60"/>
      <c r="N18" s="60"/>
      <c r="O18" s="60"/>
      <c r="P18" s="60"/>
      <c r="Q18" s="163"/>
      <c r="R18" s="164"/>
      <c r="S18" s="165"/>
      <c r="T18" s="836"/>
      <c r="U18" s="837"/>
      <c r="V18" s="838"/>
      <c r="W18" s="142"/>
      <c r="X18" s="143"/>
      <c r="Y18" s="142"/>
      <c r="Z18" s="143"/>
      <c r="AA18" s="144"/>
      <c r="AB18" s="145"/>
      <c r="AC18" s="83"/>
      <c r="AD18" s="83"/>
    </row>
    <row r="19" spans="1:39" ht="18" customHeight="1" thickBot="1" x14ac:dyDescent="0.3">
      <c r="A19" s="59"/>
      <c r="B19" s="54"/>
      <c r="C19" s="80"/>
      <c r="D19" s="80"/>
      <c r="E19" s="80"/>
      <c r="F19" s="80"/>
      <c r="G19" s="84"/>
      <c r="H19" s="84"/>
      <c r="I19" s="84"/>
      <c r="J19" s="84"/>
      <c r="K19" s="84"/>
      <c r="L19" s="84"/>
      <c r="M19" s="80"/>
      <c r="N19" s="80"/>
      <c r="O19" s="80"/>
      <c r="P19" s="80"/>
      <c r="Q19" s="904"/>
      <c r="R19" s="855"/>
      <c r="S19" s="856"/>
      <c r="T19" s="854"/>
      <c r="U19" s="855"/>
      <c r="V19" s="856"/>
      <c r="W19" s="864"/>
      <c r="X19" s="865"/>
      <c r="Y19" s="839"/>
      <c r="Z19" s="840"/>
      <c r="AA19" s="907"/>
      <c r="AB19" s="908"/>
      <c r="AC19" s="3"/>
      <c r="AD19" s="3"/>
    </row>
    <row r="20" spans="1:39" ht="7.5" customHeight="1" thickBot="1" x14ac:dyDescent="0.3">
      <c r="A20" s="59"/>
      <c r="B20" s="54"/>
      <c r="C20" s="80"/>
      <c r="D20" s="80"/>
      <c r="E20" s="80"/>
      <c r="F20" s="80"/>
      <c r="G20" s="80"/>
      <c r="H20" s="80"/>
      <c r="I20" s="80"/>
      <c r="J20" s="80"/>
      <c r="K20" s="80"/>
      <c r="L20" s="80"/>
      <c r="M20" s="80"/>
      <c r="N20" s="80"/>
      <c r="O20" s="80"/>
      <c r="P20" s="80"/>
      <c r="Q20" s="80"/>
      <c r="R20" s="80"/>
      <c r="S20" s="80"/>
      <c r="T20" s="80"/>
      <c r="U20" s="80"/>
      <c r="V20" s="80"/>
      <c r="W20" s="80"/>
      <c r="X20" s="80"/>
      <c r="Y20" s="80"/>
      <c r="Z20" s="80"/>
      <c r="AA20" s="60"/>
      <c r="AB20" s="61"/>
    </row>
    <row r="21" spans="1:39" ht="17.25" customHeight="1" x14ac:dyDescent="0.25">
      <c r="A21" s="516" t="s">
        <v>53</v>
      </c>
      <c r="B21" s="517"/>
      <c r="C21" s="518"/>
      <c r="D21" s="518"/>
      <c r="E21" s="518"/>
      <c r="F21" s="518"/>
      <c r="G21" s="518"/>
      <c r="H21" s="518"/>
      <c r="I21" s="518"/>
      <c r="J21" s="518"/>
      <c r="K21" s="518"/>
      <c r="L21" s="518"/>
      <c r="M21" s="518"/>
      <c r="N21" s="518"/>
      <c r="O21" s="518"/>
      <c r="P21" s="518"/>
      <c r="Q21" s="518"/>
      <c r="R21" s="518"/>
      <c r="S21" s="518"/>
      <c r="T21" s="518"/>
      <c r="U21" s="518"/>
      <c r="V21" s="518"/>
      <c r="W21" s="518"/>
      <c r="X21" s="518"/>
      <c r="Y21" s="518"/>
      <c r="Z21" s="518"/>
      <c r="AA21" s="518"/>
      <c r="AB21" s="519"/>
    </row>
    <row r="22" spans="1:39" ht="15" customHeight="1" x14ac:dyDescent="0.25">
      <c r="A22" s="541" t="s">
        <v>54</v>
      </c>
      <c r="B22" s="543" t="s">
        <v>55</v>
      </c>
      <c r="C22" s="544"/>
      <c r="D22" s="521" t="s">
        <v>173</v>
      </c>
      <c r="E22" s="547"/>
      <c r="F22" s="547"/>
      <c r="G22" s="547"/>
      <c r="H22" s="547"/>
      <c r="I22" s="547"/>
      <c r="J22" s="547"/>
      <c r="K22" s="547"/>
      <c r="L22" s="547"/>
      <c r="M22" s="547"/>
      <c r="N22" s="547"/>
      <c r="O22" s="548"/>
      <c r="P22" s="549" t="s">
        <v>42</v>
      </c>
      <c r="Q22" s="549" t="s">
        <v>57</v>
      </c>
      <c r="R22" s="549"/>
      <c r="S22" s="549"/>
      <c r="T22" s="549"/>
      <c r="U22" s="549"/>
      <c r="V22" s="549"/>
      <c r="W22" s="549"/>
      <c r="X22" s="549"/>
      <c r="Y22" s="549"/>
      <c r="Z22" s="549"/>
      <c r="AA22" s="549"/>
      <c r="AB22" s="550"/>
    </row>
    <row r="23" spans="1:39" ht="27" customHeight="1" x14ac:dyDescent="0.25">
      <c r="A23" s="542"/>
      <c r="B23" s="545"/>
      <c r="C23" s="546"/>
      <c r="D23" s="88" t="s">
        <v>31</v>
      </c>
      <c r="E23" s="88" t="s">
        <v>32</v>
      </c>
      <c r="F23" s="88" t="s">
        <v>33</v>
      </c>
      <c r="G23" s="88" t="s">
        <v>34</v>
      </c>
      <c r="H23" s="88" t="s">
        <v>35</v>
      </c>
      <c r="I23" s="88" t="s">
        <v>8</v>
      </c>
      <c r="J23" s="88" t="s">
        <v>36</v>
      </c>
      <c r="K23" s="88" t="s">
        <v>37</v>
      </c>
      <c r="L23" s="88" t="s">
        <v>38</v>
      </c>
      <c r="M23" s="88" t="s">
        <v>39</v>
      </c>
      <c r="N23" s="88" t="s">
        <v>40</v>
      </c>
      <c r="O23" s="88" t="s">
        <v>41</v>
      </c>
      <c r="P23" s="548"/>
      <c r="Q23" s="549"/>
      <c r="R23" s="549"/>
      <c r="S23" s="549"/>
      <c r="T23" s="549"/>
      <c r="U23" s="549"/>
      <c r="V23" s="549"/>
      <c r="W23" s="549"/>
      <c r="X23" s="549"/>
      <c r="Y23" s="549"/>
      <c r="Z23" s="549"/>
      <c r="AA23" s="549"/>
      <c r="AB23" s="550"/>
    </row>
    <row r="24" spans="1:39" ht="42" customHeight="1" thickBot="1" x14ac:dyDescent="0.3">
      <c r="A24" s="85"/>
      <c r="B24" s="551"/>
      <c r="C24" s="552"/>
      <c r="D24" s="89"/>
      <c r="E24" s="89"/>
      <c r="F24" s="89"/>
      <c r="G24" s="89"/>
      <c r="H24" s="89"/>
      <c r="I24" s="89"/>
      <c r="J24" s="89"/>
      <c r="K24" s="89"/>
      <c r="L24" s="89"/>
      <c r="M24" s="89"/>
      <c r="N24" s="89"/>
      <c r="O24" s="89"/>
      <c r="P24" s="86">
        <f>SUM(D24:O24)</f>
        <v>0</v>
      </c>
      <c r="Q24" s="553" t="s">
        <v>174</v>
      </c>
      <c r="R24" s="553"/>
      <c r="S24" s="553"/>
      <c r="T24" s="553"/>
      <c r="U24" s="553"/>
      <c r="V24" s="553"/>
      <c r="W24" s="553"/>
      <c r="X24" s="553"/>
      <c r="Y24" s="553"/>
      <c r="Z24" s="553"/>
      <c r="AA24" s="553"/>
      <c r="AB24" s="554"/>
    </row>
    <row r="25" spans="1:39" ht="21.95" customHeight="1" x14ac:dyDescent="0.25">
      <c r="A25" s="473" t="s">
        <v>59</v>
      </c>
      <c r="B25" s="474"/>
      <c r="C25" s="474"/>
      <c r="D25" s="474"/>
      <c r="E25" s="474"/>
      <c r="F25" s="474"/>
      <c r="G25" s="474"/>
      <c r="H25" s="474"/>
      <c r="I25" s="474"/>
      <c r="J25" s="474"/>
      <c r="K25" s="474"/>
      <c r="L25" s="474"/>
      <c r="M25" s="474"/>
      <c r="N25" s="474"/>
      <c r="O25" s="474"/>
      <c r="P25" s="474"/>
      <c r="Q25" s="474"/>
      <c r="R25" s="474"/>
      <c r="S25" s="474"/>
      <c r="T25" s="474"/>
      <c r="U25" s="474"/>
      <c r="V25" s="474"/>
      <c r="W25" s="474"/>
      <c r="X25" s="474"/>
      <c r="Y25" s="474"/>
      <c r="Z25" s="474"/>
      <c r="AA25" s="474"/>
      <c r="AB25" s="475"/>
    </row>
    <row r="26" spans="1:39" ht="23.1" customHeight="1" x14ac:dyDescent="0.25">
      <c r="A26" s="520" t="s">
        <v>60</v>
      </c>
      <c r="B26" s="549" t="s">
        <v>61</v>
      </c>
      <c r="C26" s="549" t="s">
        <v>55</v>
      </c>
      <c r="D26" s="549" t="s">
        <v>62</v>
      </c>
      <c r="E26" s="549"/>
      <c r="F26" s="549"/>
      <c r="G26" s="549"/>
      <c r="H26" s="549"/>
      <c r="I26" s="549"/>
      <c r="J26" s="549"/>
      <c r="K26" s="549"/>
      <c r="L26" s="549"/>
      <c r="M26" s="549"/>
      <c r="N26" s="549"/>
      <c r="O26" s="549"/>
      <c r="P26" s="549"/>
      <c r="Q26" s="549" t="s">
        <v>63</v>
      </c>
      <c r="R26" s="549"/>
      <c r="S26" s="549"/>
      <c r="T26" s="549"/>
      <c r="U26" s="549"/>
      <c r="V26" s="549"/>
      <c r="W26" s="549"/>
      <c r="X26" s="549"/>
      <c r="Y26" s="549"/>
      <c r="Z26" s="549"/>
      <c r="AA26" s="549"/>
      <c r="AB26" s="550"/>
      <c r="AE26" s="87"/>
      <c r="AF26" s="87"/>
      <c r="AG26" s="87"/>
      <c r="AH26" s="87"/>
      <c r="AI26" s="87"/>
      <c r="AJ26" s="87"/>
      <c r="AK26" s="87"/>
      <c r="AL26" s="87"/>
      <c r="AM26" s="87"/>
    </row>
    <row r="27" spans="1:39" ht="23.1" customHeight="1" x14ac:dyDescent="0.25">
      <c r="A27" s="520"/>
      <c r="B27" s="549"/>
      <c r="C27" s="719"/>
      <c r="D27" s="88" t="s">
        <v>31</v>
      </c>
      <c r="E27" s="88" t="s">
        <v>32</v>
      </c>
      <c r="F27" s="88" t="s">
        <v>33</v>
      </c>
      <c r="G27" s="88" t="s">
        <v>34</v>
      </c>
      <c r="H27" s="88" t="s">
        <v>35</v>
      </c>
      <c r="I27" s="88" t="s">
        <v>8</v>
      </c>
      <c r="J27" s="88" t="s">
        <v>36</v>
      </c>
      <c r="K27" s="88" t="s">
        <v>37</v>
      </c>
      <c r="L27" s="88" t="s">
        <v>38</v>
      </c>
      <c r="M27" s="88" t="s">
        <v>39</v>
      </c>
      <c r="N27" s="88" t="s">
        <v>40</v>
      </c>
      <c r="O27" s="88" t="s">
        <v>41</v>
      </c>
      <c r="P27" s="88" t="s">
        <v>42</v>
      </c>
      <c r="Q27" s="545" t="s">
        <v>175</v>
      </c>
      <c r="R27" s="562"/>
      <c r="S27" s="562"/>
      <c r="T27" s="546"/>
      <c r="U27" s="545" t="s">
        <v>106</v>
      </c>
      <c r="V27" s="562"/>
      <c r="W27" s="562"/>
      <c r="X27" s="546"/>
      <c r="Y27" s="545" t="s">
        <v>67</v>
      </c>
      <c r="Z27" s="562"/>
      <c r="AA27" s="562"/>
      <c r="AB27" s="563"/>
      <c r="AE27" s="87"/>
      <c r="AF27" s="87"/>
      <c r="AG27" s="87"/>
      <c r="AH27" s="87"/>
      <c r="AI27" s="87"/>
      <c r="AJ27" s="87"/>
      <c r="AK27" s="87"/>
      <c r="AL27" s="87"/>
      <c r="AM27" s="87"/>
    </row>
    <row r="28" spans="1:39" ht="33" customHeight="1" x14ac:dyDescent="0.25">
      <c r="A28" s="827"/>
      <c r="B28" s="759"/>
      <c r="C28" s="90" t="s">
        <v>68</v>
      </c>
      <c r="D28" s="89"/>
      <c r="E28" s="89"/>
      <c r="F28" s="89"/>
      <c r="G28" s="89"/>
      <c r="H28" s="89"/>
      <c r="I28" s="89"/>
      <c r="J28" s="89"/>
      <c r="K28" s="89"/>
      <c r="L28" s="89"/>
      <c r="M28" s="89"/>
      <c r="N28" s="89"/>
      <c r="O28" s="89"/>
      <c r="P28" s="161">
        <f>SUM(D28:O28)</f>
        <v>0</v>
      </c>
      <c r="Q28" s="829" t="s">
        <v>176</v>
      </c>
      <c r="R28" s="830"/>
      <c r="S28" s="830"/>
      <c r="T28" s="831"/>
      <c r="U28" s="829" t="s">
        <v>177</v>
      </c>
      <c r="V28" s="830"/>
      <c r="W28" s="830"/>
      <c r="X28" s="831"/>
      <c r="Y28" s="829" t="s">
        <v>178</v>
      </c>
      <c r="Z28" s="830"/>
      <c r="AA28" s="830"/>
      <c r="AB28" s="897"/>
      <c r="AE28" s="87"/>
      <c r="AF28" s="87"/>
      <c r="AG28" s="87"/>
      <c r="AH28" s="87"/>
      <c r="AI28" s="87"/>
      <c r="AJ28" s="87"/>
      <c r="AK28" s="87"/>
      <c r="AL28" s="87"/>
      <c r="AM28" s="87"/>
    </row>
    <row r="29" spans="1:39" ht="33.950000000000003" customHeight="1" thickBot="1" x14ac:dyDescent="0.3">
      <c r="A29" s="828"/>
      <c r="B29" s="835"/>
      <c r="C29" s="91" t="s">
        <v>72</v>
      </c>
      <c r="D29" s="92"/>
      <c r="E29" s="92"/>
      <c r="F29" s="92"/>
      <c r="G29" s="93"/>
      <c r="H29" s="93"/>
      <c r="I29" s="93"/>
      <c r="J29" s="93"/>
      <c r="K29" s="93"/>
      <c r="L29" s="93"/>
      <c r="M29" s="93"/>
      <c r="N29" s="93"/>
      <c r="O29" s="93"/>
      <c r="P29" s="162">
        <f>SUM(D29:O29)</f>
        <v>0</v>
      </c>
      <c r="Q29" s="832"/>
      <c r="R29" s="833"/>
      <c r="S29" s="833"/>
      <c r="T29" s="834"/>
      <c r="U29" s="832"/>
      <c r="V29" s="833"/>
      <c r="W29" s="833"/>
      <c r="X29" s="834"/>
      <c r="Y29" s="832"/>
      <c r="Z29" s="833"/>
      <c r="AA29" s="833"/>
      <c r="AB29" s="898"/>
      <c r="AC29" s="49"/>
      <c r="AE29" s="87"/>
      <c r="AF29" s="87"/>
      <c r="AG29" s="87"/>
      <c r="AH29" s="87"/>
      <c r="AI29" s="87"/>
      <c r="AJ29" s="87"/>
      <c r="AK29" s="87"/>
      <c r="AL29" s="87"/>
      <c r="AM29" s="87"/>
    </row>
    <row r="30" spans="1:39" ht="26.1" customHeight="1" x14ac:dyDescent="0.25">
      <c r="A30" s="512" t="s">
        <v>73</v>
      </c>
      <c r="B30" s="822" t="s">
        <v>74</v>
      </c>
      <c r="C30" s="558" t="s">
        <v>75</v>
      </c>
      <c r="D30" s="558"/>
      <c r="E30" s="558"/>
      <c r="F30" s="558"/>
      <c r="G30" s="558"/>
      <c r="H30" s="558"/>
      <c r="I30" s="558"/>
      <c r="J30" s="558"/>
      <c r="K30" s="558"/>
      <c r="L30" s="558"/>
      <c r="M30" s="558"/>
      <c r="N30" s="558"/>
      <c r="O30" s="558"/>
      <c r="P30" s="558"/>
      <c r="Q30" s="513" t="s">
        <v>76</v>
      </c>
      <c r="R30" s="595"/>
      <c r="S30" s="595"/>
      <c r="T30" s="595"/>
      <c r="U30" s="595"/>
      <c r="V30" s="595"/>
      <c r="W30" s="595"/>
      <c r="X30" s="595"/>
      <c r="Y30" s="595"/>
      <c r="Z30" s="595"/>
      <c r="AA30" s="595"/>
      <c r="AB30" s="596"/>
      <c r="AE30" s="87"/>
      <c r="AF30" s="87"/>
      <c r="AG30" s="87"/>
      <c r="AH30" s="87"/>
      <c r="AI30" s="87"/>
      <c r="AJ30" s="87"/>
      <c r="AK30" s="87"/>
      <c r="AL30" s="87"/>
      <c r="AM30" s="87"/>
    </row>
    <row r="31" spans="1:39" ht="26.1" customHeight="1" x14ac:dyDescent="0.25">
      <c r="A31" s="520"/>
      <c r="B31" s="823"/>
      <c r="C31" s="88" t="s">
        <v>77</v>
      </c>
      <c r="D31" s="88" t="s">
        <v>78</v>
      </c>
      <c r="E31" s="88" t="s">
        <v>79</v>
      </c>
      <c r="F31" s="88" t="s">
        <v>80</v>
      </c>
      <c r="G31" s="88" t="s">
        <v>81</v>
      </c>
      <c r="H31" s="88" t="s">
        <v>82</v>
      </c>
      <c r="I31" s="88" t="s">
        <v>83</v>
      </c>
      <c r="J31" s="88" t="s">
        <v>84</v>
      </c>
      <c r="K31" s="88" t="s">
        <v>85</v>
      </c>
      <c r="L31" s="88" t="s">
        <v>86</v>
      </c>
      <c r="M31" s="88" t="s">
        <v>87</v>
      </c>
      <c r="N31" s="88" t="s">
        <v>88</v>
      </c>
      <c r="O31" s="88" t="s">
        <v>89</v>
      </c>
      <c r="P31" s="88" t="s">
        <v>90</v>
      </c>
      <c r="Q31" s="521" t="s">
        <v>91</v>
      </c>
      <c r="R31" s="547"/>
      <c r="S31" s="547"/>
      <c r="T31" s="547"/>
      <c r="U31" s="547"/>
      <c r="V31" s="547"/>
      <c r="W31" s="547"/>
      <c r="X31" s="547"/>
      <c r="Y31" s="547"/>
      <c r="Z31" s="547"/>
      <c r="AA31" s="547"/>
      <c r="AB31" s="866"/>
      <c r="AE31" s="94"/>
      <c r="AF31" s="94"/>
      <c r="AG31" s="94"/>
      <c r="AH31" s="94"/>
      <c r="AI31" s="94"/>
      <c r="AJ31" s="94"/>
      <c r="AK31" s="94"/>
      <c r="AL31" s="94"/>
      <c r="AM31" s="94"/>
    </row>
    <row r="32" spans="1:39" ht="28.5" customHeight="1" x14ac:dyDescent="0.25">
      <c r="A32" s="825"/>
      <c r="B32" s="820"/>
      <c r="C32" s="90" t="s">
        <v>68</v>
      </c>
      <c r="D32" s="95"/>
      <c r="E32" s="95"/>
      <c r="F32" s="95"/>
      <c r="G32" s="95"/>
      <c r="H32" s="95"/>
      <c r="I32" s="95"/>
      <c r="J32" s="95"/>
      <c r="K32" s="95"/>
      <c r="L32" s="95"/>
      <c r="M32" s="95"/>
      <c r="N32" s="95"/>
      <c r="O32" s="95"/>
      <c r="P32" s="96">
        <f t="shared" ref="P32:P39" si="0">SUM(D32:O32)</f>
        <v>0</v>
      </c>
      <c r="Q32" s="870" t="s">
        <v>179</v>
      </c>
      <c r="R32" s="871"/>
      <c r="S32" s="871"/>
      <c r="T32" s="871"/>
      <c r="U32" s="871"/>
      <c r="V32" s="871"/>
      <c r="W32" s="871"/>
      <c r="X32" s="871"/>
      <c r="Y32" s="871"/>
      <c r="Z32" s="871"/>
      <c r="AA32" s="871"/>
      <c r="AB32" s="872"/>
      <c r="AC32" s="97"/>
      <c r="AE32" s="98"/>
      <c r="AF32" s="98"/>
      <c r="AG32" s="98"/>
      <c r="AH32" s="98"/>
      <c r="AI32" s="98"/>
      <c r="AJ32" s="98"/>
      <c r="AK32" s="98"/>
      <c r="AL32" s="98"/>
      <c r="AM32" s="98"/>
    </row>
    <row r="33" spans="1:29" ht="28.5" customHeight="1" x14ac:dyDescent="0.25">
      <c r="A33" s="826"/>
      <c r="B33" s="821"/>
      <c r="C33" s="99" t="s">
        <v>72</v>
      </c>
      <c r="D33" s="100"/>
      <c r="E33" s="100"/>
      <c r="F33" s="100"/>
      <c r="G33" s="100"/>
      <c r="H33" s="100"/>
      <c r="I33" s="100"/>
      <c r="J33" s="100"/>
      <c r="K33" s="100"/>
      <c r="L33" s="100"/>
      <c r="M33" s="100"/>
      <c r="N33" s="100"/>
      <c r="O33" s="100"/>
      <c r="P33" s="101">
        <f t="shared" si="0"/>
        <v>0</v>
      </c>
      <c r="Q33" s="873"/>
      <c r="R33" s="874"/>
      <c r="S33" s="874"/>
      <c r="T33" s="874"/>
      <c r="U33" s="874"/>
      <c r="V33" s="874"/>
      <c r="W33" s="874"/>
      <c r="X33" s="874"/>
      <c r="Y33" s="874"/>
      <c r="Z33" s="874"/>
      <c r="AA33" s="874"/>
      <c r="AB33" s="875"/>
      <c r="AC33" s="97"/>
    </row>
    <row r="34" spans="1:29" ht="28.5" customHeight="1" x14ac:dyDescent="0.25">
      <c r="A34" s="826"/>
      <c r="B34" s="824"/>
      <c r="C34" s="102" t="s">
        <v>68</v>
      </c>
      <c r="D34" s="103"/>
      <c r="E34" s="103"/>
      <c r="F34" s="103"/>
      <c r="G34" s="103"/>
      <c r="H34" s="103"/>
      <c r="I34" s="103"/>
      <c r="J34" s="103"/>
      <c r="K34" s="103"/>
      <c r="L34" s="103"/>
      <c r="M34" s="103"/>
      <c r="N34" s="103"/>
      <c r="O34" s="103"/>
      <c r="P34" s="101">
        <f t="shared" si="0"/>
        <v>0</v>
      </c>
      <c r="Q34" s="845"/>
      <c r="R34" s="846"/>
      <c r="S34" s="846"/>
      <c r="T34" s="846"/>
      <c r="U34" s="846"/>
      <c r="V34" s="846"/>
      <c r="W34" s="846"/>
      <c r="X34" s="846"/>
      <c r="Y34" s="846"/>
      <c r="Z34" s="846"/>
      <c r="AA34" s="846"/>
      <c r="AB34" s="847"/>
      <c r="AC34" s="97"/>
    </row>
    <row r="35" spans="1:29" ht="28.5" customHeight="1" x14ac:dyDescent="0.25">
      <c r="A35" s="826"/>
      <c r="B35" s="821"/>
      <c r="C35" s="99" t="s">
        <v>72</v>
      </c>
      <c r="D35" s="100"/>
      <c r="E35" s="100"/>
      <c r="F35" s="100"/>
      <c r="G35" s="100"/>
      <c r="H35" s="100"/>
      <c r="I35" s="100"/>
      <c r="J35" s="100"/>
      <c r="K35" s="100"/>
      <c r="L35" s="104"/>
      <c r="M35" s="104"/>
      <c r="N35" s="104"/>
      <c r="O35" s="104"/>
      <c r="P35" s="101">
        <f t="shared" si="0"/>
        <v>0</v>
      </c>
      <c r="Q35" s="851"/>
      <c r="R35" s="852"/>
      <c r="S35" s="852"/>
      <c r="T35" s="852"/>
      <c r="U35" s="852"/>
      <c r="V35" s="852"/>
      <c r="W35" s="852"/>
      <c r="X35" s="852"/>
      <c r="Y35" s="852"/>
      <c r="Z35" s="852"/>
      <c r="AA35" s="852"/>
      <c r="AB35" s="853"/>
      <c r="AC35" s="97"/>
    </row>
    <row r="36" spans="1:29" ht="28.5" customHeight="1" x14ac:dyDescent="0.25">
      <c r="A36" s="818"/>
      <c r="B36" s="824"/>
      <c r="C36" s="102" t="s">
        <v>68</v>
      </c>
      <c r="D36" s="103"/>
      <c r="E36" s="103"/>
      <c r="F36" s="103"/>
      <c r="G36" s="103"/>
      <c r="H36" s="103"/>
      <c r="I36" s="103"/>
      <c r="J36" s="103"/>
      <c r="K36" s="103"/>
      <c r="L36" s="103"/>
      <c r="M36" s="103"/>
      <c r="N36" s="103"/>
      <c r="O36" s="103"/>
      <c r="P36" s="101">
        <f t="shared" si="0"/>
        <v>0</v>
      </c>
      <c r="Q36" s="845"/>
      <c r="R36" s="846"/>
      <c r="S36" s="846"/>
      <c r="T36" s="846"/>
      <c r="U36" s="846"/>
      <c r="V36" s="846"/>
      <c r="W36" s="846"/>
      <c r="X36" s="846"/>
      <c r="Y36" s="846"/>
      <c r="Z36" s="846"/>
      <c r="AA36" s="846"/>
      <c r="AB36" s="847"/>
      <c r="AC36" s="97"/>
    </row>
    <row r="37" spans="1:29" ht="28.5" customHeight="1" x14ac:dyDescent="0.25">
      <c r="A37" s="819"/>
      <c r="B37" s="821"/>
      <c r="C37" s="99" t="s">
        <v>72</v>
      </c>
      <c r="D37" s="100"/>
      <c r="E37" s="100"/>
      <c r="F37" s="100"/>
      <c r="G37" s="100"/>
      <c r="H37" s="100"/>
      <c r="I37" s="100"/>
      <c r="J37" s="100"/>
      <c r="K37" s="100"/>
      <c r="L37" s="104"/>
      <c r="M37" s="104"/>
      <c r="N37" s="104"/>
      <c r="O37" s="104"/>
      <c r="P37" s="101">
        <f t="shared" si="0"/>
        <v>0</v>
      </c>
      <c r="Q37" s="851"/>
      <c r="R37" s="852"/>
      <c r="S37" s="852"/>
      <c r="T37" s="852"/>
      <c r="U37" s="852"/>
      <c r="V37" s="852"/>
      <c r="W37" s="852"/>
      <c r="X37" s="852"/>
      <c r="Y37" s="852"/>
      <c r="Z37" s="852"/>
      <c r="AA37" s="852"/>
      <c r="AB37" s="853"/>
      <c r="AC37" s="97"/>
    </row>
    <row r="38" spans="1:29" ht="28.5" customHeight="1" x14ac:dyDescent="0.25">
      <c r="A38" s="857"/>
      <c r="B38" s="824"/>
      <c r="C38" s="102" t="s">
        <v>68</v>
      </c>
      <c r="D38" s="103"/>
      <c r="E38" s="103"/>
      <c r="F38" s="103"/>
      <c r="G38" s="103"/>
      <c r="H38" s="103"/>
      <c r="I38" s="103"/>
      <c r="J38" s="103"/>
      <c r="K38" s="103"/>
      <c r="L38" s="103"/>
      <c r="M38" s="103"/>
      <c r="N38" s="103"/>
      <c r="O38" s="103"/>
      <c r="P38" s="101">
        <f t="shared" si="0"/>
        <v>0</v>
      </c>
      <c r="Q38" s="845"/>
      <c r="R38" s="846"/>
      <c r="S38" s="846"/>
      <c r="T38" s="846"/>
      <c r="U38" s="846"/>
      <c r="V38" s="846"/>
      <c r="W38" s="846"/>
      <c r="X38" s="846"/>
      <c r="Y38" s="846"/>
      <c r="Z38" s="846"/>
      <c r="AA38" s="846"/>
      <c r="AB38" s="847"/>
      <c r="AC38" s="97"/>
    </row>
    <row r="39" spans="1:29" ht="28.5" customHeight="1" thickBot="1" x14ac:dyDescent="0.3">
      <c r="A39" s="858"/>
      <c r="B39" s="844"/>
      <c r="C39" s="91" t="s">
        <v>72</v>
      </c>
      <c r="D39" s="105"/>
      <c r="E39" s="105"/>
      <c r="F39" s="105"/>
      <c r="G39" s="105"/>
      <c r="H39" s="105"/>
      <c r="I39" s="105"/>
      <c r="J39" s="105"/>
      <c r="K39" s="105"/>
      <c r="L39" s="106"/>
      <c r="M39" s="106"/>
      <c r="N39" s="106"/>
      <c r="O39" s="106"/>
      <c r="P39" s="107">
        <f t="shared" si="0"/>
        <v>0</v>
      </c>
      <c r="Q39" s="848"/>
      <c r="R39" s="849"/>
      <c r="S39" s="849"/>
      <c r="T39" s="849"/>
      <c r="U39" s="849"/>
      <c r="V39" s="849"/>
      <c r="W39" s="849"/>
      <c r="X39" s="849"/>
      <c r="Y39" s="849"/>
      <c r="Z39" s="849"/>
      <c r="AA39" s="849"/>
      <c r="AB39" s="850"/>
      <c r="AC39" s="97"/>
    </row>
    <row r="40" spans="1:29" x14ac:dyDescent="0.25">
      <c r="A40" s="50" t="s">
        <v>95</v>
      </c>
    </row>
  </sheetData>
  <mergeCells count="86">
    <mergeCell ref="A13:B13"/>
    <mergeCell ref="C11:K11"/>
    <mergeCell ref="S13:T13"/>
    <mergeCell ref="Y11:AB11"/>
    <mergeCell ref="U28:X29"/>
    <mergeCell ref="Y28:AB29"/>
    <mergeCell ref="T18:V18"/>
    <mergeCell ref="D22:O22"/>
    <mergeCell ref="Q16:V16"/>
    <mergeCell ref="M11:Q11"/>
    <mergeCell ref="C12:Z12"/>
    <mergeCell ref="W16:AB16"/>
    <mergeCell ref="W17:X17"/>
    <mergeCell ref="Q19:S19"/>
    <mergeCell ref="Q17:S17"/>
    <mergeCell ref="AA19:AB19"/>
    <mergeCell ref="Z1:AB1"/>
    <mergeCell ref="AA8:AB8"/>
    <mergeCell ref="AA9:AB9"/>
    <mergeCell ref="W11:X11"/>
    <mergeCell ref="B1:Y1"/>
    <mergeCell ref="AA7:AB7"/>
    <mergeCell ref="Y9:Z9"/>
    <mergeCell ref="Z3:AB3"/>
    <mergeCell ref="Y8:Z8"/>
    <mergeCell ref="Y7:Z7"/>
    <mergeCell ref="U7:V9"/>
    <mergeCell ref="W7:X9"/>
    <mergeCell ref="Q34:AB35"/>
    <mergeCell ref="A21:AB21"/>
    <mergeCell ref="P22:P23"/>
    <mergeCell ref="C30:P30"/>
    <mergeCell ref="B2:Y2"/>
    <mergeCell ref="B3:Y4"/>
    <mergeCell ref="Q32:AB33"/>
    <mergeCell ref="Q30:AB30"/>
    <mergeCell ref="C15:C16"/>
    <mergeCell ref="A1:A4"/>
    <mergeCell ref="Z2:AB2"/>
    <mergeCell ref="Z4:AB4"/>
    <mergeCell ref="R7:T9"/>
    <mergeCell ref="A15:B16"/>
    <mergeCell ref="A7:B9"/>
    <mergeCell ref="R11:V11"/>
    <mergeCell ref="B38:B39"/>
    <mergeCell ref="C13:Q13"/>
    <mergeCell ref="Q22:AB23"/>
    <mergeCell ref="C7:K9"/>
    <mergeCell ref="Q38:AB39"/>
    <mergeCell ref="U27:X27"/>
    <mergeCell ref="Q36:AB37"/>
    <mergeCell ref="T19:V19"/>
    <mergeCell ref="A11:B11"/>
    <mergeCell ref="A38:A39"/>
    <mergeCell ref="V13:Y13"/>
    <mergeCell ref="Q15:AB15"/>
    <mergeCell ref="AA13:AB13"/>
    <mergeCell ref="W19:X19"/>
    <mergeCell ref="Y27:AB27"/>
    <mergeCell ref="Q31:AB31"/>
    <mergeCell ref="T17:V17"/>
    <mergeCell ref="Y19:Z19"/>
    <mergeCell ref="Y17:Z17"/>
    <mergeCell ref="AA17:AB17"/>
    <mergeCell ref="B22:C23"/>
    <mergeCell ref="A26:A27"/>
    <mergeCell ref="C26:C27"/>
    <mergeCell ref="A22:A23"/>
    <mergeCell ref="A28:A29"/>
    <mergeCell ref="A25:AB25"/>
    <mergeCell ref="D26:P26"/>
    <mergeCell ref="Q24:AB24"/>
    <mergeCell ref="B26:B27"/>
    <mergeCell ref="Q28:T29"/>
    <mergeCell ref="Q26:AB26"/>
    <mergeCell ref="Q27:T27"/>
    <mergeCell ref="B28:B29"/>
    <mergeCell ref="B24:C24"/>
    <mergeCell ref="A36:A37"/>
    <mergeCell ref="B32:B33"/>
    <mergeCell ref="B30:B31"/>
    <mergeCell ref="B34:B35"/>
    <mergeCell ref="B36:B37"/>
    <mergeCell ref="A32:A33"/>
    <mergeCell ref="A30:A31"/>
    <mergeCell ref="A34:A35"/>
  </mergeCells>
  <dataValidations count="2">
    <dataValidation type="textLength" operator="lessThanOrEqual" allowBlank="1" showInputMessage="1" showErrorMessage="1" errorTitle="Máximo 2.000 caracteres" error="Máximo 2.000 caracteres" promptTitle="2.000 caracteres" sqref="Q24:AB24" xr:uid="{00000000-0002-0000-0700-000000000000}">
      <formula1>2000</formula1>
    </dataValidation>
    <dataValidation type="textLength" operator="lessThanOrEqual" allowBlank="1" showInputMessage="1" showErrorMessage="1" errorTitle="Máximo 2.000 caracteres" error="Máximo 2.000 caracteres" sqref="Q32:AB39 Q28 U28 Y28" xr:uid="{00000000-0002-0000-0700-000001000000}">
      <formula1>2000</formula1>
    </dataValidation>
  </dataValidations>
  <pageMargins left="0" right="0" top="0" bottom="0" header="0" footer="0"/>
  <pageSetup paperSize="41" scale="48" fitToHeight="0" orientation="landscape"/>
  <customProperties>
    <customPr name="_pios_id" r:id="rId1"/>
  </customProperties>
  <drawing r:id="rId2"/>
  <legacyDrawing r:id="rId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7" tint="0.39997558519241921"/>
    <pageSetUpPr fitToPage="1"/>
  </sheetPr>
  <dimension ref="A1:BC41"/>
  <sheetViews>
    <sheetView showGridLines="0" topLeftCell="AQ17" zoomScale="60" zoomScaleNormal="60" workbookViewId="0">
      <selection activeCell="AV18" sqref="AV18"/>
    </sheetView>
  </sheetViews>
  <sheetFormatPr baseColWidth="10" defaultColWidth="10.85546875" defaultRowHeight="15" x14ac:dyDescent="0.25"/>
  <cols>
    <col min="1" max="1" width="10.140625" style="108" customWidth="1"/>
    <col min="2" max="2" width="10" style="108" customWidth="1"/>
    <col min="3" max="3" width="17.28515625" style="108" customWidth="1"/>
    <col min="4" max="4" width="8.28515625" style="108" customWidth="1"/>
    <col min="5" max="5" width="10.140625" style="108" customWidth="1"/>
    <col min="6" max="6" width="8.28515625" style="108" customWidth="1"/>
    <col min="7" max="8" width="14.7109375" style="108" customWidth="1"/>
    <col min="9" max="10" width="29.28515625" style="108" customWidth="1"/>
    <col min="11" max="11" width="16.85546875" style="108" customWidth="1"/>
    <col min="12" max="13" width="15.28515625" style="108" customWidth="1"/>
    <col min="14" max="14" width="21.140625" style="108" customWidth="1"/>
    <col min="15" max="19" width="8.7109375" style="108" customWidth="1"/>
    <col min="20" max="20" width="22.28515625" style="108" customWidth="1"/>
    <col min="21" max="21" width="17" style="108" customWidth="1"/>
    <col min="22" max="45" width="7.42578125" style="108" customWidth="1"/>
    <col min="46" max="46" width="17.140625" style="108" customWidth="1"/>
    <col min="47" max="47" width="15.85546875" style="195" customWidth="1"/>
    <col min="48" max="48" width="79.42578125" style="108" customWidth="1"/>
    <col min="49" max="49" width="114.85546875" style="108" customWidth="1"/>
    <col min="50" max="50" width="61.42578125" style="108" customWidth="1"/>
    <col min="51" max="51" width="24.42578125" style="108" customWidth="1"/>
    <col min="52" max="16384" width="10.85546875" style="108"/>
  </cols>
  <sheetData>
    <row r="1" spans="1:55" ht="15.95" customHeight="1" x14ac:dyDescent="0.25">
      <c r="A1" s="971" t="s">
        <v>0</v>
      </c>
      <c r="B1" s="972"/>
      <c r="C1" s="972"/>
      <c r="D1" s="972"/>
      <c r="E1" s="972"/>
      <c r="F1" s="972"/>
      <c r="G1" s="972"/>
      <c r="H1" s="972"/>
      <c r="I1" s="972"/>
      <c r="J1" s="972"/>
      <c r="K1" s="972"/>
      <c r="L1" s="972"/>
      <c r="M1" s="972"/>
      <c r="N1" s="972"/>
      <c r="O1" s="972"/>
      <c r="P1" s="972"/>
      <c r="Q1" s="972"/>
      <c r="R1" s="972"/>
      <c r="S1" s="972"/>
      <c r="T1" s="972"/>
      <c r="U1" s="972"/>
      <c r="V1" s="972"/>
      <c r="W1" s="972"/>
      <c r="X1" s="972"/>
      <c r="Y1" s="972"/>
      <c r="Z1" s="972"/>
      <c r="AA1" s="972"/>
      <c r="AB1" s="972"/>
      <c r="AC1" s="972"/>
      <c r="AD1" s="972"/>
      <c r="AE1" s="972"/>
      <c r="AF1" s="972"/>
      <c r="AG1" s="972"/>
      <c r="AH1" s="972"/>
      <c r="AI1" s="972"/>
      <c r="AJ1" s="972"/>
      <c r="AK1" s="972"/>
      <c r="AL1" s="972"/>
      <c r="AM1" s="972"/>
      <c r="AN1" s="972"/>
      <c r="AO1" s="972"/>
      <c r="AP1" s="972"/>
      <c r="AQ1" s="972"/>
      <c r="AR1" s="972"/>
      <c r="AS1" s="972"/>
      <c r="AT1" s="972"/>
      <c r="AU1" s="972"/>
      <c r="AV1" s="972"/>
      <c r="AW1" s="973"/>
      <c r="AX1" s="890" t="s">
        <v>1</v>
      </c>
      <c r="AY1" s="891"/>
    </row>
    <row r="2" spans="1:55" ht="15.95" customHeight="1" x14ac:dyDescent="0.25">
      <c r="A2" s="974" t="s">
        <v>97</v>
      </c>
      <c r="B2" s="975"/>
      <c r="C2" s="975"/>
      <c r="D2" s="975"/>
      <c r="E2" s="975"/>
      <c r="F2" s="975"/>
      <c r="G2" s="975"/>
      <c r="H2" s="975"/>
      <c r="I2" s="975"/>
      <c r="J2" s="975"/>
      <c r="K2" s="975"/>
      <c r="L2" s="975"/>
      <c r="M2" s="975"/>
      <c r="N2" s="975"/>
      <c r="O2" s="975"/>
      <c r="P2" s="975"/>
      <c r="Q2" s="975"/>
      <c r="R2" s="975"/>
      <c r="S2" s="975"/>
      <c r="T2" s="975"/>
      <c r="U2" s="975"/>
      <c r="V2" s="975"/>
      <c r="W2" s="975"/>
      <c r="X2" s="975"/>
      <c r="Y2" s="975"/>
      <c r="Z2" s="975"/>
      <c r="AA2" s="975"/>
      <c r="AB2" s="975"/>
      <c r="AC2" s="975"/>
      <c r="AD2" s="975"/>
      <c r="AE2" s="975"/>
      <c r="AF2" s="975"/>
      <c r="AG2" s="975"/>
      <c r="AH2" s="975"/>
      <c r="AI2" s="975"/>
      <c r="AJ2" s="975"/>
      <c r="AK2" s="975"/>
      <c r="AL2" s="975"/>
      <c r="AM2" s="975"/>
      <c r="AN2" s="975"/>
      <c r="AO2" s="975"/>
      <c r="AP2" s="975"/>
      <c r="AQ2" s="975"/>
      <c r="AR2" s="975"/>
      <c r="AS2" s="975"/>
      <c r="AT2" s="975"/>
      <c r="AU2" s="975"/>
      <c r="AV2" s="975"/>
      <c r="AW2" s="976"/>
      <c r="AX2" s="968" t="s">
        <v>3</v>
      </c>
      <c r="AY2" s="969"/>
    </row>
    <row r="3" spans="1:55" ht="15" customHeight="1" x14ac:dyDescent="0.25">
      <c r="A3" s="977" t="s">
        <v>180</v>
      </c>
      <c r="B3" s="978"/>
      <c r="C3" s="978"/>
      <c r="D3" s="978"/>
      <c r="E3" s="978"/>
      <c r="F3" s="978"/>
      <c r="G3" s="978"/>
      <c r="H3" s="978"/>
      <c r="I3" s="978"/>
      <c r="J3" s="978"/>
      <c r="K3" s="978"/>
      <c r="L3" s="978"/>
      <c r="M3" s="978"/>
      <c r="N3" s="978"/>
      <c r="O3" s="978"/>
      <c r="P3" s="978"/>
      <c r="Q3" s="978"/>
      <c r="R3" s="978"/>
      <c r="S3" s="978"/>
      <c r="T3" s="978"/>
      <c r="U3" s="978"/>
      <c r="V3" s="978"/>
      <c r="W3" s="978"/>
      <c r="X3" s="978"/>
      <c r="Y3" s="978"/>
      <c r="Z3" s="978"/>
      <c r="AA3" s="978"/>
      <c r="AB3" s="978"/>
      <c r="AC3" s="978"/>
      <c r="AD3" s="978"/>
      <c r="AE3" s="978"/>
      <c r="AF3" s="978"/>
      <c r="AG3" s="978"/>
      <c r="AH3" s="978"/>
      <c r="AI3" s="978"/>
      <c r="AJ3" s="978"/>
      <c r="AK3" s="978"/>
      <c r="AL3" s="978"/>
      <c r="AM3" s="978"/>
      <c r="AN3" s="978"/>
      <c r="AO3" s="978"/>
      <c r="AP3" s="978"/>
      <c r="AQ3" s="978"/>
      <c r="AR3" s="978"/>
      <c r="AS3" s="978"/>
      <c r="AT3" s="978"/>
      <c r="AU3" s="978"/>
      <c r="AV3" s="978"/>
      <c r="AW3" s="979"/>
      <c r="AX3" s="968" t="s">
        <v>5</v>
      </c>
      <c r="AY3" s="969"/>
    </row>
    <row r="4" spans="1:55" ht="15.95" customHeight="1" x14ac:dyDescent="0.25">
      <c r="A4" s="971"/>
      <c r="B4" s="972"/>
      <c r="C4" s="972"/>
      <c r="D4" s="972"/>
      <c r="E4" s="972"/>
      <c r="F4" s="972"/>
      <c r="G4" s="972"/>
      <c r="H4" s="972"/>
      <c r="I4" s="972"/>
      <c r="J4" s="972"/>
      <c r="K4" s="972"/>
      <c r="L4" s="972"/>
      <c r="M4" s="972"/>
      <c r="N4" s="972"/>
      <c r="O4" s="972"/>
      <c r="P4" s="972"/>
      <c r="Q4" s="972"/>
      <c r="R4" s="972"/>
      <c r="S4" s="972"/>
      <c r="T4" s="972"/>
      <c r="U4" s="972"/>
      <c r="V4" s="972"/>
      <c r="W4" s="972"/>
      <c r="X4" s="972"/>
      <c r="Y4" s="972"/>
      <c r="Z4" s="972"/>
      <c r="AA4" s="972"/>
      <c r="AB4" s="972"/>
      <c r="AC4" s="972"/>
      <c r="AD4" s="972"/>
      <c r="AE4" s="972"/>
      <c r="AF4" s="972"/>
      <c r="AG4" s="972"/>
      <c r="AH4" s="972"/>
      <c r="AI4" s="972"/>
      <c r="AJ4" s="972"/>
      <c r="AK4" s="972"/>
      <c r="AL4" s="972"/>
      <c r="AM4" s="972"/>
      <c r="AN4" s="972"/>
      <c r="AO4" s="972"/>
      <c r="AP4" s="972"/>
      <c r="AQ4" s="972"/>
      <c r="AR4" s="972"/>
      <c r="AS4" s="972"/>
      <c r="AT4" s="972"/>
      <c r="AU4" s="972"/>
      <c r="AV4" s="972"/>
      <c r="AW4" s="973"/>
      <c r="AX4" s="970" t="s">
        <v>181</v>
      </c>
      <c r="AY4" s="970"/>
    </row>
    <row r="5" spans="1:55" ht="15" customHeight="1" x14ac:dyDescent="0.25">
      <c r="A5" s="937" t="s">
        <v>182</v>
      </c>
      <c r="B5" s="938"/>
      <c r="C5" s="938"/>
      <c r="D5" s="938"/>
      <c r="E5" s="938"/>
      <c r="F5" s="938"/>
      <c r="G5" s="938"/>
      <c r="H5" s="938"/>
      <c r="I5" s="938"/>
      <c r="J5" s="938"/>
      <c r="K5" s="938"/>
      <c r="L5" s="938"/>
      <c r="M5" s="938"/>
      <c r="N5" s="938"/>
      <c r="O5" s="938"/>
      <c r="P5" s="938"/>
      <c r="Q5" s="938"/>
      <c r="R5" s="938"/>
      <c r="S5" s="938"/>
      <c r="T5" s="938"/>
      <c r="U5" s="938"/>
      <c r="V5" s="938"/>
      <c r="W5" s="938"/>
      <c r="X5" s="938"/>
      <c r="Y5" s="938"/>
      <c r="Z5" s="938"/>
      <c r="AA5" s="938"/>
      <c r="AB5" s="938"/>
      <c r="AC5" s="938"/>
      <c r="AD5" s="938"/>
      <c r="AE5" s="938"/>
      <c r="AF5" s="938"/>
      <c r="AG5" s="939"/>
      <c r="AH5" s="950" t="s">
        <v>13</v>
      </c>
      <c r="AI5" s="956"/>
      <c r="AJ5" s="956"/>
      <c r="AK5" s="956"/>
      <c r="AL5" s="956"/>
      <c r="AM5" s="956"/>
      <c r="AN5" s="956"/>
      <c r="AO5" s="956"/>
      <c r="AP5" s="956"/>
      <c r="AQ5" s="956"/>
      <c r="AR5" s="956"/>
      <c r="AS5" s="956"/>
      <c r="AT5" s="956"/>
      <c r="AU5" s="951"/>
      <c r="AV5" s="943" t="s">
        <v>183</v>
      </c>
      <c r="AW5" s="943" t="s">
        <v>184</v>
      </c>
      <c r="AX5" s="943" t="s">
        <v>185</v>
      </c>
      <c r="AY5" s="943" t="s">
        <v>186</v>
      </c>
    </row>
    <row r="6" spans="1:55" ht="15" customHeight="1" x14ac:dyDescent="0.25">
      <c r="A6" s="959" t="s">
        <v>9</v>
      </c>
      <c r="B6" s="959"/>
      <c r="C6" s="959"/>
      <c r="D6" s="960">
        <v>45113</v>
      </c>
      <c r="E6" s="961"/>
      <c r="F6" s="950" t="s">
        <v>10</v>
      </c>
      <c r="G6" s="951"/>
      <c r="H6" s="946" t="s">
        <v>98</v>
      </c>
      <c r="I6" s="946"/>
      <c r="J6" s="279"/>
      <c r="K6" s="950"/>
      <c r="L6" s="956"/>
      <c r="M6" s="956"/>
      <c r="N6" s="956"/>
      <c r="O6" s="956"/>
      <c r="P6" s="956"/>
      <c r="Q6" s="956"/>
      <c r="R6" s="956"/>
      <c r="S6" s="956"/>
      <c r="T6" s="956"/>
      <c r="U6" s="956"/>
      <c r="V6" s="109"/>
      <c r="W6" s="109"/>
      <c r="X6" s="109"/>
      <c r="Y6" s="109"/>
      <c r="Z6" s="109"/>
      <c r="AA6" s="109"/>
      <c r="AB6" s="109"/>
      <c r="AC6" s="109"/>
      <c r="AD6" s="109"/>
      <c r="AE6" s="109"/>
      <c r="AF6" s="109"/>
      <c r="AG6" s="110"/>
      <c r="AH6" s="952"/>
      <c r="AI6" s="957"/>
      <c r="AJ6" s="957"/>
      <c r="AK6" s="957"/>
      <c r="AL6" s="957"/>
      <c r="AM6" s="957"/>
      <c r="AN6" s="957"/>
      <c r="AO6" s="957"/>
      <c r="AP6" s="957"/>
      <c r="AQ6" s="957"/>
      <c r="AR6" s="957"/>
      <c r="AS6" s="957"/>
      <c r="AT6" s="957"/>
      <c r="AU6" s="953"/>
      <c r="AV6" s="945"/>
      <c r="AW6" s="945"/>
      <c r="AX6" s="945"/>
      <c r="AY6" s="945"/>
    </row>
    <row r="7" spans="1:55" ht="15" customHeight="1" x14ac:dyDescent="0.25">
      <c r="A7" s="959"/>
      <c r="B7" s="959"/>
      <c r="C7" s="959"/>
      <c r="D7" s="961"/>
      <c r="E7" s="961"/>
      <c r="F7" s="952"/>
      <c r="G7" s="953"/>
      <c r="H7" s="946" t="s">
        <v>99</v>
      </c>
      <c r="I7" s="946"/>
      <c r="J7" s="279"/>
      <c r="K7" s="952"/>
      <c r="L7" s="957"/>
      <c r="M7" s="957"/>
      <c r="N7" s="957"/>
      <c r="O7" s="957"/>
      <c r="P7" s="957"/>
      <c r="Q7" s="957"/>
      <c r="R7" s="957"/>
      <c r="S7" s="957"/>
      <c r="T7" s="957"/>
      <c r="U7" s="957"/>
      <c r="V7" s="111"/>
      <c r="W7" s="111"/>
      <c r="X7" s="111"/>
      <c r="Y7" s="111"/>
      <c r="Z7" s="111"/>
      <c r="AA7" s="111"/>
      <c r="AB7" s="111"/>
      <c r="AC7" s="111"/>
      <c r="AD7" s="111"/>
      <c r="AE7" s="111"/>
      <c r="AF7" s="111"/>
      <c r="AG7" s="112"/>
      <c r="AH7" s="952"/>
      <c r="AI7" s="957"/>
      <c r="AJ7" s="957"/>
      <c r="AK7" s="957"/>
      <c r="AL7" s="957"/>
      <c r="AM7" s="957"/>
      <c r="AN7" s="957"/>
      <c r="AO7" s="957"/>
      <c r="AP7" s="957"/>
      <c r="AQ7" s="957"/>
      <c r="AR7" s="957"/>
      <c r="AS7" s="957"/>
      <c r="AT7" s="957"/>
      <c r="AU7" s="953"/>
      <c r="AV7" s="945"/>
      <c r="AW7" s="945"/>
      <c r="AX7" s="945"/>
      <c r="AY7" s="945"/>
    </row>
    <row r="8" spans="1:55" ht="15" customHeight="1" x14ac:dyDescent="0.25">
      <c r="A8" s="959"/>
      <c r="B8" s="959"/>
      <c r="C8" s="959"/>
      <c r="D8" s="961"/>
      <c r="E8" s="961"/>
      <c r="F8" s="954"/>
      <c r="G8" s="955"/>
      <c r="H8" s="946" t="s">
        <v>13</v>
      </c>
      <c r="I8" s="946"/>
      <c r="J8" s="279" t="s">
        <v>14</v>
      </c>
      <c r="K8" s="954"/>
      <c r="L8" s="958"/>
      <c r="M8" s="958"/>
      <c r="N8" s="958"/>
      <c r="O8" s="958"/>
      <c r="P8" s="958"/>
      <c r="Q8" s="958"/>
      <c r="R8" s="958"/>
      <c r="S8" s="958"/>
      <c r="T8" s="958"/>
      <c r="U8" s="958"/>
      <c r="V8" s="113"/>
      <c r="W8" s="113"/>
      <c r="X8" s="113"/>
      <c r="Y8" s="113"/>
      <c r="Z8" s="113"/>
      <c r="AA8" s="113"/>
      <c r="AB8" s="113"/>
      <c r="AC8" s="113"/>
      <c r="AD8" s="113"/>
      <c r="AE8" s="113"/>
      <c r="AF8" s="113"/>
      <c r="AG8" s="114"/>
      <c r="AH8" s="952"/>
      <c r="AI8" s="957"/>
      <c r="AJ8" s="957"/>
      <c r="AK8" s="957"/>
      <c r="AL8" s="957"/>
      <c r="AM8" s="957"/>
      <c r="AN8" s="957"/>
      <c r="AO8" s="957"/>
      <c r="AP8" s="957"/>
      <c r="AQ8" s="957"/>
      <c r="AR8" s="957"/>
      <c r="AS8" s="957"/>
      <c r="AT8" s="957"/>
      <c r="AU8" s="953"/>
      <c r="AV8" s="945"/>
      <c r="AW8" s="945"/>
      <c r="AX8" s="945"/>
      <c r="AY8" s="945"/>
    </row>
    <row r="9" spans="1:55" ht="15" customHeight="1" x14ac:dyDescent="0.25">
      <c r="A9" s="962" t="s">
        <v>187</v>
      </c>
      <c r="B9" s="963"/>
      <c r="C9" s="964"/>
      <c r="D9" s="940" t="s">
        <v>22</v>
      </c>
      <c r="E9" s="941"/>
      <c r="F9" s="941"/>
      <c r="G9" s="941"/>
      <c r="H9" s="941"/>
      <c r="I9" s="941"/>
      <c r="J9" s="941"/>
      <c r="K9" s="941"/>
      <c r="L9" s="941"/>
      <c r="M9" s="941"/>
      <c r="N9" s="941"/>
      <c r="O9" s="941"/>
      <c r="P9" s="941"/>
      <c r="Q9" s="941"/>
      <c r="R9" s="941"/>
      <c r="S9" s="941"/>
      <c r="T9" s="941"/>
      <c r="U9" s="941"/>
      <c r="V9" s="941"/>
      <c r="W9" s="941"/>
      <c r="X9" s="941"/>
      <c r="Y9" s="941"/>
      <c r="Z9" s="941"/>
      <c r="AA9" s="941"/>
      <c r="AB9" s="941"/>
      <c r="AC9" s="941"/>
      <c r="AD9" s="941"/>
      <c r="AE9" s="941"/>
      <c r="AF9" s="941"/>
      <c r="AG9" s="942"/>
      <c r="AH9" s="952"/>
      <c r="AI9" s="957"/>
      <c r="AJ9" s="957"/>
      <c r="AK9" s="957"/>
      <c r="AL9" s="957"/>
      <c r="AM9" s="957"/>
      <c r="AN9" s="957"/>
      <c r="AO9" s="957"/>
      <c r="AP9" s="957"/>
      <c r="AQ9" s="957"/>
      <c r="AR9" s="957"/>
      <c r="AS9" s="957"/>
      <c r="AT9" s="957"/>
      <c r="AU9" s="953"/>
      <c r="AV9" s="945"/>
      <c r="AW9" s="945"/>
      <c r="AX9" s="945"/>
      <c r="AY9" s="945"/>
    </row>
    <row r="10" spans="1:55" ht="15" customHeight="1" x14ac:dyDescent="0.25">
      <c r="A10" s="965" t="s">
        <v>188</v>
      </c>
      <c r="B10" s="966"/>
      <c r="C10" s="967"/>
      <c r="D10" s="940" t="s">
        <v>189</v>
      </c>
      <c r="E10" s="941"/>
      <c r="F10" s="941"/>
      <c r="G10" s="941"/>
      <c r="H10" s="941"/>
      <c r="I10" s="941"/>
      <c r="J10" s="941"/>
      <c r="K10" s="941"/>
      <c r="L10" s="941"/>
      <c r="M10" s="941"/>
      <c r="N10" s="941"/>
      <c r="O10" s="941"/>
      <c r="P10" s="941"/>
      <c r="Q10" s="941"/>
      <c r="R10" s="941"/>
      <c r="S10" s="941"/>
      <c r="T10" s="941"/>
      <c r="U10" s="941"/>
      <c r="V10" s="941"/>
      <c r="W10" s="941"/>
      <c r="X10" s="941"/>
      <c r="Y10" s="941"/>
      <c r="Z10" s="941"/>
      <c r="AA10" s="941"/>
      <c r="AB10" s="941"/>
      <c r="AC10" s="941"/>
      <c r="AD10" s="941"/>
      <c r="AE10" s="941"/>
      <c r="AF10" s="941"/>
      <c r="AG10" s="942"/>
      <c r="AH10" s="954"/>
      <c r="AI10" s="958"/>
      <c r="AJ10" s="958"/>
      <c r="AK10" s="958"/>
      <c r="AL10" s="958"/>
      <c r="AM10" s="958"/>
      <c r="AN10" s="958"/>
      <c r="AO10" s="958"/>
      <c r="AP10" s="958"/>
      <c r="AQ10" s="958"/>
      <c r="AR10" s="958"/>
      <c r="AS10" s="958"/>
      <c r="AT10" s="958"/>
      <c r="AU10" s="955"/>
      <c r="AV10" s="945"/>
      <c r="AW10" s="945"/>
      <c r="AX10" s="945"/>
      <c r="AY10" s="945"/>
    </row>
    <row r="11" spans="1:55" ht="39.950000000000003" customHeight="1" x14ac:dyDescent="0.25">
      <c r="A11" s="947" t="s">
        <v>190</v>
      </c>
      <c r="B11" s="948"/>
      <c r="C11" s="948"/>
      <c r="D11" s="948"/>
      <c r="E11" s="948"/>
      <c r="F11" s="949"/>
      <c r="G11" s="947" t="s">
        <v>191</v>
      </c>
      <c r="H11" s="949"/>
      <c r="I11" s="943" t="s">
        <v>192</v>
      </c>
      <c r="J11" s="943" t="s">
        <v>193</v>
      </c>
      <c r="K11" s="943" t="s">
        <v>194</v>
      </c>
      <c r="L11" s="943" t="s">
        <v>195</v>
      </c>
      <c r="M11" s="943" t="s">
        <v>196</v>
      </c>
      <c r="N11" s="943" t="s">
        <v>197</v>
      </c>
      <c r="O11" s="947" t="s">
        <v>198</v>
      </c>
      <c r="P11" s="948"/>
      <c r="Q11" s="948"/>
      <c r="R11" s="948"/>
      <c r="S11" s="949"/>
      <c r="T11" s="943" t="s">
        <v>199</v>
      </c>
      <c r="U11" s="943" t="s">
        <v>200</v>
      </c>
      <c r="V11" s="937" t="s">
        <v>201</v>
      </c>
      <c r="W11" s="938"/>
      <c r="X11" s="938"/>
      <c r="Y11" s="938"/>
      <c r="Z11" s="938"/>
      <c r="AA11" s="938"/>
      <c r="AB11" s="938"/>
      <c r="AC11" s="938"/>
      <c r="AD11" s="938"/>
      <c r="AE11" s="938"/>
      <c r="AF11" s="938"/>
      <c r="AG11" s="939"/>
      <c r="AH11" s="937" t="s">
        <v>202</v>
      </c>
      <c r="AI11" s="938"/>
      <c r="AJ11" s="938"/>
      <c r="AK11" s="938"/>
      <c r="AL11" s="938"/>
      <c r="AM11" s="938"/>
      <c r="AN11" s="938"/>
      <c r="AO11" s="938"/>
      <c r="AP11" s="938"/>
      <c r="AQ11" s="938"/>
      <c r="AR11" s="938"/>
      <c r="AS11" s="939"/>
      <c r="AT11" s="947" t="s">
        <v>42</v>
      </c>
      <c r="AU11" s="949"/>
      <c r="AV11" s="945"/>
      <c r="AW11" s="945"/>
      <c r="AX11" s="945"/>
      <c r="AY11" s="945"/>
      <c r="BA11" s="325"/>
    </row>
    <row r="12" spans="1:55" ht="28.5" x14ac:dyDescent="0.25">
      <c r="A12" s="115" t="s">
        <v>203</v>
      </c>
      <c r="B12" s="115" t="s">
        <v>204</v>
      </c>
      <c r="C12" s="115" t="s">
        <v>205</v>
      </c>
      <c r="D12" s="115" t="s">
        <v>206</v>
      </c>
      <c r="E12" s="115" t="s">
        <v>207</v>
      </c>
      <c r="F12" s="115" t="s">
        <v>208</v>
      </c>
      <c r="G12" s="115" t="s">
        <v>209</v>
      </c>
      <c r="H12" s="115" t="s">
        <v>210</v>
      </c>
      <c r="I12" s="944"/>
      <c r="J12" s="944"/>
      <c r="K12" s="944"/>
      <c r="L12" s="944"/>
      <c r="M12" s="944"/>
      <c r="N12" s="944"/>
      <c r="O12" s="115">
        <v>2020</v>
      </c>
      <c r="P12" s="115">
        <v>2021</v>
      </c>
      <c r="Q12" s="115">
        <v>2022</v>
      </c>
      <c r="R12" s="115">
        <v>2023</v>
      </c>
      <c r="S12" s="115">
        <v>2024</v>
      </c>
      <c r="T12" s="944"/>
      <c r="U12" s="944"/>
      <c r="V12" s="119" t="s">
        <v>31</v>
      </c>
      <c r="W12" s="119" t="s">
        <v>32</v>
      </c>
      <c r="X12" s="119" t="s">
        <v>33</v>
      </c>
      <c r="Y12" s="119" t="s">
        <v>34</v>
      </c>
      <c r="Z12" s="119" t="s">
        <v>35</v>
      </c>
      <c r="AA12" s="119" t="s">
        <v>8</v>
      </c>
      <c r="AB12" s="119" t="s">
        <v>36</v>
      </c>
      <c r="AC12" s="119" t="s">
        <v>37</v>
      </c>
      <c r="AD12" s="119" t="s">
        <v>38</v>
      </c>
      <c r="AE12" s="119" t="s">
        <v>39</v>
      </c>
      <c r="AF12" s="119" t="s">
        <v>40</v>
      </c>
      <c r="AG12" s="119" t="s">
        <v>41</v>
      </c>
      <c r="AH12" s="119" t="s">
        <v>31</v>
      </c>
      <c r="AI12" s="119" t="s">
        <v>32</v>
      </c>
      <c r="AJ12" s="119" t="s">
        <v>33</v>
      </c>
      <c r="AK12" s="119" t="s">
        <v>34</v>
      </c>
      <c r="AL12" s="119" t="s">
        <v>35</v>
      </c>
      <c r="AM12" s="119" t="s">
        <v>8</v>
      </c>
      <c r="AN12" s="119" t="s">
        <v>36</v>
      </c>
      <c r="AO12" s="119" t="s">
        <v>37</v>
      </c>
      <c r="AP12" s="119" t="s">
        <v>38</v>
      </c>
      <c r="AQ12" s="119" t="s">
        <v>39</v>
      </c>
      <c r="AR12" s="119" t="s">
        <v>40</v>
      </c>
      <c r="AS12" s="119" t="s">
        <v>41</v>
      </c>
      <c r="AT12" s="115" t="s">
        <v>211</v>
      </c>
      <c r="AU12" s="194" t="s">
        <v>212</v>
      </c>
      <c r="AV12" s="945"/>
      <c r="AW12" s="945"/>
      <c r="AX12" s="945"/>
      <c r="AY12" s="945"/>
      <c r="BA12" s="325"/>
    </row>
    <row r="13" spans="1:55" ht="126" customHeight="1" x14ac:dyDescent="0.25">
      <c r="A13" s="207">
        <v>52</v>
      </c>
      <c r="B13" s="208"/>
      <c r="C13" s="208"/>
      <c r="D13" s="208"/>
      <c r="E13" s="208"/>
      <c r="F13" s="208"/>
      <c r="G13" s="209"/>
      <c r="H13" s="209"/>
      <c r="I13" s="208" t="s">
        <v>213</v>
      </c>
      <c r="J13" s="208" t="s">
        <v>214</v>
      </c>
      <c r="K13" s="208" t="s">
        <v>215</v>
      </c>
      <c r="L13" s="208">
        <v>1</v>
      </c>
      <c r="M13" s="208" t="s">
        <v>216</v>
      </c>
      <c r="N13" s="208" t="s">
        <v>217</v>
      </c>
      <c r="O13" s="210">
        <v>0.3</v>
      </c>
      <c r="P13" s="210">
        <v>0.7</v>
      </c>
      <c r="Q13" s="210">
        <v>1</v>
      </c>
      <c r="R13" s="210">
        <v>1</v>
      </c>
      <c r="S13" s="210">
        <v>1</v>
      </c>
      <c r="T13" s="211" t="s">
        <v>218</v>
      </c>
      <c r="U13" s="219" t="s">
        <v>219</v>
      </c>
      <c r="V13" s="302"/>
      <c r="W13" s="302"/>
      <c r="X13" s="302">
        <v>1</v>
      </c>
      <c r="Y13" s="302"/>
      <c r="Z13" s="302"/>
      <c r="AA13" s="302">
        <v>1</v>
      </c>
      <c r="AB13" s="302"/>
      <c r="AC13" s="302"/>
      <c r="AD13" s="302">
        <v>1</v>
      </c>
      <c r="AE13" s="302"/>
      <c r="AF13" s="302"/>
      <c r="AG13" s="302">
        <v>1</v>
      </c>
      <c r="AH13" s="389">
        <v>0</v>
      </c>
      <c r="AI13" s="390">
        <v>0</v>
      </c>
      <c r="AJ13" s="391">
        <v>1</v>
      </c>
      <c r="AK13" s="390">
        <v>0</v>
      </c>
      <c r="AL13" s="390">
        <v>0</v>
      </c>
      <c r="AM13" s="412">
        <v>1</v>
      </c>
      <c r="AN13" s="392"/>
      <c r="AO13" s="392"/>
      <c r="AP13" s="392"/>
      <c r="AQ13" s="392"/>
      <c r="AR13" s="392"/>
      <c r="AS13" s="392"/>
      <c r="AT13" s="118">
        <v>1</v>
      </c>
      <c r="AU13" s="303">
        <f t="shared" ref="AU13:AU18" si="0">+AT13/R13</f>
        <v>1</v>
      </c>
      <c r="AV13" s="437" t="s">
        <v>576</v>
      </c>
      <c r="AW13" s="406" t="s">
        <v>577</v>
      </c>
      <c r="AX13" s="407" t="s">
        <v>220</v>
      </c>
      <c r="AY13" s="407" t="s">
        <v>220</v>
      </c>
      <c r="BA13" s="326">
        <f>+R13-AVERAGE(V13:AG13)</f>
        <v>0</v>
      </c>
    </row>
    <row r="14" spans="1:55" ht="201.95" customHeight="1" x14ac:dyDescent="0.25">
      <c r="A14" s="207">
        <v>53</v>
      </c>
      <c r="B14" s="208"/>
      <c r="C14" s="208"/>
      <c r="D14" s="208"/>
      <c r="E14" s="208"/>
      <c r="F14" s="208"/>
      <c r="G14" s="209"/>
      <c r="H14" s="209"/>
      <c r="I14" s="208" t="s">
        <v>221</v>
      </c>
      <c r="J14" s="208" t="s">
        <v>222</v>
      </c>
      <c r="K14" s="208" t="s">
        <v>223</v>
      </c>
      <c r="L14" s="208">
        <v>100</v>
      </c>
      <c r="M14" s="208" t="s">
        <v>224</v>
      </c>
      <c r="N14" s="208" t="s">
        <v>225</v>
      </c>
      <c r="O14" s="211">
        <v>7</v>
      </c>
      <c r="P14" s="211">
        <v>17.91</v>
      </c>
      <c r="Q14" s="216">
        <v>25.09</v>
      </c>
      <c r="R14" s="211">
        <v>25</v>
      </c>
      <c r="S14" s="211">
        <v>25</v>
      </c>
      <c r="T14" s="212" t="s">
        <v>218</v>
      </c>
      <c r="U14" s="219" t="s">
        <v>219</v>
      </c>
      <c r="V14" s="304"/>
      <c r="W14" s="304"/>
      <c r="X14" s="302">
        <v>6.25</v>
      </c>
      <c r="Y14" s="304"/>
      <c r="Z14" s="304"/>
      <c r="AA14" s="302">
        <v>6.25</v>
      </c>
      <c r="AB14" s="304"/>
      <c r="AC14" s="304"/>
      <c r="AD14" s="302">
        <v>6.25</v>
      </c>
      <c r="AE14" s="304"/>
      <c r="AF14" s="304"/>
      <c r="AG14" s="302">
        <v>6.25</v>
      </c>
      <c r="AH14" s="389">
        <v>0</v>
      </c>
      <c r="AI14" s="389">
        <v>0</v>
      </c>
      <c r="AJ14" s="391">
        <v>6.25</v>
      </c>
      <c r="AK14" s="390">
        <v>0</v>
      </c>
      <c r="AL14" s="390">
        <v>0</v>
      </c>
      <c r="AM14" s="412">
        <v>6.25</v>
      </c>
      <c r="AN14" s="392"/>
      <c r="AO14" s="392"/>
      <c r="AP14" s="392"/>
      <c r="AQ14" s="392"/>
      <c r="AR14" s="392"/>
      <c r="AS14" s="392"/>
      <c r="AT14" s="118">
        <f>SUM(AH14:AS14)</f>
        <v>12.5</v>
      </c>
      <c r="AU14" s="303">
        <f t="shared" si="0"/>
        <v>0.5</v>
      </c>
      <c r="AV14" s="413" t="s">
        <v>69</v>
      </c>
      <c r="AW14" s="439" t="s">
        <v>579</v>
      </c>
      <c r="AX14" s="407" t="s">
        <v>220</v>
      </c>
      <c r="AY14" s="407" t="s">
        <v>220</v>
      </c>
      <c r="BA14" s="326">
        <f>+R14-SUM(V14:AG14)</f>
        <v>0</v>
      </c>
    </row>
    <row r="15" spans="1:55" ht="126" customHeight="1" x14ac:dyDescent="0.25">
      <c r="A15" s="207">
        <v>56</v>
      </c>
      <c r="B15" s="208"/>
      <c r="C15" s="208"/>
      <c r="D15" s="208"/>
      <c r="E15" s="208"/>
      <c r="F15" s="208"/>
      <c r="G15" s="209"/>
      <c r="H15" s="209"/>
      <c r="I15" s="208" t="s">
        <v>226</v>
      </c>
      <c r="J15" s="208" t="s">
        <v>227</v>
      </c>
      <c r="K15" s="208" t="s">
        <v>223</v>
      </c>
      <c r="L15" s="208">
        <v>2</v>
      </c>
      <c r="M15" s="208" t="s">
        <v>216</v>
      </c>
      <c r="N15" s="208" t="s">
        <v>567</v>
      </c>
      <c r="O15" s="210">
        <v>0.1</v>
      </c>
      <c r="P15" s="214">
        <v>0.49</v>
      </c>
      <c r="Q15" s="217">
        <v>0.51</v>
      </c>
      <c r="R15" s="215">
        <v>0.5</v>
      </c>
      <c r="S15" s="210">
        <v>0.4</v>
      </c>
      <c r="T15" s="211" t="s">
        <v>218</v>
      </c>
      <c r="U15" s="218" t="s">
        <v>228</v>
      </c>
      <c r="V15" s="305"/>
      <c r="W15" s="305"/>
      <c r="X15" s="311">
        <f>+R15/4</f>
        <v>0.125</v>
      </c>
      <c r="Y15" s="305"/>
      <c r="Z15" s="305"/>
      <c r="AA15" s="311">
        <f>+X15</f>
        <v>0.125</v>
      </c>
      <c r="AB15" s="305"/>
      <c r="AC15" s="305"/>
      <c r="AD15" s="311">
        <f>+AA15</f>
        <v>0.125</v>
      </c>
      <c r="AE15" s="305"/>
      <c r="AF15" s="305"/>
      <c r="AG15" s="311">
        <f>+AD15</f>
        <v>0.125</v>
      </c>
      <c r="AH15" s="389">
        <v>0</v>
      </c>
      <c r="AI15" s="389">
        <v>0</v>
      </c>
      <c r="AJ15" s="393">
        <f>+AG15</f>
        <v>0.125</v>
      </c>
      <c r="AK15" s="390">
        <v>0</v>
      </c>
      <c r="AL15" s="390">
        <v>0</v>
      </c>
      <c r="AM15" s="412">
        <f>+AJ15</f>
        <v>0.125</v>
      </c>
      <c r="AN15" s="392"/>
      <c r="AO15" s="392"/>
      <c r="AP15" s="392"/>
      <c r="AQ15" s="392"/>
      <c r="AR15" s="392"/>
      <c r="AS15" s="392"/>
      <c r="AT15" s="118">
        <f>SUM(AH15:AS15)</f>
        <v>0.25</v>
      </c>
      <c r="AU15" s="303">
        <f t="shared" si="0"/>
        <v>0.5</v>
      </c>
      <c r="AV15" s="414" t="s">
        <v>118</v>
      </c>
      <c r="AW15" s="438" t="s">
        <v>578</v>
      </c>
      <c r="AX15" s="407" t="s">
        <v>220</v>
      </c>
      <c r="AY15" s="407" t="s">
        <v>220</v>
      </c>
      <c r="BA15" s="326">
        <f t="shared" ref="BA15:BA18" si="1">+R15-SUM(V15:AG15)</f>
        <v>0</v>
      </c>
    </row>
    <row r="16" spans="1:55" ht="126" customHeight="1" x14ac:dyDescent="0.25">
      <c r="A16" s="208"/>
      <c r="B16" s="208"/>
      <c r="C16" s="208"/>
      <c r="D16" s="207">
        <v>43</v>
      </c>
      <c r="E16" s="208"/>
      <c r="F16" s="208"/>
      <c r="G16" s="209" t="s">
        <v>229</v>
      </c>
      <c r="H16" s="209"/>
      <c r="I16" s="208"/>
      <c r="J16" s="208" t="s">
        <v>230</v>
      </c>
      <c r="K16" s="208" t="s">
        <v>223</v>
      </c>
      <c r="L16" s="330">
        <v>12000</v>
      </c>
      <c r="M16" s="208" t="s">
        <v>231</v>
      </c>
      <c r="N16" s="208" t="s">
        <v>232</v>
      </c>
      <c r="O16" s="210">
        <v>0</v>
      </c>
      <c r="P16" s="207">
        <v>3000</v>
      </c>
      <c r="Q16" s="331">
        <v>4000</v>
      </c>
      <c r="R16" s="207">
        <v>4000</v>
      </c>
      <c r="S16" s="207">
        <v>1000</v>
      </c>
      <c r="T16" s="208" t="s">
        <v>233</v>
      </c>
      <c r="U16" s="332" t="s">
        <v>234</v>
      </c>
      <c r="V16" s="118">
        <v>0</v>
      </c>
      <c r="W16" s="118">
        <v>400</v>
      </c>
      <c r="X16" s="118">
        <v>400</v>
      </c>
      <c r="Y16" s="118">
        <v>400</v>
      </c>
      <c r="Z16" s="118">
        <v>400</v>
      </c>
      <c r="AA16" s="118">
        <v>400</v>
      </c>
      <c r="AB16" s="118">
        <v>400</v>
      </c>
      <c r="AC16" s="118">
        <v>400</v>
      </c>
      <c r="AD16" s="118">
        <v>400</v>
      </c>
      <c r="AE16" s="118">
        <v>400</v>
      </c>
      <c r="AF16" s="118">
        <v>400</v>
      </c>
      <c r="AG16" s="118">
        <v>0</v>
      </c>
      <c r="AH16" s="392">
        <v>0</v>
      </c>
      <c r="AI16" s="392">
        <v>0</v>
      </c>
      <c r="AJ16" s="392">
        <v>220</v>
      </c>
      <c r="AK16" s="392">
        <f>270+27</f>
        <v>297</v>
      </c>
      <c r="AL16" s="392">
        <f>450+146</f>
        <v>596</v>
      </c>
      <c r="AM16" s="400">
        <v>371</v>
      </c>
      <c r="AN16" s="392"/>
      <c r="AO16" s="392"/>
      <c r="AP16" s="392"/>
      <c r="AQ16" s="392"/>
      <c r="AR16" s="392"/>
      <c r="AS16" s="392"/>
      <c r="AT16" s="333">
        <f t="shared" ref="AT16" si="2">SUM(AH16:AS16)</f>
        <v>1484</v>
      </c>
      <c r="AU16" s="303">
        <f t="shared" si="0"/>
        <v>0.371</v>
      </c>
      <c r="AV16" s="401" t="s">
        <v>235</v>
      </c>
      <c r="AW16" s="402" t="s">
        <v>236</v>
      </c>
      <c r="AX16" s="402" t="s">
        <v>237</v>
      </c>
      <c r="AY16" s="402" t="s">
        <v>238</v>
      </c>
      <c r="BA16" s="403"/>
      <c r="BB16" s="404"/>
      <c r="BC16" s="405"/>
    </row>
    <row r="17" spans="1:53" ht="126" customHeight="1" x14ac:dyDescent="0.25">
      <c r="A17" s="208"/>
      <c r="B17" s="208"/>
      <c r="C17" s="208"/>
      <c r="D17" s="207">
        <v>46</v>
      </c>
      <c r="E17" s="334"/>
      <c r="F17" s="208"/>
      <c r="G17" s="209" t="s">
        <v>229</v>
      </c>
      <c r="H17" s="209"/>
      <c r="I17" s="208"/>
      <c r="J17" s="208" t="s">
        <v>239</v>
      </c>
      <c r="K17" s="208" t="s">
        <v>223</v>
      </c>
      <c r="L17" s="330">
        <v>16500</v>
      </c>
      <c r="M17" s="208" t="s">
        <v>240</v>
      </c>
      <c r="N17" s="208" t="s">
        <v>241</v>
      </c>
      <c r="O17" s="210">
        <v>0</v>
      </c>
      <c r="P17" s="207">
        <v>4000</v>
      </c>
      <c r="Q17" s="207">
        <v>5000</v>
      </c>
      <c r="R17" s="207">
        <v>5000</v>
      </c>
      <c r="S17" s="207">
        <v>2000</v>
      </c>
      <c r="T17" s="208" t="s">
        <v>233</v>
      </c>
      <c r="U17" s="332" t="s">
        <v>234</v>
      </c>
      <c r="V17" s="118">
        <v>0</v>
      </c>
      <c r="W17" s="118">
        <v>500</v>
      </c>
      <c r="X17" s="118">
        <v>500</v>
      </c>
      <c r="Y17" s="118">
        <v>500</v>
      </c>
      <c r="Z17" s="118">
        <v>500</v>
      </c>
      <c r="AA17" s="118">
        <v>500</v>
      </c>
      <c r="AB17" s="118">
        <v>500</v>
      </c>
      <c r="AC17" s="118">
        <v>500</v>
      </c>
      <c r="AD17" s="118">
        <v>500</v>
      </c>
      <c r="AE17" s="118">
        <v>500</v>
      </c>
      <c r="AF17" s="118">
        <v>500</v>
      </c>
      <c r="AG17" s="118">
        <v>0</v>
      </c>
      <c r="AH17" s="394"/>
      <c r="AI17" s="394">
        <v>134</v>
      </c>
      <c r="AJ17" s="392">
        <v>542</v>
      </c>
      <c r="AK17" s="392">
        <v>789</v>
      </c>
      <c r="AL17" s="392">
        <v>790</v>
      </c>
      <c r="AM17" s="400">
        <v>454</v>
      </c>
      <c r="AN17" s="392"/>
      <c r="AO17" s="392"/>
      <c r="AP17" s="392"/>
      <c r="AQ17" s="392"/>
      <c r="AR17" s="392"/>
      <c r="AS17" s="392"/>
      <c r="AT17" s="333">
        <f>SUM(AH17:AS17)</f>
        <v>2709</v>
      </c>
      <c r="AU17" s="335">
        <f t="shared" si="0"/>
        <v>0.54179999999999995</v>
      </c>
      <c r="AV17" s="406" t="s">
        <v>242</v>
      </c>
      <c r="AW17" s="402" t="s">
        <v>243</v>
      </c>
      <c r="AX17" s="407" t="s">
        <v>220</v>
      </c>
      <c r="AY17" s="407" t="s">
        <v>220</v>
      </c>
      <c r="BA17" s="326">
        <f t="shared" si="1"/>
        <v>0</v>
      </c>
    </row>
    <row r="18" spans="1:53" ht="126" customHeight="1" x14ac:dyDescent="0.25">
      <c r="A18" s="209">
        <v>56</v>
      </c>
      <c r="B18" s="209"/>
      <c r="C18" s="209"/>
      <c r="D18" s="209"/>
      <c r="E18" s="209"/>
      <c r="F18" s="209"/>
      <c r="G18" s="209"/>
      <c r="H18" s="209"/>
      <c r="I18" s="209"/>
      <c r="J18" s="209" t="s">
        <v>244</v>
      </c>
      <c r="K18" s="336" t="s">
        <v>223</v>
      </c>
      <c r="L18" s="337">
        <v>19</v>
      </c>
      <c r="M18" s="209" t="s">
        <v>245</v>
      </c>
      <c r="N18" s="209" t="s">
        <v>246</v>
      </c>
      <c r="O18" s="209">
        <v>2</v>
      </c>
      <c r="P18" s="209">
        <v>5</v>
      </c>
      <c r="Q18" s="209">
        <v>7</v>
      </c>
      <c r="R18" s="209">
        <v>5</v>
      </c>
      <c r="S18" s="209">
        <v>0</v>
      </c>
      <c r="T18" s="209" t="s">
        <v>233</v>
      </c>
      <c r="U18" s="338" t="s">
        <v>234</v>
      </c>
      <c r="V18" s="339">
        <v>0</v>
      </c>
      <c r="W18" s="339">
        <v>1</v>
      </c>
      <c r="X18" s="339">
        <v>1</v>
      </c>
      <c r="Y18" s="339">
        <v>1</v>
      </c>
      <c r="Z18" s="339">
        <v>0</v>
      </c>
      <c r="AA18" s="339">
        <v>0</v>
      </c>
      <c r="AB18" s="339">
        <v>1</v>
      </c>
      <c r="AC18" s="339">
        <v>0</v>
      </c>
      <c r="AD18" s="339">
        <v>1</v>
      </c>
      <c r="AE18" s="339">
        <v>0</v>
      </c>
      <c r="AF18" s="339">
        <v>0</v>
      </c>
      <c r="AG18" s="339">
        <v>0</v>
      </c>
      <c r="AH18" s="395">
        <v>0</v>
      </c>
      <c r="AI18" s="395">
        <v>1</v>
      </c>
      <c r="AJ18" s="396">
        <v>1</v>
      </c>
      <c r="AK18" s="392">
        <v>0</v>
      </c>
      <c r="AL18" s="396">
        <v>2</v>
      </c>
      <c r="AM18" s="400">
        <v>0</v>
      </c>
      <c r="AN18" s="396"/>
      <c r="AO18" s="396"/>
      <c r="AP18" s="396"/>
      <c r="AQ18" s="396"/>
      <c r="AR18" s="396"/>
      <c r="AS18" s="396"/>
      <c r="AT18" s="340">
        <f>SUM(AH18:AS18)</f>
        <v>4</v>
      </c>
      <c r="AU18" s="341">
        <f t="shared" si="0"/>
        <v>0.8</v>
      </c>
      <c r="AV18" s="406" t="s">
        <v>118</v>
      </c>
      <c r="AW18" s="402" t="s">
        <v>580</v>
      </c>
      <c r="AX18" s="407" t="s">
        <v>220</v>
      </c>
      <c r="AY18" s="407" t="s">
        <v>220</v>
      </c>
      <c r="BA18" s="326">
        <f t="shared" si="1"/>
        <v>0</v>
      </c>
    </row>
    <row r="19" spans="1:53" ht="126" customHeight="1" x14ac:dyDescent="0.25">
      <c r="A19" s="219"/>
      <c r="B19" s="219"/>
      <c r="C19" s="219"/>
      <c r="D19" s="219"/>
      <c r="E19" s="219"/>
      <c r="F19" s="219"/>
      <c r="G19" s="219" t="s">
        <v>229</v>
      </c>
      <c r="H19" s="342" t="s">
        <v>247</v>
      </c>
      <c r="I19" s="219" t="s">
        <v>248</v>
      </c>
      <c r="J19" s="219" t="s">
        <v>249</v>
      </c>
      <c r="K19" s="219" t="s">
        <v>250</v>
      </c>
      <c r="L19" s="343">
        <v>1</v>
      </c>
      <c r="M19" s="219" t="s">
        <v>251</v>
      </c>
      <c r="N19" s="219" t="s">
        <v>252</v>
      </c>
      <c r="O19" s="219">
        <v>0</v>
      </c>
      <c r="P19" s="219">
        <v>0</v>
      </c>
      <c r="Q19" s="219">
        <v>0</v>
      </c>
      <c r="R19" s="219">
        <v>100</v>
      </c>
      <c r="S19" s="219">
        <v>100</v>
      </c>
      <c r="T19" s="219" t="s">
        <v>233</v>
      </c>
      <c r="U19" s="219" t="s">
        <v>253</v>
      </c>
      <c r="V19" s="344">
        <v>1</v>
      </c>
      <c r="W19" s="344">
        <v>1</v>
      </c>
      <c r="X19" s="344">
        <v>1</v>
      </c>
      <c r="Y19" s="344">
        <v>1</v>
      </c>
      <c r="Z19" s="344">
        <v>1</v>
      </c>
      <c r="AA19" s="344">
        <v>1</v>
      </c>
      <c r="AB19" s="344">
        <v>1</v>
      </c>
      <c r="AC19" s="344">
        <v>1</v>
      </c>
      <c r="AD19" s="344">
        <v>1</v>
      </c>
      <c r="AE19" s="344">
        <v>1</v>
      </c>
      <c r="AF19" s="344">
        <v>1</v>
      </c>
      <c r="AG19" s="344">
        <v>1</v>
      </c>
      <c r="AH19" s="397">
        <v>0.84</v>
      </c>
      <c r="AI19" s="397">
        <v>0.42</v>
      </c>
      <c r="AJ19" s="398">
        <v>1.98</v>
      </c>
      <c r="AK19" s="398">
        <v>1.3</v>
      </c>
      <c r="AL19" s="398">
        <v>1.84</v>
      </c>
      <c r="AM19" s="415">
        <v>1.46</v>
      </c>
      <c r="AN19" s="392"/>
      <c r="AO19" s="392"/>
      <c r="AP19" s="392"/>
      <c r="AQ19" s="392"/>
      <c r="AR19" s="392"/>
      <c r="AS19" s="392"/>
      <c r="AT19" s="335">
        <f>+SUM(AH19:AM19)</f>
        <v>7.84</v>
      </c>
      <c r="AU19" s="440">
        <f>+AT19/SUM(V19:AA19)</f>
        <v>1.3066666666666666</v>
      </c>
      <c r="AV19" s="406" t="s">
        <v>254</v>
      </c>
      <c r="AW19" s="406" t="s">
        <v>583</v>
      </c>
      <c r="AX19" s="407" t="s">
        <v>220</v>
      </c>
      <c r="AY19" s="407" t="s">
        <v>220</v>
      </c>
      <c r="BA19" s="326">
        <f>+R19-AVERAGE(V19:AG19)</f>
        <v>99</v>
      </c>
    </row>
    <row r="20" spans="1:53" x14ac:dyDescent="0.25">
      <c r="A20" s="933" t="s">
        <v>95</v>
      </c>
      <c r="B20" s="934"/>
      <c r="C20" s="934"/>
      <c r="D20" s="934"/>
      <c r="E20" s="934"/>
      <c r="F20" s="934"/>
      <c r="G20" s="934"/>
      <c r="H20" s="934"/>
      <c r="I20" s="934"/>
      <c r="J20" s="934"/>
      <c r="K20" s="934"/>
      <c r="L20" s="934"/>
      <c r="M20" s="934"/>
      <c r="N20" s="934"/>
      <c r="O20" s="934"/>
      <c r="P20" s="934"/>
      <c r="Q20" s="934"/>
      <c r="R20" s="934"/>
      <c r="S20" s="934"/>
      <c r="T20" s="934"/>
      <c r="U20" s="934"/>
      <c r="V20" s="934"/>
      <c r="W20" s="934"/>
      <c r="X20" s="934"/>
      <c r="Y20" s="934"/>
      <c r="Z20" s="934"/>
      <c r="AA20" s="934"/>
      <c r="AB20" s="934"/>
      <c r="AC20" s="934"/>
      <c r="AD20" s="934"/>
      <c r="AE20" s="934"/>
      <c r="AF20" s="934"/>
      <c r="AG20" s="934"/>
      <c r="AH20" s="934"/>
      <c r="AI20" s="934"/>
      <c r="AJ20" s="934"/>
      <c r="AK20" s="934"/>
      <c r="AL20" s="934"/>
      <c r="AM20" s="934"/>
      <c r="AN20" s="934"/>
      <c r="AO20" s="934"/>
      <c r="AP20" s="934"/>
      <c r="AQ20" s="934"/>
      <c r="AR20" s="934"/>
      <c r="AS20" s="934"/>
      <c r="AT20" s="934"/>
      <c r="AU20" s="934"/>
      <c r="AV20" s="935"/>
      <c r="AW20" s="935"/>
      <c r="AX20" s="935"/>
      <c r="AY20" s="936"/>
      <c r="BA20" s="325"/>
    </row>
    <row r="21" spans="1:53" ht="31.5" customHeight="1" x14ac:dyDescent="0.25">
      <c r="A21" s="924" t="s">
        <v>255</v>
      </c>
      <c r="B21" s="925"/>
      <c r="C21" s="926"/>
      <c r="D21" s="912" t="s">
        <v>256</v>
      </c>
      <c r="E21" s="913"/>
      <c r="F21" s="913"/>
      <c r="G21" s="913"/>
      <c r="H21" s="913"/>
      <c r="I21" s="914"/>
      <c r="J21" s="915" t="s">
        <v>257</v>
      </c>
      <c r="K21" s="916"/>
      <c r="L21" s="916"/>
      <c r="M21" s="916"/>
      <c r="N21" s="916"/>
      <c r="O21" s="917"/>
      <c r="P21" s="912" t="s">
        <v>258</v>
      </c>
      <c r="Q21" s="913"/>
      <c r="R21" s="913"/>
      <c r="S21" s="913"/>
      <c r="T21" s="913"/>
      <c r="U21" s="914"/>
      <c r="V21" s="912" t="s">
        <v>258</v>
      </c>
      <c r="W21" s="913"/>
      <c r="X21" s="913"/>
      <c r="Y21" s="913"/>
      <c r="Z21" s="913"/>
      <c r="AA21" s="913"/>
      <c r="AB21" s="913"/>
      <c r="AC21" s="914"/>
      <c r="AD21" s="912" t="s">
        <v>258</v>
      </c>
      <c r="AE21" s="913"/>
      <c r="AF21" s="913"/>
      <c r="AG21" s="913"/>
      <c r="AH21" s="913"/>
      <c r="AI21" s="913"/>
      <c r="AJ21" s="913"/>
      <c r="AK21" s="913"/>
      <c r="AL21" s="913"/>
      <c r="AM21" s="913"/>
      <c r="AN21" s="913"/>
      <c r="AO21" s="914"/>
      <c r="AP21" s="915" t="s">
        <v>259</v>
      </c>
      <c r="AQ21" s="916"/>
      <c r="AR21" s="916"/>
      <c r="AS21" s="917"/>
      <c r="AT21" s="912" t="s">
        <v>260</v>
      </c>
      <c r="AU21" s="913"/>
      <c r="AV21" s="913"/>
      <c r="AW21" s="913"/>
      <c r="AX21" s="913"/>
      <c r="AY21" s="914"/>
      <c r="AZ21" s="127"/>
      <c r="BA21" s="325"/>
    </row>
    <row r="22" spans="1:53" ht="15" customHeight="1" x14ac:dyDescent="0.25">
      <c r="A22" s="927"/>
      <c r="B22" s="928"/>
      <c r="C22" s="929"/>
      <c r="D22" s="909" t="s">
        <v>261</v>
      </c>
      <c r="E22" s="910"/>
      <c r="F22" s="910"/>
      <c r="G22" s="910"/>
      <c r="H22" s="910"/>
      <c r="I22" s="911"/>
      <c r="J22" s="918"/>
      <c r="K22" s="919"/>
      <c r="L22" s="919"/>
      <c r="M22" s="919"/>
      <c r="N22" s="919"/>
      <c r="O22" s="920"/>
      <c r="P22" s="909" t="s">
        <v>45</v>
      </c>
      <c r="Q22" s="910"/>
      <c r="R22" s="910"/>
      <c r="S22" s="910"/>
      <c r="T22" s="910"/>
      <c r="U22" s="911"/>
      <c r="V22" s="909" t="s">
        <v>262</v>
      </c>
      <c r="W22" s="910"/>
      <c r="X22" s="910"/>
      <c r="Y22" s="910"/>
      <c r="Z22" s="910"/>
      <c r="AA22" s="910"/>
      <c r="AB22" s="910"/>
      <c r="AC22" s="911"/>
      <c r="AD22" s="909" t="s">
        <v>263</v>
      </c>
      <c r="AE22" s="910"/>
      <c r="AF22" s="910"/>
      <c r="AG22" s="910"/>
      <c r="AH22" s="910"/>
      <c r="AI22" s="910"/>
      <c r="AJ22" s="910"/>
      <c r="AK22" s="910"/>
      <c r="AL22" s="910"/>
      <c r="AM22" s="910"/>
      <c r="AN22" s="910"/>
      <c r="AO22" s="911"/>
      <c r="AP22" s="918"/>
      <c r="AQ22" s="919"/>
      <c r="AR22" s="919"/>
      <c r="AS22" s="920"/>
      <c r="AT22" s="909" t="s">
        <v>264</v>
      </c>
      <c r="AU22" s="910"/>
      <c r="AV22" s="910"/>
      <c r="AW22" s="910"/>
      <c r="AX22" s="910"/>
      <c r="AY22" s="911"/>
      <c r="AZ22" s="127"/>
    </row>
    <row r="23" spans="1:53" ht="15.95" customHeight="1" x14ac:dyDescent="0.25">
      <c r="A23" s="930"/>
      <c r="B23" s="931"/>
      <c r="C23" s="932"/>
      <c r="D23" s="909" t="s">
        <v>265</v>
      </c>
      <c r="E23" s="910"/>
      <c r="F23" s="910"/>
      <c r="G23" s="910"/>
      <c r="H23" s="910"/>
      <c r="I23" s="911"/>
      <c r="J23" s="921"/>
      <c r="K23" s="922"/>
      <c r="L23" s="922"/>
      <c r="M23" s="922"/>
      <c r="N23" s="922"/>
      <c r="O23" s="923"/>
      <c r="P23" s="909" t="s">
        <v>48</v>
      </c>
      <c r="Q23" s="910"/>
      <c r="R23" s="910"/>
      <c r="S23" s="910"/>
      <c r="T23" s="910"/>
      <c r="U23" s="911"/>
      <c r="V23" s="909" t="s">
        <v>266</v>
      </c>
      <c r="W23" s="910"/>
      <c r="X23" s="910"/>
      <c r="Y23" s="910"/>
      <c r="Z23" s="910"/>
      <c r="AA23" s="910"/>
      <c r="AB23" s="910"/>
      <c r="AC23" s="911"/>
      <c r="AD23" s="909" t="s">
        <v>267</v>
      </c>
      <c r="AE23" s="910"/>
      <c r="AF23" s="910"/>
      <c r="AG23" s="910"/>
      <c r="AH23" s="910"/>
      <c r="AI23" s="910"/>
      <c r="AJ23" s="910"/>
      <c r="AK23" s="910"/>
      <c r="AL23" s="910"/>
      <c r="AM23" s="910"/>
      <c r="AN23" s="910"/>
      <c r="AO23" s="911"/>
      <c r="AP23" s="921"/>
      <c r="AQ23" s="922"/>
      <c r="AR23" s="922"/>
      <c r="AS23" s="923"/>
      <c r="AT23" s="909" t="s">
        <v>268</v>
      </c>
      <c r="AU23" s="910"/>
      <c r="AV23" s="910"/>
      <c r="AW23" s="910"/>
      <c r="AX23" s="910"/>
      <c r="AY23" s="911"/>
      <c r="AZ23" s="127"/>
    </row>
    <row r="25" spans="1:53" hidden="1" x14ac:dyDescent="0.25"/>
    <row r="26" spans="1:53" hidden="1" x14ac:dyDescent="0.25">
      <c r="Y26" s="108">
        <v>0.5</v>
      </c>
      <c r="Z26" s="108">
        <f>+Y26/4</f>
        <v>0.125</v>
      </c>
    </row>
    <row r="27" spans="1:53" hidden="1" x14ac:dyDescent="0.25">
      <c r="Z27" s="108">
        <f>+Y26/4</f>
        <v>0.125</v>
      </c>
      <c r="AD27" s="108" t="s">
        <v>269</v>
      </c>
    </row>
    <row r="28" spans="1:53" hidden="1" x14ac:dyDescent="0.25">
      <c r="Z28" s="108">
        <f>25/4</f>
        <v>6.25</v>
      </c>
      <c r="AD28" s="108" t="s">
        <v>270</v>
      </c>
    </row>
    <row r="29" spans="1:53" hidden="1" x14ac:dyDescent="0.25"/>
    <row r="30" spans="1:53" hidden="1" x14ac:dyDescent="0.25"/>
    <row r="34" spans="17:47" x14ac:dyDescent="0.25">
      <c r="W34" s="323"/>
      <c r="X34" s="323"/>
      <c r="Y34" s="323"/>
      <c r="Z34" s="323"/>
      <c r="AT34" s="441">
        <f>+SUM(V19:AA19)</f>
        <v>6</v>
      </c>
    </row>
    <row r="35" spans="17:47" x14ac:dyDescent="0.25">
      <c r="W35" s="323"/>
      <c r="X35" s="323"/>
      <c r="Y35" s="323"/>
      <c r="Z35" s="323"/>
      <c r="AT35" s="441">
        <f>+SUM(AH19:AM19)</f>
        <v>7.84</v>
      </c>
      <c r="AU35" s="195">
        <f>+AT35/AT34</f>
        <v>1.3066666666666666</v>
      </c>
    </row>
    <row r="38" spans="17:47" x14ac:dyDescent="0.25">
      <c r="Q38" s="323"/>
      <c r="R38" s="323"/>
      <c r="S38" s="323"/>
      <c r="T38" s="323"/>
      <c r="U38" s="323"/>
      <c r="V38" s="323"/>
      <c r="W38" s="323"/>
      <c r="X38" s="323"/>
      <c r="Y38" s="323"/>
      <c r="Z38" s="323"/>
      <c r="AA38" s="323"/>
      <c r="AB38" s="323"/>
      <c r="AC38" s="323"/>
      <c r="AD38" s="323"/>
    </row>
    <row r="39" spans="17:47" x14ac:dyDescent="0.25">
      <c r="Q39" s="323"/>
      <c r="R39" s="323"/>
      <c r="S39" s="323"/>
      <c r="T39" s="323"/>
      <c r="U39" s="323"/>
      <c r="V39" s="323"/>
      <c r="W39" s="323"/>
      <c r="X39" s="323"/>
      <c r="Y39" s="323"/>
      <c r="Z39" s="323"/>
      <c r="AA39" s="323"/>
      <c r="AB39" s="323"/>
      <c r="AC39" s="323"/>
      <c r="AD39" s="323"/>
    </row>
    <row r="40" spans="17:47" x14ac:dyDescent="0.25">
      <c r="Q40" s="323"/>
      <c r="R40" s="323"/>
      <c r="S40" s="323"/>
      <c r="T40" s="323"/>
      <c r="U40" s="323"/>
      <c r="V40" s="323"/>
      <c r="W40" s="323"/>
      <c r="X40" s="323"/>
      <c r="Y40" s="323"/>
      <c r="Z40" s="323"/>
      <c r="AA40" s="323"/>
      <c r="AB40" s="323"/>
      <c r="AC40" s="323"/>
      <c r="AD40" s="323"/>
    </row>
    <row r="41" spans="17:47" x14ac:dyDescent="0.25">
      <c r="Q41" s="323"/>
      <c r="R41" s="323"/>
      <c r="S41" s="323"/>
      <c r="T41" s="323"/>
      <c r="U41" s="323"/>
      <c r="V41" s="323"/>
      <c r="W41" s="323"/>
      <c r="X41" s="323"/>
      <c r="Y41" s="323"/>
      <c r="Z41" s="323"/>
      <c r="AA41" s="323"/>
      <c r="AB41" s="323"/>
      <c r="AC41" s="323"/>
      <c r="AD41" s="323"/>
    </row>
  </sheetData>
  <mergeCells count="57">
    <mergeCell ref="A10:C10"/>
    <mergeCell ref="D9:AG9"/>
    <mergeCell ref="AX1:AY1"/>
    <mergeCell ref="AX2:AY2"/>
    <mergeCell ref="AX3:AY3"/>
    <mergeCell ref="AX4:AY4"/>
    <mergeCell ref="A1:AW1"/>
    <mergeCell ref="A2:AW2"/>
    <mergeCell ref="A3:AW4"/>
    <mergeCell ref="AD22:AO22"/>
    <mergeCell ref="AH5:AU10"/>
    <mergeCell ref="K6:U8"/>
    <mergeCell ref="AV5:AV12"/>
    <mergeCell ref="A5:AG5"/>
    <mergeCell ref="A6:C8"/>
    <mergeCell ref="D6:E8"/>
    <mergeCell ref="AT11:AU11"/>
    <mergeCell ref="AH11:AS11"/>
    <mergeCell ref="I11:I12"/>
    <mergeCell ref="J11:J12"/>
    <mergeCell ref="K11:K12"/>
    <mergeCell ref="U11:U12"/>
    <mergeCell ref="O11:S11"/>
    <mergeCell ref="V22:AC22"/>
    <mergeCell ref="A9:C9"/>
    <mergeCell ref="A20:AY20"/>
    <mergeCell ref="V11:AG11"/>
    <mergeCell ref="D10:AG10"/>
    <mergeCell ref="L11:L12"/>
    <mergeCell ref="AX5:AX12"/>
    <mergeCell ref="AY5:AY12"/>
    <mergeCell ref="H7:I7"/>
    <mergeCell ref="H8:I8"/>
    <mergeCell ref="A11:F11"/>
    <mergeCell ref="G11:H11"/>
    <mergeCell ref="T11:T12"/>
    <mergeCell ref="N11:N12"/>
    <mergeCell ref="M11:M12"/>
    <mergeCell ref="AW5:AW12"/>
    <mergeCell ref="F6:G8"/>
    <mergeCell ref="H6:I6"/>
    <mergeCell ref="AT23:AY23"/>
    <mergeCell ref="D21:I21"/>
    <mergeCell ref="AP21:AS23"/>
    <mergeCell ref="V23:AC23"/>
    <mergeCell ref="A21:C23"/>
    <mergeCell ref="J21:O23"/>
    <mergeCell ref="P22:U22"/>
    <mergeCell ref="P23:U23"/>
    <mergeCell ref="V21:AC21"/>
    <mergeCell ref="D22:I22"/>
    <mergeCell ref="D23:I23"/>
    <mergeCell ref="AD21:AO21"/>
    <mergeCell ref="AT22:AY22"/>
    <mergeCell ref="AT21:AY21"/>
    <mergeCell ref="AD23:AO23"/>
    <mergeCell ref="P21:U21"/>
  </mergeCells>
  <pageMargins left="0.7" right="0.7" top="0.75" bottom="0.75" header="0.3" footer="0.3"/>
  <pageSetup scale="14" orientation="landscape" r:id="rId1"/>
  <customProperties>
    <customPr name="_pios_id" r:id="rId2"/>
  </customProperties>
  <legacy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BK60"/>
  <sheetViews>
    <sheetView topLeftCell="A34" zoomScale="60" zoomScaleNormal="60" workbookViewId="0">
      <selection activeCell="I62" sqref="I62"/>
    </sheetView>
  </sheetViews>
  <sheetFormatPr baseColWidth="10" defaultColWidth="19.42578125" defaultRowHeight="15" x14ac:dyDescent="0.25"/>
  <cols>
    <col min="1" max="1" width="29.42578125" style="108" bestFit="1" customWidth="1"/>
    <col min="2" max="17" width="11" style="108" customWidth="1"/>
    <col min="18" max="19" width="12.140625" style="108" customWidth="1"/>
    <col min="20" max="23" width="8.140625" style="108" customWidth="1"/>
    <col min="24" max="24" width="9.42578125" style="108" customWidth="1"/>
    <col min="25" max="25" width="8.140625" style="108" customWidth="1"/>
    <col min="26" max="30" width="7.85546875" style="108" customWidth="1"/>
    <col min="31" max="31" width="11.28515625" style="108" customWidth="1"/>
    <col min="32" max="32" width="2.28515625" style="108" customWidth="1"/>
    <col min="33" max="33" width="19.42578125" style="108" customWidth="1"/>
    <col min="34" max="51" width="11.28515625" style="108" customWidth="1"/>
    <col min="52" max="63" width="8.85546875" style="108" customWidth="1"/>
    <col min="64" max="16384" width="19.42578125" style="108"/>
  </cols>
  <sheetData>
    <row r="1" spans="1:63" ht="15.95" customHeight="1" x14ac:dyDescent="0.25">
      <c r="A1" s="991" t="s">
        <v>0</v>
      </c>
      <c r="B1" s="991"/>
      <c r="C1" s="991"/>
      <c r="D1" s="991"/>
      <c r="E1" s="991"/>
      <c r="F1" s="991"/>
      <c r="G1" s="991"/>
      <c r="H1" s="991"/>
      <c r="I1" s="991"/>
      <c r="J1" s="991"/>
      <c r="K1" s="991"/>
      <c r="L1" s="991"/>
      <c r="M1" s="991"/>
      <c r="N1" s="991"/>
      <c r="O1" s="991"/>
      <c r="P1" s="991"/>
      <c r="Q1" s="991"/>
      <c r="R1" s="991"/>
      <c r="S1" s="991"/>
      <c r="T1" s="991"/>
      <c r="U1" s="991"/>
      <c r="V1" s="991"/>
      <c r="W1" s="991"/>
      <c r="X1" s="991"/>
      <c r="Y1" s="991"/>
      <c r="Z1" s="991"/>
      <c r="AA1" s="991"/>
      <c r="AB1" s="991"/>
      <c r="AC1" s="991"/>
      <c r="AD1" s="991"/>
      <c r="AE1" s="991"/>
      <c r="AF1" s="991"/>
      <c r="AG1" s="991"/>
      <c r="AH1" s="991"/>
      <c r="AI1" s="991"/>
      <c r="AJ1" s="991"/>
      <c r="AK1" s="991"/>
      <c r="AL1" s="991"/>
      <c r="AM1" s="991"/>
      <c r="AN1" s="991"/>
      <c r="AO1" s="991"/>
      <c r="AP1" s="991"/>
      <c r="AQ1" s="991"/>
      <c r="AR1" s="991"/>
      <c r="AS1" s="991"/>
      <c r="AT1" s="991"/>
      <c r="AU1" s="991"/>
      <c r="AV1" s="991"/>
      <c r="AW1" s="991"/>
      <c r="AX1" s="991"/>
      <c r="AY1" s="991"/>
      <c r="AZ1" s="991"/>
      <c r="BA1" s="991"/>
      <c r="BB1" s="991"/>
      <c r="BC1" s="991"/>
      <c r="BD1" s="991"/>
      <c r="BE1" s="991"/>
      <c r="BF1" s="991"/>
      <c r="BG1" s="991"/>
      <c r="BH1" s="991"/>
      <c r="BI1" s="992" t="s">
        <v>161</v>
      </c>
      <c r="BJ1" s="992"/>
      <c r="BK1" s="992"/>
    </row>
    <row r="2" spans="1:63" ht="15.95" customHeight="1" x14ac:dyDescent="0.25">
      <c r="A2" s="991" t="s">
        <v>97</v>
      </c>
      <c r="B2" s="991"/>
      <c r="C2" s="991"/>
      <c r="D2" s="991"/>
      <c r="E2" s="991"/>
      <c r="F2" s="991"/>
      <c r="G2" s="991"/>
      <c r="H2" s="991"/>
      <c r="I2" s="991"/>
      <c r="J2" s="991"/>
      <c r="K2" s="991"/>
      <c r="L2" s="991"/>
      <c r="M2" s="991"/>
      <c r="N2" s="991"/>
      <c r="O2" s="991"/>
      <c r="P2" s="991"/>
      <c r="Q2" s="991"/>
      <c r="R2" s="991"/>
      <c r="S2" s="991"/>
      <c r="T2" s="991"/>
      <c r="U2" s="991"/>
      <c r="V2" s="991"/>
      <c r="W2" s="991"/>
      <c r="X2" s="991"/>
      <c r="Y2" s="991"/>
      <c r="Z2" s="991"/>
      <c r="AA2" s="991"/>
      <c r="AB2" s="991"/>
      <c r="AC2" s="991"/>
      <c r="AD2" s="991"/>
      <c r="AE2" s="991"/>
      <c r="AF2" s="991"/>
      <c r="AG2" s="991"/>
      <c r="AH2" s="991"/>
      <c r="AI2" s="991"/>
      <c r="AJ2" s="991"/>
      <c r="AK2" s="991"/>
      <c r="AL2" s="991"/>
      <c r="AM2" s="991"/>
      <c r="AN2" s="991"/>
      <c r="AO2" s="991"/>
      <c r="AP2" s="991"/>
      <c r="AQ2" s="991"/>
      <c r="AR2" s="991"/>
      <c r="AS2" s="991"/>
      <c r="AT2" s="991"/>
      <c r="AU2" s="991"/>
      <c r="AV2" s="991"/>
      <c r="AW2" s="991"/>
      <c r="AX2" s="991"/>
      <c r="AY2" s="991"/>
      <c r="AZ2" s="991"/>
      <c r="BA2" s="991"/>
      <c r="BB2" s="991"/>
      <c r="BC2" s="991"/>
      <c r="BD2" s="991"/>
      <c r="BE2" s="991"/>
      <c r="BF2" s="991"/>
      <c r="BG2" s="991"/>
      <c r="BH2" s="991"/>
      <c r="BI2" s="992" t="s">
        <v>3</v>
      </c>
      <c r="BJ2" s="992"/>
      <c r="BK2" s="992"/>
    </row>
    <row r="3" spans="1:63" ht="26.1" customHeight="1" x14ac:dyDescent="0.25">
      <c r="A3" s="991" t="s">
        <v>271</v>
      </c>
      <c r="B3" s="991"/>
      <c r="C3" s="991"/>
      <c r="D3" s="991"/>
      <c r="E3" s="991"/>
      <c r="F3" s="991"/>
      <c r="G3" s="991"/>
      <c r="H3" s="991"/>
      <c r="I3" s="991"/>
      <c r="J3" s="991"/>
      <c r="K3" s="991"/>
      <c r="L3" s="991"/>
      <c r="M3" s="991"/>
      <c r="N3" s="991"/>
      <c r="O3" s="991"/>
      <c r="P3" s="991"/>
      <c r="Q3" s="991"/>
      <c r="R3" s="991"/>
      <c r="S3" s="991"/>
      <c r="T3" s="991"/>
      <c r="U3" s="991"/>
      <c r="V3" s="991"/>
      <c r="W3" s="991"/>
      <c r="X3" s="991"/>
      <c r="Y3" s="991"/>
      <c r="Z3" s="991"/>
      <c r="AA3" s="991"/>
      <c r="AB3" s="991"/>
      <c r="AC3" s="991"/>
      <c r="AD3" s="991"/>
      <c r="AE3" s="991"/>
      <c r="AF3" s="991"/>
      <c r="AG3" s="991"/>
      <c r="AH3" s="991"/>
      <c r="AI3" s="991"/>
      <c r="AJ3" s="991"/>
      <c r="AK3" s="991"/>
      <c r="AL3" s="991"/>
      <c r="AM3" s="991"/>
      <c r="AN3" s="991"/>
      <c r="AO3" s="991"/>
      <c r="AP3" s="991"/>
      <c r="AQ3" s="991"/>
      <c r="AR3" s="991"/>
      <c r="AS3" s="991"/>
      <c r="AT3" s="991"/>
      <c r="AU3" s="991"/>
      <c r="AV3" s="991"/>
      <c r="AW3" s="991"/>
      <c r="AX3" s="991"/>
      <c r="AY3" s="991"/>
      <c r="AZ3" s="991"/>
      <c r="BA3" s="991"/>
      <c r="BB3" s="991"/>
      <c r="BC3" s="991"/>
      <c r="BD3" s="991"/>
      <c r="BE3" s="991"/>
      <c r="BF3" s="991"/>
      <c r="BG3" s="991"/>
      <c r="BH3" s="991"/>
      <c r="BI3" s="992" t="s">
        <v>5</v>
      </c>
      <c r="BJ3" s="992"/>
      <c r="BK3" s="992"/>
    </row>
    <row r="4" spans="1:63" ht="15.95" customHeight="1" x14ac:dyDescent="0.25">
      <c r="A4" s="991" t="s">
        <v>272</v>
      </c>
      <c r="B4" s="991"/>
      <c r="C4" s="991"/>
      <c r="D4" s="991"/>
      <c r="E4" s="991"/>
      <c r="F4" s="991"/>
      <c r="G4" s="991"/>
      <c r="H4" s="991"/>
      <c r="I4" s="991"/>
      <c r="J4" s="991"/>
      <c r="K4" s="991"/>
      <c r="L4" s="991"/>
      <c r="M4" s="991"/>
      <c r="N4" s="991"/>
      <c r="O4" s="991"/>
      <c r="P4" s="991"/>
      <c r="Q4" s="991"/>
      <c r="R4" s="991"/>
      <c r="S4" s="991"/>
      <c r="T4" s="991"/>
      <c r="U4" s="991"/>
      <c r="V4" s="991"/>
      <c r="W4" s="991"/>
      <c r="X4" s="991"/>
      <c r="Y4" s="991"/>
      <c r="Z4" s="991"/>
      <c r="AA4" s="991"/>
      <c r="AB4" s="991"/>
      <c r="AC4" s="991"/>
      <c r="AD4" s="991"/>
      <c r="AE4" s="991"/>
      <c r="AF4" s="991"/>
      <c r="AG4" s="991"/>
      <c r="AH4" s="991"/>
      <c r="AI4" s="991"/>
      <c r="AJ4" s="991"/>
      <c r="AK4" s="991"/>
      <c r="AL4" s="991"/>
      <c r="AM4" s="991"/>
      <c r="AN4" s="991"/>
      <c r="AO4" s="991"/>
      <c r="AP4" s="991"/>
      <c r="AQ4" s="991"/>
      <c r="AR4" s="991"/>
      <c r="AS4" s="991"/>
      <c r="AT4" s="991"/>
      <c r="AU4" s="991"/>
      <c r="AV4" s="991"/>
      <c r="AW4" s="991"/>
      <c r="AX4" s="991"/>
      <c r="AY4" s="991"/>
      <c r="AZ4" s="991"/>
      <c r="BA4" s="991"/>
      <c r="BB4" s="991"/>
      <c r="BC4" s="991"/>
      <c r="BD4" s="991"/>
      <c r="BE4" s="991"/>
      <c r="BF4" s="991"/>
      <c r="BG4" s="991"/>
      <c r="BH4" s="991"/>
      <c r="BI4" s="988" t="s">
        <v>273</v>
      </c>
      <c r="BJ4" s="989"/>
      <c r="BK4" s="990"/>
    </row>
    <row r="5" spans="1:63" ht="26.1" customHeight="1" x14ac:dyDescent="0.25">
      <c r="A5" s="986" t="s">
        <v>182</v>
      </c>
      <c r="B5" s="986"/>
      <c r="C5" s="986"/>
      <c r="D5" s="986"/>
      <c r="E5" s="986"/>
      <c r="F5" s="986"/>
      <c r="G5" s="986"/>
      <c r="H5" s="986"/>
      <c r="I5" s="986"/>
      <c r="J5" s="986"/>
      <c r="K5" s="986"/>
      <c r="L5" s="986"/>
      <c r="M5" s="986"/>
      <c r="N5" s="986"/>
      <c r="O5" s="986"/>
      <c r="P5" s="986"/>
      <c r="Q5" s="986"/>
      <c r="R5" s="986"/>
      <c r="S5" s="986"/>
      <c r="T5" s="986"/>
      <c r="U5" s="986"/>
      <c r="V5" s="986"/>
      <c r="W5" s="986"/>
      <c r="X5" s="986"/>
      <c r="Y5" s="986"/>
      <c r="Z5" s="986"/>
      <c r="AA5" s="986"/>
      <c r="AB5" s="986"/>
      <c r="AC5" s="986"/>
      <c r="AD5" s="986"/>
      <c r="AE5" s="986"/>
      <c r="AG5" s="986" t="s">
        <v>274</v>
      </c>
      <c r="AH5" s="986"/>
      <c r="AI5" s="986"/>
      <c r="AJ5" s="986"/>
      <c r="AK5" s="986"/>
      <c r="AL5" s="986"/>
      <c r="AM5" s="986"/>
      <c r="AN5" s="986"/>
      <c r="AO5" s="986"/>
      <c r="AP5" s="986"/>
      <c r="AQ5" s="986"/>
      <c r="AR5" s="986"/>
      <c r="AS5" s="986"/>
      <c r="AT5" s="986"/>
      <c r="AU5" s="986"/>
      <c r="AV5" s="986"/>
      <c r="AW5" s="986"/>
      <c r="AX5" s="986"/>
      <c r="AY5" s="986"/>
      <c r="AZ5" s="986"/>
      <c r="BA5" s="986"/>
      <c r="BB5" s="986"/>
      <c r="BC5" s="986"/>
      <c r="BD5" s="986"/>
      <c r="BE5" s="986"/>
      <c r="BF5" s="986"/>
      <c r="BG5" s="986"/>
      <c r="BH5" s="986"/>
      <c r="BI5" s="987"/>
      <c r="BJ5" s="987"/>
      <c r="BK5" s="987"/>
    </row>
    <row r="6" spans="1:63" ht="31.5" customHeight="1" x14ac:dyDescent="0.25">
      <c r="A6" s="154" t="s">
        <v>275</v>
      </c>
      <c r="B6" s="985"/>
      <c r="C6" s="985"/>
      <c r="D6" s="985"/>
      <c r="E6" s="985"/>
      <c r="F6" s="985"/>
      <c r="G6" s="985"/>
      <c r="H6" s="985"/>
      <c r="I6" s="985"/>
      <c r="J6" s="985"/>
      <c r="K6" s="985"/>
      <c r="L6" s="985"/>
      <c r="M6" s="985"/>
      <c r="N6" s="985"/>
      <c r="O6" s="985"/>
      <c r="P6" s="985"/>
      <c r="Q6" s="985"/>
      <c r="R6" s="985"/>
      <c r="S6" s="985"/>
      <c r="T6" s="985"/>
      <c r="U6" s="985"/>
      <c r="V6" s="985"/>
      <c r="W6" s="985"/>
      <c r="X6" s="985"/>
      <c r="Y6" s="985"/>
      <c r="Z6" s="985"/>
      <c r="AA6" s="985"/>
      <c r="AB6" s="985"/>
      <c r="AC6" s="985"/>
      <c r="AD6" s="985"/>
      <c r="AE6" s="985"/>
      <c r="AF6" s="985"/>
      <c r="AG6" s="985"/>
      <c r="AH6" s="985"/>
      <c r="AI6" s="985"/>
      <c r="AJ6" s="985"/>
      <c r="AK6" s="985"/>
      <c r="AL6" s="985"/>
      <c r="AM6" s="985"/>
      <c r="AN6" s="985"/>
      <c r="AO6" s="985"/>
      <c r="AP6" s="985"/>
      <c r="AQ6" s="985"/>
      <c r="AR6" s="985"/>
      <c r="AS6" s="985"/>
      <c r="AT6" s="985"/>
      <c r="AU6" s="985"/>
      <c r="AV6" s="985"/>
      <c r="AW6" s="985"/>
      <c r="AX6" s="985"/>
      <c r="AY6" s="985"/>
      <c r="AZ6" s="985"/>
      <c r="BA6" s="985"/>
      <c r="BB6" s="985"/>
      <c r="BC6" s="985"/>
      <c r="BD6" s="985"/>
      <c r="BE6" s="985"/>
      <c r="BF6" s="985"/>
      <c r="BG6" s="985"/>
      <c r="BH6" s="985"/>
      <c r="BI6" s="985"/>
      <c r="BJ6" s="985"/>
      <c r="BK6" s="985"/>
    </row>
    <row r="7" spans="1:63" ht="31.5" customHeight="1" x14ac:dyDescent="0.25">
      <c r="A7" s="155" t="s">
        <v>276</v>
      </c>
      <c r="B7" s="980" t="s">
        <v>277</v>
      </c>
      <c r="C7" s="982"/>
      <c r="D7" s="982"/>
      <c r="E7" s="982"/>
      <c r="F7" s="982"/>
      <c r="G7" s="982"/>
      <c r="H7" s="982"/>
      <c r="I7" s="982"/>
      <c r="J7" s="982"/>
      <c r="K7" s="982"/>
      <c r="L7" s="982"/>
      <c r="M7" s="982"/>
      <c r="N7" s="982"/>
      <c r="O7" s="982"/>
      <c r="P7" s="982"/>
      <c r="Q7" s="982"/>
      <c r="R7" s="982"/>
      <c r="S7" s="982"/>
      <c r="T7" s="982"/>
      <c r="U7" s="982"/>
      <c r="V7" s="982"/>
      <c r="W7" s="982"/>
      <c r="X7" s="982"/>
      <c r="Y7" s="982"/>
      <c r="Z7" s="982"/>
      <c r="AA7" s="982"/>
      <c r="AB7" s="982"/>
      <c r="AC7" s="982"/>
      <c r="AD7" s="982"/>
      <c r="AE7" s="982"/>
      <c r="AF7" s="982"/>
      <c r="AG7" s="982"/>
      <c r="AH7" s="982"/>
      <c r="AI7" s="982"/>
      <c r="AJ7" s="982"/>
      <c r="AK7" s="982"/>
      <c r="AL7" s="982"/>
      <c r="AM7" s="982"/>
      <c r="AN7" s="982"/>
      <c r="AO7" s="982"/>
      <c r="AP7" s="982"/>
      <c r="AQ7" s="982"/>
      <c r="AR7" s="982"/>
      <c r="AS7" s="982"/>
      <c r="AT7" s="982"/>
      <c r="AU7" s="982"/>
      <c r="AV7" s="982"/>
      <c r="AW7" s="982"/>
      <c r="AX7" s="982"/>
      <c r="AY7" s="982"/>
      <c r="AZ7" s="982"/>
      <c r="BA7" s="982"/>
      <c r="BB7" s="982"/>
      <c r="BC7" s="982"/>
      <c r="BD7" s="982"/>
      <c r="BE7" s="982"/>
      <c r="BF7" s="982"/>
      <c r="BG7" s="982"/>
      <c r="BH7" s="982"/>
      <c r="BI7" s="982"/>
      <c r="BJ7" s="982"/>
      <c r="BK7" s="981"/>
    </row>
    <row r="8" spans="1:63" ht="18.75" customHeight="1" x14ac:dyDescent="0.25">
      <c r="A8" s="146"/>
      <c r="B8" s="146"/>
      <c r="C8" s="146"/>
      <c r="D8" s="146"/>
      <c r="E8" s="146"/>
      <c r="F8" s="146"/>
      <c r="G8" s="146"/>
      <c r="H8" s="146"/>
      <c r="I8" s="146"/>
      <c r="J8" s="146"/>
      <c r="K8" s="147"/>
      <c r="L8" s="147"/>
      <c r="M8" s="147"/>
      <c r="N8" s="147"/>
      <c r="O8" s="147"/>
      <c r="P8" s="147"/>
      <c r="Q8" s="147"/>
      <c r="R8" s="147"/>
      <c r="S8" s="147"/>
      <c r="T8" s="147"/>
      <c r="U8" s="147"/>
      <c r="V8" s="147"/>
      <c r="W8" s="147"/>
      <c r="X8" s="147"/>
      <c r="Y8" s="147"/>
      <c r="Z8" s="147"/>
      <c r="AA8" s="147"/>
      <c r="AB8" s="147"/>
      <c r="AC8" s="147"/>
      <c r="AD8" s="147"/>
      <c r="AE8" s="147"/>
      <c r="AG8" s="146"/>
      <c r="AH8" s="147"/>
      <c r="AI8" s="147"/>
      <c r="AJ8" s="147"/>
      <c r="AK8" s="147"/>
      <c r="AL8" s="147"/>
      <c r="AM8" s="147"/>
      <c r="AN8" s="147"/>
      <c r="AO8" s="147"/>
    </row>
    <row r="9" spans="1:63" ht="30" customHeight="1" x14ac:dyDescent="0.25">
      <c r="A9" s="983" t="s">
        <v>278</v>
      </c>
      <c r="B9" s="193" t="s">
        <v>31</v>
      </c>
      <c r="C9" s="193" t="s">
        <v>32</v>
      </c>
      <c r="D9" s="980" t="s">
        <v>33</v>
      </c>
      <c r="E9" s="981"/>
      <c r="F9" s="193" t="s">
        <v>34</v>
      </c>
      <c r="G9" s="193" t="s">
        <v>35</v>
      </c>
      <c r="H9" s="980" t="s">
        <v>8</v>
      </c>
      <c r="I9" s="981"/>
      <c r="J9" s="193" t="s">
        <v>36</v>
      </c>
      <c r="K9" s="193" t="s">
        <v>37</v>
      </c>
      <c r="L9" s="980" t="s">
        <v>38</v>
      </c>
      <c r="M9" s="981"/>
      <c r="N9" s="193" t="s">
        <v>39</v>
      </c>
      <c r="O9" s="193" t="s">
        <v>40</v>
      </c>
      <c r="P9" s="980" t="s">
        <v>41</v>
      </c>
      <c r="Q9" s="981"/>
      <c r="R9" s="980" t="s">
        <v>279</v>
      </c>
      <c r="S9" s="981"/>
      <c r="T9" s="980" t="s">
        <v>280</v>
      </c>
      <c r="U9" s="982"/>
      <c r="V9" s="982"/>
      <c r="W9" s="982"/>
      <c r="X9" s="982"/>
      <c r="Y9" s="981"/>
      <c r="Z9" s="980" t="s">
        <v>281</v>
      </c>
      <c r="AA9" s="982"/>
      <c r="AB9" s="982"/>
      <c r="AC9" s="982"/>
      <c r="AD9" s="982"/>
      <c r="AE9" s="981"/>
      <c r="AG9" s="983" t="s">
        <v>278</v>
      </c>
      <c r="AH9" s="193" t="s">
        <v>31</v>
      </c>
      <c r="AI9" s="193" t="s">
        <v>32</v>
      </c>
      <c r="AJ9" s="980" t="s">
        <v>33</v>
      </c>
      <c r="AK9" s="981"/>
      <c r="AL9" s="193" t="s">
        <v>34</v>
      </c>
      <c r="AM9" s="193" t="s">
        <v>35</v>
      </c>
      <c r="AN9" s="980" t="s">
        <v>8</v>
      </c>
      <c r="AO9" s="981"/>
      <c r="AP9" s="193" t="s">
        <v>36</v>
      </c>
      <c r="AQ9" s="193" t="s">
        <v>37</v>
      </c>
      <c r="AR9" s="980" t="s">
        <v>38</v>
      </c>
      <c r="AS9" s="981"/>
      <c r="AT9" s="193" t="s">
        <v>39</v>
      </c>
      <c r="AU9" s="193" t="s">
        <v>40</v>
      </c>
      <c r="AV9" s="980" t="s">
        <v>41</v>
      </c>
      <c r="AW9" s="981"/>
      <c r="AX9" s="980" t="s">
        <v>279</v>
      </c>
      <c r="AY9" s="981"/>
      <c r="AZ9" s="980" t="s">
        <v>280</v>
      </c>
      <c r="BA9" s="982"/>
      <c r="BB9" s="982"/>
      <c r="BC9" s="982"/>
      <c r="BD9" s="982"/>
      <c r="BE9" s="981"/>
      <c r="BF9" s="980" t="s">
        <v>281</v>
      </c>
      <c r="BG9" s="982"/>
      <c r="BH9" s="982"/>
      <c r="BI9" s="982"/>
      <c r="BJ9" s="982"/>
      <c r="BK9" s="981"/>
    </row>
    <row r="10" spans="1:63" ht="36" customHeight="1" x14ac:dyDescent="0.25">
      <c r="A10" s="984"/>
      <c r="B10" s="119" t="s">
        <v>282</v>
      </c>
      <c r="C10" s="119" t="s">
        <v>282</v>
      </c>
      <c r="D10" s="119" t="s">
        <v>282</v>
      </c>
      <c r="E10" s="119" t="s">
        <v>283</v>
      </c>
      <c r="F10" s="119" t="s">
        <v>282</v>
      </c>
      <c r="G10" s="119" t="s">
        <v>282</v>
      </c>
      <c r="H10" s="119" t="s">
        <v>282</v>
      </c>
      <c r="I10" s="119" t="s">
        <v>283</v>
      </c>
      <c r="J10" s="119" t="s">
        <v>282</v>
      </c>
      <c r="K10" s="119" t="s">
        <v>282</v>
      </c>
      <c r="L10" s="119" t="s">
        <v>282</v>
      </c>
      <c r="M10" s="119" t="s">
        <v>283</v>
      </c>
      <c r="N10" s="119" t="s">
        <v>282</v>
      </c>
      <c r="O10" s="119" t="s">
        <v>282</v>
      </c>
      <c r="P10" s="119" t="s">
        <v>282</v>
      </c>
      <c r="Q10" s="119" t="s">
        <v>283</v>
      </c>
      <c r="R10" s="119" t="s">
        <v>282</v>
      </c>
      <c r="S10" s="119" t="s">
        <v>283</v>
      </c>
      <c r="T10" s="187" t="s">
        <v>284</v>
      </c>
      <c r="U10" s="187" t="s">
        <v>285</v>
      </c>
      <c r="V10" s="187" t="s">
        <v>286</v>
      </c>
      <c r="W10" s="187" t="s">
        <v>287</v>
      </c>
      <c r="X10" s="188" t="s">
        <v>288</v>
      </c>
      <c r="Y10" s="187" t="s">
        <v>289</v>
      </c>
      <c r="Z10" s="119" t="s">
        <v>290</v>
      </c>
      <c r="AA10" s="148" t="s">
        <v>291</v>
      </c>
      <c r="AB10" s="119" t="s">
        <v>292</v>
      </c>
      <c r="AC10" s="119" t="s">
        <v>293</v>
      </c>
      <c r="AD10" s="119" t="s">
        <v>294</v>
      </c>
      <c r="AE10" s="119" t="s">
        <v>295</v>
      </c>
      <c r="AG10" s="984"/>
      <c r="AH10" s="119" t="s">
        <v>282</v>
      </c>
      <c r="AI10" s="119" t="s">
        <v>282</v>
      </c>
      <c r="AJ10" s="119" t="s">
        <v>282</v>
      </c>
      <c r="AK10" s="119" t="s">
        <v>283</v>
      </c>
      <c r="AL10" s="119" t="s">
        <v>282</v>
      </c>
      <c r="AM10" s="119" t="s">
        <v>282</v>
      </c>
      <c r="AN10" s="119" t="s">
        <v>282</v>
      </c>
      <c r="AO10" s="119" t="s">
        <v>283</v>
      </c>
      <c r="AP10" s="119" t="s">
        <v>282</v>
      </c>
      <c r="AQ10" s="119" t="s">
        <v>282</v>
      </c>
      <c r="AR10" s="119" t="s">
        <v>282</v>
      </c>
      <c r="AS10" s="119" t="s">
        <v>283</v>
      </c>
      <c r="AT10" s="119" t="s">
        <v>282</v>
      </c>
      <c r="AU10" s="119" t="s">
        <v>282</v>
      </c>
      <c r="AV10" s="119" t="s">
        <v>282</v>
      </c>
      <c r="AW10" s="119" t="s">
        <v>283</v>
      </c>
      <c r="AX10" s="119" t="s">
        <v>282</v>
      </c>
      <c r="AY10" s="119" t="s">
        <v>283</v>
      </c>
      <c r="AZ10" s="187" t="s">
        <v>284</v>
      </c>
      <c r="BA10" s="187" t="s">
        <v>285</v>
      </c>
      <c r="BB10" s="187" t="s">
        <v>286</v>
      </c>
      <c r="BC10" s="187" t="s">
        <v>287</v>
      </c>
      <c r="BD10" s="188" t="s">
        <v>288</v>
      </c>
      <c r="BE10" s="187" t="s">
        <v>289</v>
      </c>
      <c r="BF10" s="185" t="s">
        <v>290</v>
      </c>
      <c r="BG10" s="186" t="s">
        <v>291</v>
      </c>
      <c r="BH10" s="185" t="s">
        <v>292</v>
      </c>
      <c r="BI10" s="185" t="s">
        <v>293</v>
      </c>
      <c r="BJ10" s="185" t="s">
        <v>294</v>
      </c>
      <c r="BK10" s="185" t="s">
        <v>295</v>
      </c>
    </row>
    <row r="11" spans="1:63" x14ac:dyDescent="0.25">
      <c r="A11" s="149" t="s">
        <v>296</v>
      </c>
      <c r="B11" s="149"/>
      <c r="C11" s="149"/>
      <c r="D11" s="149">
        <v>37</v>
      </c>
      <c r="E11" s="199"/>
      <c r="F11" s="149">
        <v>43</v>
      </c>
      <c r="G11" s="149">
        <v>208</v>
      </c>
      <c r="H11" s="399">
        <v>107</v>
      </c>
      <c r="I11" s="199"/>
      <c r="J11" s="149"/>
      <c r="K11" s="149"/>
      <c r="L11" s="149"/>
      <c r="M11" s="199"/>
      <c r="N11" s="149"/>
      <c r="O11" s="149"/>
      <c r="P11" s="149"/>
      <c r="Q11" s="199"/>
      <c r="R11" s="190">
        <f t="shared" ref="R11:R31" si="0">B11+C11+D11+F11+G11+H11+J11+K11+L11+N11+O11+P11</f>
        <v>395</v>
      </c>
      <c r="S11" s="156">
        <f>+E11+I11+M11+Q11</f>
        <v>0</v>
      </c>
      <c r="T11" s="189"/>
      <c r="U11" s="189"/>
      <c r="V11" s="189"/>
      <c r="W11" s="189"/>
      <c r="X11" s="189"/>
      <c r="Y11" s="151"/>
      <c r="Z11" s="151"/>
      <c r="AA11" s="151"/>
      <c r="AB11" s="151"/>
      <c r="AC11" s="151"/>
      <c r="AD11" s="151"/>
      <c r="AE11" s="152"/>
      <c r="AG11" s="149" t="s">
        <v>296</v>
      </c>
      <c r="AH11" s="149"/>
      <c r="AI11" s="149"/>
      <c r="AJ11" s="149"/>
      <c r="AK11" s="199"/>
      <c r="AL11" s="149"/>
      <c r="AM11" s="149"/>
      <c r="AN11" s="149"/>
      <c r="AO11" s="199"/>
      <c r="AP11" s="149"/>
      <c r="AQ11" s="149"/>
      <c r="AR11" s="149"/>
      <c r="AS11" s="199"/>
      <c r="AT11" s="149"/>
      <c r="AU11" s="149"/>
      <c r="AV11" s="149"/>
      <c r="AW11" s="199"/>
      <c r="AX11" s="190">
        <f t="shared" ref="AX11:AX31" si="1">AH11+AI11+AJ11+AL11+AM11+AN11+AP11+AQ11+AR11+AT11+AU11+AV11</f>
        <v>0</v>
      </c>
      <c r="AY11" s="156">
        <f>+AK11+AO11+AS11+AW11</f>
        <v>0</v>
      </c>
      <c r="AZ11" s="151"/>
      <c r="BA11" s="151"/>
      <c r="BB11" s="151"/>
      <c r="BC11" s="151"/>
      <c r="BD11" s="151"/>
      <c r="BE11" s="151"/>
      <c r="BF11" s="151"/>
      <c r="BG11" s="151"/>
      <c r="BH11" s="151"/>
      <c r="BI11" s="151"/>
      <c r="BJ11" s="151"/>
      <c r="BK11" s="152"/>
    </row>
    <row r="12" spans="1:63" x14ac:dyDescent="0.25">
      <c r="A12" s="149" t="s">
        <v>297</v>
      </c>
      <c r="B12" s="149"/>
      <c r="C12" s="149"/>
      <c r="D12" s="149">
        <v>3</v>
      </c>
      <c r="E12" s="199"/>
      <c r="F12" s="149">
        <v>19</v>
      </c>
      <c r="G12" s="149">
        <v>8</v>
      </c>
      <c r="H12" s="399">
        <v>15</v>
      </c>
      <c r="I12" s="199"/>
      <c r="J12" s="149"/>
      <c r="K12" s="149"/>
      <c r="L12" s="149"/>
      <c r="M12" s="199"/>
      <c r="N12" s="149"/>
      <c r="O12" s="149"/>
      <c r="P12" s="149"/>
      <c r="Q12" s="199"/>
      <c r="R12" s="190">
        <f t="shared" si="0"/>
        <v>45</v>
      </c>
      <c r="S12" s="156">
        <f t="shared" ref="S12:S31" si="2">+E12+I12+M12+Q12</f>
        <v>0</v>
      </c>
      <c r="T12" s="189"/>
      <c r="U12" s="189"/>
      <c r="V12" s="189"/>
      <c r="W12" s="189"/>
      <c r="X12" s="189"/>
      <c r="Y12" s="151"/>
      <c r="Z12" s="151"/>
      <c r="AA12" s="151"/>
      <c r="AB12" s="151"/>
      <c r="AC12" s="151"/>
      <c r="AD12" s="151"/>
      <c r="AE12" s="151"/>
      <c r="AG12" s="149" t="s">
        <v>297</v>
      </c>
      <c r="AH12" s="149"/>
      <c r="AI12" s="149"/>
      <c r="AJ12" s="149"/>
      <c r="AK12" s="199"/>
      <c r="AL12" s="149"/>
      <c r="AM12" s="149"/>
      <c r="AN12" s="149"/>
      <c r="AO12" s="199"/>
      <c r="AP12" s="149"/>
      <c r="AQ12" s="149"/>
      <c r="AR12" s="149"/>
      <c r="AS12" s="199"/>
      <c r="AT12" s="149"/>
      <c r="AU12" s="149"/>
      <c r="AV12" s="149"/>
      <c r="AW12" s="199"/>
      <c r="AX12" s="190">
        <f t="shared" si="1"/>
        <v>0</v>
      </c>
      <c r="AY12" s="156">
        <f t="shared" ref="AY12:AY31" si="3">+AK12+AO12+AS12+AW12</f>
        <v>0</v>
      </c>
      <c r="AZ12" s="151"/>
      <c r="BA12" s="151"/>
      <c r="BB12" s="151"/>
      <c r="BC12" s="151"/>
      <c r="BD12" s="151"/>
      <c r="BE12" s="151"/>
      <c r="BF12" s="151"/>
      <c r="BG12" s="151"/>
      <c r="BH12" s="151"/>
      <c r="BI12" s="151"/>
      <c r="BJ12" s="151"/>
      <c r="BK12" s="151"/>
    </row>
    <row r="13" spans="1:63" x14ac:dyDescent="0.25">
      <c r="A13" s="149" t="s">
        <v>298</v>
      </c>
      <c r="B13" s="149"/>
      <c r="C13" s="149"/>
      <c r="D13" s="149">
        <v>8</v>
      </c>
      <c r="E13" s="199"/>
      <c r="F13" s="149">
        <v>14</v>
      </c>
      <c r="G13" s="149">
        <v>12</v>
      </c>
      <c r="H13" s="399">
        <v>15</v>
      </c>
      <c r="I13" s="199"/>
      <c r="J13" s="149"/>
      <c r="K13" s="149"/>
      <c r="L13" s="149"/>
      <c r="M13" s="199"/>
      <c r="N13" s="149"/>
      <c r="O13" s="149"/>
      <c r="P13" s="149"/>
      <c r="Q13" s="199"/>
      <c r="R13" s="190">
        <f t="shared" si="0"/>
        <v>49</v>
      </c>
      <c r="S13" s="156">
        <f t="shared" si="2"/>
        <v>0</v>
      </c>
      <c r="T13" s="189"/>
      <c r="U13" s="189"/>
      <c r="V13" s="189"/>
      <c r="W13" s="189"/>
      <c r="X13" s="189"/>
      <c r="Y13" s="151"/>
      <c r="Z13" s="151"/>
      <c r="AA13" s="151"/>
      <c r="AB13" s="151"/>
      <c r="AC13" s="151"/>
      <c r="AD13" s="151"/>
      <c r="AE13" s="151"/>
      <c r="AG13" s="149" t="s">
        <v>298</v>
      </c>
      <c r="AH13" s="149"/>
      <c r="AI13" s="149"/>
      <c r="AJ13" s="149"/>
      <c r="AK13" s="199"/>
      <c r="AL13" s="149"/>
      <c r="AM13" s="149"/>
      <c r="AN13" s="149"/>
      <c r="AO13" s="199"/>
      <c r="AP13" s="149"/>
      <c r="AQ13" s="149"/>
      <c r="AR13" s="149"/>
      <c r="AS13" s="199"/>
      <c r="AT13" s="149"/>
      <c r="AU13" s="149"/>
      <c r="AV13" s="149"/>
      <c r="AW13" s="199"/>
      <c r="AX13" s="190">
        <f t="shared" si="1"/>
        <v>0</v>
      </c>
      <c r="AY13" s="156">
        <f t="shared" si="3"/>
        <v>0</v>
      </c>
      <c r="AZ13" s="151"/>
      <c r="BA13" s="151"/>
      <c r="BB13" s="151"/>
      <c r="BC13" s="151"/>
      <c r="BD13" s="151"/>
      <c r="BE13" s="151"/>
      <c r="BF13" s="151"/>
      <c r="BG13" s="151"/>
      <c r="BH13" s="151"/>
      <c r="BI13" s="151"/>
      <c r="BJ13" s="151"/>
      <c r="BK13" s="151"/>
    </row>
    <row r="14" spans="1:63" x14ac:dyDescent="0.25">
      <c r="A14" s="149" t="s">
        <v>299</v>
      </c>
      <c r="B14" s="149"/>
      <c r="C14" s="149"/>
      <c r="D14" s="149"/>
      <c r="E14" s="199"/>
      <c r="F14" s="149">
        <v>18</v>
      </c>
      <c r="G14" s="149"/>
      <c r="H14" s="399"/>
      <c r="I14" s="199"/>
      <c r="J14" s="149"/>
      <c r="K14" s="149"/>
      <c r="L14" s="149"/>
      <c r="M14" s="199"/>
      <c r="N14" s="149"/>
      <c r="O14" s="149"/>
      <c r="P14" s="149"/>
      <c r="Q14" s="199"/>
      <c r="R14" s="190">
        <f t="shared" si="0"/>
        <v>18</v>
      </c>
      <c r="S14" s="156">
        <f t="shared" si="2"/>
        <v>0</v>
      </c>
      <c r="T14" s="189"/>
      <c r="U14" s="189"/>
      <c r="V14" s="189"/>
      <c r="W14" s="189"/>
      <c r="X14" s="189"/>
      <c r="Y14" s="151"/>
      <c r="Z14" s="151"/>
      <c r="AA14" s="151"/>
      <c r="AB14" s="151"/>
      <c r="AC14" s="151"/>
      <c r="AD14" s="151"/>
      <c r="AE14" s="151"/>
      <c r="AG14" s="149" t="s">
        <v>299</v>
      </c>
      <c r="AH14" s="149"/>
      <c r="AI14" s="149"/>
      <c r="AJ14" s="149"/>
      <c r="AK14" s="199"/>
      <c r="AL14" s="149"/>
      <c r="AM14" s="149"/>
      <c r="AN14" s="149"/>
      <c r="AO14" s="199"/>
      <c r="AP14" s="149"/>
      <c r="AQ14" s="149"/>
      <c r="AR14" s="149"/>
      <c r="AS14" s="199"/>
      <c r="AT14" s="149"/>
      <c r="AU14" s="149"/>
      <c r="AV14" s="149"/>
      <c r="AW14" s="199"/>
      <c r="AX14" s="190">
        <f t="shared" si="1"/>
        <v>0</v>
      </c>
      <c r="AY14" s="156">
        <f t="shared" si="3"/>
        <v>0</v>
      </c>
      <c r="AZ14" s="151"/>
      <c r="BA14" s="151"/>
      <c r="BB14" s="151"/>
      <c r="BC14" s="151"/>
      <c r="BD14" s="151"/>
      <c r="BE14" s="151"/>
      <c r="BF14" s="151"/>
      <c r="BG14" s="151"/>
      <c r="BH14" s="151"/>
      <c r="BI14" s="151"/>
      <c r="BJ14" s="151"/>
      <c r="BK14" s="151"/>
    </row>
    <row r="15" spans="1:63" x14ac:dyDescent="0.25">
      <c r="A15" s="149" t="s">
        <v>300</v>
      </c>
      <c r="B15" s="149"/>
      <c r="C15" s="149"/>
      <c r="D15" s="149"/>
      <c r="E15" s="199"/>
      <c r="F15" s="149">
        <v>22</v>
      </c>
      <c r="G15" s="149">
        <v>42</v>
      </c>
      <c r="H15" s="399"/>
      <c r="I15" s="199"/>
      <c r="J15" s="149"/>
      <c r="K15" s="149"/>
      <c r="L15" s="149"/>
      <c r="M15" s="199"/>
      <c r="N15" s="149"/>
      <c r="O15" s="149"/>
      <c r="P15" s="149"/>
      <c r="Q15" s="199"/>
      <c r="R15" s="190">
        <f t="shared" si="0"/>
        <v>64</v>
      </c>
      <c r="S15" s="156">
        <f t="shared" si="2"/>
        <v>0</v>
      </c>
      <c r="T15" s="189"/>
      <c r="U15" s="189"/>
      <c r="V15" s="189"/>
      <c r="W15" s="189"/>
      <c r="X15" s="189"/>
      <c r="Y15" s="151"/>
      <c r="Z15" s="151"/>
      <c r="AA15" s="151"/>
      <c r="AB15" s="151"/>
      <c r="AC15" s="151"/>
      <c r="AD15" s="151"/>
      <c r="AE15" s="151"/>
      <c r="AG15" s="149" t="s">
        <v>300</v>
      </c>
      <c r="AH15" s="149"/>
      <c r="AI15" s="149"/>
      <c r="AJ15" s="149"/>
      <c r="AK15" s="199"/>
      <c r="AL15" s="149"/>
      <c r="AM15" s="149"/>
      <c r="AN15" s="149"/>
      <c r="AO15" s="199"/>
      <c r="AP15" s="149"/>
      <c r="AQ15" s="149"/>
      <c r="AR15" s="149"/>
      <c r="AS15" s="199"/>
      <c r="AT15" s="149"/>
      <c r="AU15" s="149"/>
      <c r="AV15" s="149"/>
      <c r="AW15" s="199"/>
      <c r="AX15" s="190">
        <f t="shared" si="1"/>
        <v>0</v>
      </c>
      <c r="AY15" s="156">
        <f t="shared" si="3"/>
        <v>0</v>
      </c>
      <c r="AZ15" s="151"/>
      <c r="BA15" s="151"/>
      <c r="BB15" s="151"/>
      <c r="BC15" s="151"/>
      <c r="BD15" s="151"/>
      <c r="BE15" s="151"/>
      <c r="BF15" s="151"/>
      <c r="BG15" s="151"/>
      <c r="BH15" s="151"/>
      <c r="BI15" s="151"/>
      <c r="BJ15" s="151"/>
      <c r="BK15" s="151"/>
    </row>
    <row r="16" spans="1:63" x14ac:dyDescent="0.25">
      <c r="A16" s="149" t="s">
        <v>301</v>
      </c>
      <c r="B16" s="149"/>
      <c r="C16" s="149"/>
      <c r="D16" s="149">
        <v>16</v>
      </c>
      <c r="E16" s="199"/>
      <c r="F16" s="149">
        <v>11</v>
      </c>
      <c r="G16" s="149"/>
      <c r="H16" s="399">
        <v>27</v>
      </c>
      <c r="I16" s="199"/>
      <c r="J16" s="149"/>
      <c r="K16" s="149"/>
      <c r="L16" s="149"/>
      <c r="M16" s="199"/>
      <c r="N16" s="149"/>
      <c r="O16" s="149"/>
      <c r="P16" s="149"/>
      <c r="Q16" s="199"/>
      <c r="R16" s="190">
        <f t="shared" si="0"/>
        <v>54</v>
      </c>
      <c r="S16" s="156">
        <f t="shared" si="2"/>
        <v>0</v>
      </c>
      <c r="T16" s="189"/>
      <c r="U16" s="189"/>
      <c r="V16" s="189"/>
      <c r="W16" s="189"/>
      <c r="X16" s="189"/>
      <c r="Y16" s="151"/>
      <c r="Z16" s="151"/>
      <c r="AA16" s="151"/>
      <c r="AB16" s="151"/>
      <c r="AC16" s="151"/>
      <c r="AD16" s="151"/>
      <c r="AE16" s="151"/>
      <c r="AG16" s="149" t="s">
        <v>301</v>
      </c>
      <c r="AH16" s="149"/>
      <c r="AI16" s="149"/>
      <c r="AJ16" s="149"/>
      <c r="AK16" s="199"/>
      <c r="AL16" s="149"/>
      <c r="AM16" s="149"/>
      <c r="AN16" s="149"/>
      <c r="AO16" s="199"/>
      <c r="AP16" s="149"/>
      <c r="AQ16" s="149"/>
      <c r="AR16" s="149"/>
      <c r="AS16" s="199"/>
      <c r="AT16" s="149"/>
      <c r="AU16" s="149"/>
      <c r="AV16" s="149"/>
      <c r="AW16" s="199"/>
      <c r="AX16" s="190">
        <f t="shared" si="1"/>
        <v>0</v>
      </c>
      <c r="AY16" s="156">
        <f t="shared" si="3"/>
        <v>0</v>
      </c>
      <c r="AZ16" s="151"/>
      <c r="BA16" s="151"/>
      <c r="BB16" s="151"/>
      <c r="BC16" s="151"/>
      <c r="BD16" s="151"/>
      <c r="BE16" s="151"/>
      <c r="BF16" s="151"/>
      <c r="BG16" s="151"/>
      <c r="BH16" s="151"/>
      <c r="BI16" s="151"/>
      <c r="BJ16" s="151"/>
      <c r="BK16" s="151"/>
    </row>
    <row r="17" spans="1:63" x14ac:dyDescent="0.25">
      <c r="A17" s="149" t="s">
        <v>302</v>
      </c>
      <c r="B17" s="149"/>
      <c r="C17" s="149"/>
      <c r="D17" s="149"/>
      <c r="E17" s="199"/>
      <c r="F17" s="149">
        <v>0</v>
      </c>
      <c r="G17" s="149">
        <v>31</v>
      </c>
      <c r="H17" s="399"/>
      <c r="I17" s="199"/>
      <c r="J17" s="149"/>
      <c r="K17" s="149"/>
      <c r="L17" s="149"/>
      <c r="M17" s="199"/>
      <c r="N17" s="149"/>
      <c r="O17" s="149"/>
      <c r="P17" s="149"/>
      <c r="Q17" s="199"/>
      <c r="R17" s="190">
        <f t="shared" si="0"/>
        <v>31</v>
      </c>
      <c r="S17" s="156">
        <f t="shared" si="2"/>
        <v>0</v>
      </c>
      <c r="T17" s="189"/>
      <c r="U17" s="189"/>
      <c r="V17" s="189"/>
      <c r="W17" s="189"/>
      <c r="X17" s="189"/>
      <c r="Y17" s="151"/>
      <c r="Z17" s="151"/>
      <c r="AA17" s="151"/>
      <c r="AB17" s="151"/>
      <c r="AC17" s="151"/>
      <c r="AD17" s="151"/>
      <c r="AE17" s="151"/>
      <c r="AG17" s="149" t="s">
        <v>302</v>
      </c>
      <c r="AH17" s="149"/>
      <c r="AI17" s="149"/>
      <c r="AJ17" s="149"/>
      <c r="AK17" s="199"/>
      <c r="AL17" s="149"/>
      <c r="AM17" s="149"/>
      <c r="AN17" s="149"/>
      <c r="AO17" s="199"/>
      <c r="AP17" s="149"/>
      <c r="AQ17" s="149"/>
      <c r="AR17" s="149"/>
      <c r="AS17" s="199"/>
      <c r="AT17" s="149"/>
      <c r="AU17" s="149"/>
      <c r="AV17" s="149"/>
      <c r="AW17" s="199"/>
      <c r="AX17" s="190">
        <f t="shared" si="1"/>
        <v>0</v>
      </c>
      <c r="AY17" s="156">
        <f t="shared" si="3"/>
        <v>0</v>
      </c>
      <c r="AZ17" s="151"/>
      <c r="BA17" s="151"/>
      <c r="BB17" s="151"/>
      <c r="BC17" s="151"/>
      <c r="BD17" s="151"/>
      <c r="BE17" s="151"/>
      <c r="BF17" s="151"/>
      <c r="BG17" s="151"/>
      <c r="BH17" s="151"/>
      <c r="BI17" s="151"/>
      <c r="BJ17" s="151"/>
      <c r="BK17" s="151"/>
    </row>
    <row r="18" spans="1:63" x14ac:dyDescent="0.25">
      <c r="A18" s="149" t="s">
        <v>303</v>
      </c>
      <c r="B18" s="149"/>
      <c r="C18" s="149"/>
      <c r="D18" s="149">
        <v>10</v>
      </c>
      <c r="E18" s="199"/>
      <c r="F18" s="149">
        <v>22</v>
      </c>
      <c r="G18" s="149">
        <v>27</v>
      </c>
      <c r="H18" s="399">
        <v>20</v>
      </c>
      <c r="I18" s="199"/>
      <c r="J18" s="149"/>
      <c r="K18" s="149"/>
      <c r="L18" s="149"/>
      <c r="M18" s="199"/>
      <c r="N18" s="149"/>
      <c r="O18" s="149"/>
      <c r="P18" s="149"/>
      <c r="Q18" s="199"/>
      <c r="R18" s="190">
        <f t="shared" si="0"/>
        <v>79</v>
      </c>
      <c r="S18" s="156">
        <f t="shared" si="2"/>
        <v>0</v>
      </c>
      <c r="T18" s="189"/>
      <c r="U18" s="189"/>
      <c r="V18" s="189"/>
      <c r="W18" s="189"/>
      <c r="X18" s="189"/>
      <c r="Y18" s="151"/>
      <c r="Z18" s="151"/>
      <c r="AA18" s="151"/>
      <c r="AB18" s="151"/>
      <c r="AC18" s="151"/>
      <c r="AD18" s="151"/>
      <c r="AE18" s="151"/>
      <c r="AG18" s="149" t="s">
        <v>303</v>
      </c>
      <c r="AH18" s="149"/>
      <c r="AI18" s="149"/>
      <c r="AJ18" s="149"/>
      <c r="AK18" s="199"/>
      <c r="AL18" s="149"/>
      <c r="AM18" s="149"/>
      <c r="AN18" s="149"/>
      <c r="AO18" s="199"/>
      <c r="AP18" s="149"/>
      <c r="AQ18" s="149"/>
      <c r="AR18" s="149"/>
      <c r="AS18" s="199"/>
      <c r="AT18" s="149"/>
      <c r="AU18" s="149"/>
      <c r="AV18" s="149"/>
      <c r="AW18" s="199"/>
      <c r="AX18" s="190">
        <f t="shared" si="1"/>
        <v>0</v>
      </c>
      <c r="AY18" s="156">
        <f t="shared" si="3"/>
        <v>0</v>
      </c>
      <c r="AZ18" s="151"/>
      <c r="BA18" s="151"/>
      <c r="BB18" s="151"/>
      <c r="BC18" s="151"/>
      <c r="BD18" s="151"/>
      <c r="BE18" s="151"/>
      <c r="BF18" s="151"/>
      <c r="BG18" s="151"/>
      <c r="BH18" s="151"/>
      <c r="BI18" s="151"/>
      <c r="BJ18" s="151"/>
      <c r="BK18" s="151"/>
    </row>
    <row r="19" spans="1:63" x14ac:dyDescent="0.25">
      <c r="A19" s="149" t="s">
        <v>304</v>
      </c>
      <c r="B19" s="149"/>
      <c r="C19" s="149"/>
      <c r="D19" s="149">
        <v>27</v>
      </c>
      <c r="E19" s="199"/>
      <c r="F19" s="149">
        <v>47</v>
      </c>
      <c r="G19" s="149">
        <v>28</v>
      </c>
      <c r="H19" s="399">
        <v>28</v>
      </c>
      <c r="I19" s="199"/>
      <c r="J19" s="149"/>
      <c r="K19" s="149"/>
      <c r="L19" s="149"/>
      <c r="M19" s="199"/>
      <c r="N19" s="149"/>
      <c r="O19" s="149"/>
      <c r="P19" s="149"/>
      <c r="Q19" s="199"/>
      <c r="R19" s="190">
        <f t="shared" si="0"/>
        <v>130</v>
      </c>
      <c r="S19" s="156">
        <f t="shared" si="2"/>
        <v>0</v>
      </c>
      <c r="T19" s="189"/>
      <c r="U19" s="189"/>
      <c r="V19" s="189"/>
      <c r="W19" s="189"/>
      <c r="X19" s="189"/>
      <c r="Y19" s="151"/>
      <c r="Z19" s="151"/>
      <c r="AA19" s="151"/>
      <c r="AB19" s="151"/>
      <c r="AC19" s="151"/>
      <c r="AD19" s="151"/>
      <c r="AE19" s="151"/>
      <c r="AG19" s="149" t="s">
        <v>304</v>
      </c>
      <c r="AH19" s="149"/>
      <c r="AI19" s="149"/>
      <c r="AJ19" s="149"/>
      <c r="AK19" s="199"/>
      <c r="AL19" s="149"/>
      <c r="AM19" s="149"/>
      <c r="AN19" s="149"/>
      <c r="AO19" s="199"/>
      <c r="AP19" s="149"/>
      <c r="AQ19" s="149"/>
      <c r="AR19" s="149"/>
      <c r="AS19" s="199"/>
      <c r="AT19" s="149"/>
      <c r="AU19" s="149"/>
      <c r="AV19" s="149"/>
      <c r="AW19" s="199"/>
      <c r="AX19" s="190">
        <f t="shared" si="1"/>
        <v>0</v>
      </c>
      <c r="AY19" s="156">
        <f t="shared" si="3"/>
        <v>0</v>
      </c>
      <c r="AZ19" s="151"/>
      <c r="BA19" s="151"/>
      <c r="BB19" s="151"/>
      <c r="BC19" s="151"/>
      <c r="BD19" s="151"/>
      <c r="BE19" s="151"/>
      <c r="BF19" s="151"/>
      <c r="BG19" s="151"/>
      <c r="BH19" s="151"/>
      <c r="BI19" s="149"/>
      <c r="BJ19" s="149"/>
      <c r="BK19" s="149"/>
    </row>
    <row r="20" spans="1:63" x14ac:dyDescent="0.25">
      <c r="A20" s="149" t="s">
        <v>305</v>
      </c>
      <c r="B20" s="149"/>
      <c r="C20" s="149"/>
      <c r="D20" s="149">
        <v>15</v>
      </c>
      <c r="E20" s="199"/>
      <c r="F20" s="149">
        <v>18</v>
      </c>
      <c r="G20" s="149">
        <v>9</v>
      </c>
      <c r="H20" s="399">
        <v>13</v>
      </c>
      <c r="I20" s="199"/>
      <c r="J20" s="149"/>
      <c r="K20" s="149"/>
      <c r="L20" s="149"/>
      <c r="M20" s="199"/>
      <c r="N20" s="149"/>
      <c r="O20" s="149"/>
      <c r="P20" s="149"/>
      <c r="Q20" s="199"/>
      <c r="R20" s="190">
        <f t="shared" si="0"/>
        <v>55</v>
      </c>
      <c r="S20" s="156">
        <f t="shared" si="2"/>
        <v>0</v>
      </c>
      <c r="T20" s="189"/>
      <c r="U20" s="189"/>
      <c r="V20" s="189"/>
      <c r="W20" s="189"/>
      <c r="X20" s="189"/>
      <c r="Y20" s="151"/>
      <c r="Z20" s="151"/>
      <c r="AA20" s="151"/>
      <c r="AB20" s="151"/>
      <c r="AC20" s="151"/>
      <c r="AD20" s="151"/>
      <c r="AE20" s="151"/>
      <c r="AG20" s="149" t="s">
        <v>305</v>
      </c>
      <c r="AH20" s="149"/>
      <c r="AI20" s="149"/>
      <c r="AJ20" s="149"/>
      <c r="AK20" s="199"/>
      <c r="AL20" s="149"/>
      <c r="AM20" s="149"/>
      <c r="AN20" s="149"/>
      <c r="AO20" s="199"/>
      <c r="AP20" s="149"/>
      <c r="AQ20" s="149"/>
      <c r="AR20" s="149"/>
      <c r="AS20" s="199"/>
      <c r="AT20" s="149"/>
      <c r="AU20" s="149"/>
      <c r="AV20" s="149"/>
      <c r="AW20" s="199"/>
      <c r="AX20" s="190">
        <f t="shared" si="1"/>
        <v>0</v>
      </c>
      <c r="AY20" s="156">
        <f t="shared" si="3"/>
        <v>0</v>
      </c>
      <c r="AZ20" s="151"/>
      <c r="BA20" s="151"/>
      <c r="BB20" s="151"/>
      <c r="BC20" s="151"/>
      <c r="BD20" s="151"/>
      <c r="BE20" s="151"/>
      <c r="BF20" s="151"/>
      <c r="BG20" s="151"/>
      <c r="BH20" s="151"/>
      <c r="BI20" s="149"/>
      <c r="BJ20" s="149"/>
      <c r="BK20" s="149"/>
    </row>
    <row r="21" spans="1:63" x14ac:dyDescent="0.25">
      <c r="A21" s="149" t="s">
        <v>306</v>
      </c>
      <c r="B21" s="149"/>
      <c r="C21" s="149"/>
      <c r="D21" s="149">
        <v>12</v>
      </c>
      <c r="E21" s="199"/>
      <c r="F21" s="149">
        <v>7</v>
      </c>
      <c r="G21" s="149">
        <v>18</v>
      </c>
      <c r="H21" s="399">
        <v>13</v>
      </c>
      <c r="I21" s="199"/>
      <c r="J21" s="149"/>
      <c r="K21" s="149"/>
      <c r="L21" s="149"/>
      <c r="M21" s="199"/>
      <c r="N21" s="149"/>
      <c r="O21" s="149"/>
      <c r="P21" s="149"/>
      <c r="Q21" s="199"/>
      <c r="R21" s="190">
        <f t="shared" si="0"/>
        <v>50</v>
      </c>
      <c r="S21" s="156">
        <f t="shared" si="2"/>
        <v>0</v>
      </c>
      <c r="T21" s="189"/>
      <c r="U21" s="189"/>
      <c r="V21" s="189"/>
      <c r="W21" s="189"/>
      <c r="X21" s="189"/>
      <c r="Y21" s="151"/>
      <c r="Z21" s="151"/>
      <c r="AA21" s="151"/>
      <c r="AB21" s="151"/>
      <c r="AC21" s="151"/>
      <c r="AD21" s="151"/>
      <c r="AE21" s="151"/>
      <c r="AG21" s="149" t="s">
        <v>306</v>
      </c>
      <c r="AH21" s="149"/>
      <c r="AI21" s="149"/>
      <c r="AJ21" s="149"/>
      <c r="AK21" s="199"/>
      <c r="AL21" s="149"/>
      <c r="AM21" s="149"/>
      <c r="AN21" s="149"/>
      <c r="AO21" s="199"/>
      <c r="AP21" s="149"/>
      <c r="AQ21" s="149"/>
      <c r="AR21" s="149"/>
      <c r="AS21" s="199"/>
      <c r="AT21" s="149"/>
      <c r="AU21" s="149"/>
      <c r="AV21" s="149"/>
      <c r="AW21" s="199"/>
      <c r="AX21" s="190">
        <f t="shared" si="1"/>
        <v>0</v>
      </c>
      <c r="AY21" s="156">
        <f t="shared" si="3"/>
        <v>0</v>
      </c>
      <c r="AZ21" s="151"/>
      <c r="BA21" s="151"/>
      <c r="BB21" s="151"/>
      <c r="BC21" s="151"/>
      <c r="BD21" s="151"/>
      <c r="BE21" s="151"/>
      <c r="BF21" s="151"/>
      <c r="BG21" s="151"/>
      <c r="BH21" s="151"/>
      <c r="BI21" s="149"/>
      <c r="BJ21" s="149"/>
      <c r="BK21" s="149"/>
    </row>
    <row r="22" spans="1:63" x14ac:dyDescent="0.25">
      <c r="A22" s="149" t="s">
        <v>307</v>
      </c>
      <c r="B22" s="149"/>
      <c r="C22" s="149"/>
      <c r="D22" s="149">
        <v>14</v>
      </c>
      <c r="E22" s="199"/>
      <c r="F22" s="149">
        <v>20</v>
      </c>
      <c r="G22" s="149">
        <v>29</v>
      </c>
      <c r="H22" s="399">
        <v>16</v>
      </c>
      <c r="I22" s="199"/>
      <c r="J22" s="149"/>
      <c r="K22" s="149"/>
      <c r="L22" s="149"/>
      <c r="M22" s="199"/>
      <c r="N22" s="149"/>
      <c r="O22" s="149"/>
      <c r="P22" s="149"/>
      <c r="Q22" s="199"/>
      <c r="R22" s="190">
        <f t="shared" si="0"/>
        <v>79</v>
      </c>
      <c r="S22" s="156">
        <f t="shared" si="2"/>
        <v>0</v>
      </c>
      <c r="T22" s="189"/>
      <c r="U22" s="189"/>
      <c r="V22" s="189"/>
      <c r="W22" s="189"/>
      <c r="X22" s="189"/>
      <c r="Y22" s="151"/>
      <c r="Z22" s="151"/>
      <c r="AA22" s="151"/>
      <c r="AB22" s="151"/>
      <c r="AC22" s="151"/>
      <c r="AD22" s="151"/>
      <c r="AE22" s="151"/>
      <c r="AG22" s="149" t="s">
        <v>307</v>
      </c>
      <c r="AH22" s="149"/>
      <c r="AI22" s="149"/>
      <c r="AJ22" s="149"/>
      <c r="AK22" s="199"/>
      <c r="AL22" s="149"/>
      <c r="AM22" s="149"/>
      <c r="AN22" s="149"/>
      <c r="AO22" s="199"/>
      <c r="AP22" s="149"/>
      <c r="AQ22" s="149"/>
      <c r="AR22" s="149"/>
      <c r="AS22" s="199"/>
      <c r="AT22" s="149"/>
      <c r="AU22" s="149"/>
      <c r="AV22" s="149"/>
      <c r="AW22" s="199"/>
      <c r="AX22" s="190">
        <f t="shared" si="1"/>
        <v>0</v>
      </c>
      <c r="AY22" s="156">
        <f t="shared" si="3"/>
        <v>0</v>
      </c>
      <c r="AZ22" s="151"/>
      <c r="BA22" s="151"/>
      <c r="BB22" s="151"/>
      <c r="BC22" s="151"/>
      <c r="BD22" s="151"/>
      <c r="BE22" s="151"/>
      <c r="BF22" s="151"/>
      <c r="BG22" s="151"/>
      <c r="BH22" s="151"/>
      <c r="BI22" s="151"/>
      <c r="BJ22" s="151"/>
      <c r="BK22" s="151"/>
    </row>
    <row r="23" spans="1:63" x14ac:dyDescent="0.25">
      <c r="A23" s="149" t="s">
        <v>308</v>
      </c>
      <c r="B23" s="149"/>
      <c r="C23" s="149"/>
      <c r="D23" s="149">
        <v>18</v>
      </c>
      <c r="E23" s="199"/>
      <c r="F23" s="149">
        <v>24</v>
      </c>
      <c r="G23" s="149"/>
      <c r="H23" s="399">
        <v>2</v>
      </c>
      <c r="I23" s="199"/>
      <c r="J23" s="149"/>
      <c r="K23" s="149"/>
      <c r="L23" s="149"/>
      <c r="M23" s="199"/>
      <c r="N23" s="149"/>
      <c r="O23" s="149"/>
      <c r="P23" s="149"/>
      <c r="Q23" s="199"/>
      <c r="R23" s="190">
        <f t="shared" si="0"/>
        <v>44</v>
      </c>
      <c r="S23" s="156">
        <f t="shared" si="2"/>
        <v>0</v>
      </c>
      <c r="T23" s="189"/>
      <c r="U23" s="189"/>
      <c r="V23" s="189"/>
      <c r="W23" s="189"/>
      <c r="X23" s="189"/>
      <c r="Y23" s="151"/>
      <c r="Z23" s="151"/>
      <c r="AA23" s="151"/>
      <c r="AB23" s="151"/>
      <c r="AC23" s="151"/>
      <c r="AD23" s="151"/>
      <c r="AE23" s="151"/>
      <c r="AG23" s="149" t="s">
        <v>308</v>
      </c>
      <c r="AH23" s="149"/>
      <c r="AI23" s="149"/>
      <c r="AJ23" s="149"/>
      <c r="AK23" s="199"/>
      <c r="AL23" s="149"/>
      <c r="AM23" s="149"/>
      <c r="AN23" s="149"/>
      <c r="AO23" s="199"/>
      <c r="AP23" s="149"/>
      <c r="AQ23" s="149"/>
      <c r="AR23" s="149"/>
      <c r="AS23" s="199"/>
      <c r="AT23" s="149"/>
      <c r="AU23" s="149"/>
      <c r="AV23" s="149"/>
      <c r="AW23" s="199"/>
      <c r="AX23" s="190">
        <f t="shared" si="1"/>
        <v>0</v>
      </c>
      <c r="AY23" s="156">
        <f t="shared" si="3"/>
        <v>0</v>
      </c>
      <c r="AZ23" s="151"/>
      <c r="BA23" s="151"/>
      <c r="BB23" s="151"/>
      <c r="BC23" s="151"/>
      <c r="BD23" s="151"/>
      <c r="BE23" s="151"/>
      <c r="BF23" s="151"/>
      <c r="BG23" s="151"/>
      <c r="BH23" s="151"/>
      <c r="BI23" s="151"/>
      <c r="BJ23" s="151"/>
      <c r="BK23" s="151"/>
    </row>
    <row r="24" spans="1:63" x14ac:dyDescent="0.25">
      <c r="A24" s="149" t="s">
        <v>309</v>
      </c>
      <c r="B24" s="149"/>
      <c r="C24" s="149"/>
      <c r="D24" s="149"/>
      <c r="E24" s="199"/>
      <c r="F24" s="149">
        <v>0</v>
      </c>
      <c r="G24" s="149">
        <v>9</v>
      </c>
      <c r="H24" s="399"/>
      <c r="I24" s="199"/>
      <c r="J24" s="149"/>
      <c r="K24" s="149"/>
      <c r="L24" s="149"/>
      <c r="M24" s="199"/>
      <c r="N24" s="149"/>
      <c r="O24" s="149"/>
      <c r="P24" s="149"/>
      <c r="Q24" s="199"/>
      <c r="R24" s="190">
        <f t="shared" si="0"/>
        <v>9</v>
      </c>
      <c r="S24" s="156">
        <f t="shared" si="2"/>
        <v>0</v>
      </c>
      <c r="T24" s="189"/>
      <c r="U24" s="189"/>
      <c r="V24" s="189"/>
      <c r="W24" s="189"/>
      <c r="X24" s="189"/>
      <c r="Y24" s="151"/>
      <c r="Z24" s="151"/>
      <c r="AA24" s="151"/>
      <c r="AB24" s="151"/>
      <c r="AC24" s="151"/>
      <c r="AD24" s="151"/>
      <c r="AE24" s="151"/>
      <c r="AG24" s="149" t="s">
        <v>309</v>
      </c>
      <c r="AH24" s="149"/>
      <c r="AI24" s="149"/>
      <c r="AJ24" s="149"/>
      <c r="AK24" s="199"/>
      <c r="AL24" s="149"/>
      <c r="AM24" s="149"/>
      <c r="AN24" s="149"/>
      <c r="AO24" s="199"/>
      <c r="AP24" s="149"/>
      <c r="AQ24" s="149"/>
      <c r="AR24" s="149"/>
      <c r="AS24" s="199"/>
      <c r="AT24" s="149"/>
      <c r="AU24" s="149"/>
      <c r="AV24" s="149"/>
      <c r="AW24" s="199"/>
      <c r="AX24" s="190">
        <f t="shared" si="1"/>
        <v>0</v>
      </c>
      <c r="AY24" s="156">
        <f t="shared" si="3"/>
        <v>0</v>
      </c>
      <c r="AZ24" s="151"/>
      <c r="BA24" s="151"/>
      <c r="BB24" s="151"/>
      <c r="BC24" s="151"/>
      <c r="BD24" s="151"/>
      <c r="BE24" s="151"/>
      <c r="BF24" s="151"/>
      <c r="BG24" s="151"/>
      <c r="BH24" s="151"/>
      <c r="BI24" s="151"/>
      <c r="BJ24" s="151"/>
      <c r="BK24" s="151"/>
    </row>
    <row r="25" spans="1:63" x14ac:dyDescent="0.25">
      <c r="A25" s="149" t="s">
        <v>310</v>
      </c>
      <c r="B25" s="149"/>
      <c r="C25" s="149"/>
      <c r="D25" s="149">
        <v>15</v>
      </c>
      <c r="E25" s="199"/>
      <c r="F25" s="149">
        <v>15</v>
      </c>
      <c r="G25" s="149">
        <v>15</v>
      </c>
      <c r="H25" s="399">
        <v>12</v>
      </c>
      <c r="I25" s="199"/>
      <c r="J25" s="149"/>
      <c r="K25" s="149"/>
      <c r="L25" s="149"/>
      <c r="M25" s="199"/>
      <c r="N25" s="149"/>
      <c r="O25" s="149"/>
      <c r="P25" s="149"/>
      <c r="Q25" s="199"/>
      <c r="R25" s="190">
        <f t="shared" si="0"/>
        <v>57</v>
      </c>
      <c r="S25" s="156">
        <f t="shared" si="2"/>
        <v>0</v>
      </c>
      <c r="T25" s="189"/>
      <c r="U25" s="189"/>
      <c r="V25" s="189"/>
      <c r="W25" s="189"/>
      <c r="X25" s="189"/>
      <c r="Y25" s="151"/>
      <c r="Z25" s="151"/>
      <c r="AA25" s="151"/>
      <c r="AB25" s="151"/>
      <c r="AC25" s="151"/>
      <c r="AD25" s="151"/>
      <c r="AE25" s="151"/>
      <c r="AG25" s="149" t="s">
        <v>310</v>
      </c>
      <c r="AH25" s="149"/>
      <c r="AI25" s="149"/>
      <c r="AJ25" s="149"/>
      <c r="AK25" s="199"/>
      <c r="AL25" s="149"/>
      <c r="AM25" s="149"/>
      <c r="AN25" s="149"/>
      <c r="AO25" s="199"/>
      <c r="AP25" s="149"/>
      <c r="AQ25" s="149"/>
      <c r="AR25" s="149"/>
      <c r="AS25" s="199"/>
      <c r="AT25" s="149"/>
      <c r="AU25" s="149"/>
      <c r="AV25" s="149"/>
      <c r="AW25" s="199"/>
      <c r="AX25" s="190">
        <f t="shared" si="1"/>
        <v>0</v>
      </c>
      <c r="AY25" s="156">
        <f t="shared" si="3"/>
        <v>0</v>
      </c>
      <c r="AZ25" s="151"/>
      <c r="BA25" s="151"/>
      <c r="BB25" s="151"/>
      <c r="BC25" s="151"/>
      <c r="BD25" s="151"/>
      <c r="BE25" s="151"/>
      <c r="BF25" s="151"/>
      <c r="BG25" s="151"/>
      <c r="BH25" s="151"/>
      <c r="BI25" s="151"/>
      <c r="BJ25" s="151"/>
      <c r="BK25" s="151"/>
    </row>
    <row r="26" spans="1:63" x14ac:dyDescent="0.25">
      <c r="A26" s="149" t="s">
        <v>311</v>
      </c>
      <c r="B26" s="149"/>
      <c r="C26" s="149"/>
      <c r="D26" s="149">
        <v>24</v>
      </c>
      <c r="E26" s="199"/>
      <c r="F26" s="149">
        <v>0</v>
      </c>
      <c r="G26" s="149">
        <v>20</v>
      </c>
      <c r="H26" s="399">
        <v>15</v>
      </c>
      <c r="I26" s="199"/>
      <c r="J26" s="149"/>
      <c r="K26" s="149"/>
      <c r="L26" s="149"/>
      <c r="M26" s="199"/>
      <c r="N26" s="149"/>
      <c r="O26" s="149"/>
      <c r="P26" s="149"/>
      <c r="Q26" s="199"/>
      <c r="R26" s="190">
        <f t="shared" si="0"/>
        <v>59</v>
      </c>
      <c r="S26" s="156">
        <f t="shared" si="2"/>
        <v>0</v>
      </c>
      <c r="T26" s="189"/>
      <c r="U26" s="189"/>
      <c r="V26" s="189"/>
      <c r="W26" s="189"/>
      <c r="X26" s="189"/>
      <c r="Y26" s="151"/>
      <c r="Z26" s="151"/>
      <c r="AA26" s="151"/>
      <c r="AB26" s="151"/>
      <c r="AC26" s="151"/>
      <c r="AD26" s="151"/>
      <c r="AE26" s="151"/>
      <c r="AG26" s="149" t="s">
        <v>311</v>
      </c>
      <c r="AH26" s="149"/>
      <c r="AI26" s="149"/>
      <c r="AJ26" s="149"/>
      <c r="AK26" s="199"/>
      <c r="AL26" s="149"/>
      <c r="AM26" s="149"/>
      <c r="AN26" s="149"/>
      <c r="AO26" s="199"/>
      <c r="AP26" s="149"/>
      <c r="AQ26" s="149"/>
      <c r="AR26" s="149"/>
      <c r="AS26" s="199"/>
      <c r="AT26" s="149"/>
      <c r="AU26" s="149"/>
      <c r="AV26" s="149"/>
      <c r="AW26" s="199"/>
      <c r="AX26" s="190">
        <f t="shared" si="1"/>
        <v>0</v>
      </c>
      <c r="AY26" s="156">
        <f t="shared" si="3"/>
        <v>0</v>
      </c>
      <c r="AZ26" s="151"/>
      <c r="BA26" s="151"/>
      <c r="BB26" s="151"/>
      <c r="BC26" s="151"/>
      <c r="BD26" s="151"/>
      <c r="BE26" s="151"/>
      <c r="BF26" s="151"/>
      <c r="BG26" s="151"/>
      <c r="BH26" s="151"/>
      <c r="BI26" s="151"/>
      <c r="BJ26" s="151"/>
      <c r="BK26" s="151"/>
    </row>
    <row r="27" spans="1:63" x14ac:dyDescent="0.25">
      <c r="A27" s="149" t="s">
        <v>312</v>
      </c>
      <c r="B27" s="149"/>
      <c r="C27" s="149"/>
      <c r="D27" s="149"/>
      <c r="E27" s="199"/>
      <c r="F27" s="149">
        <v>0</v>
      </c>
      <c r="G27" s="149">
        <v>59</v>
      </c>
      <c r="H27" s="399">
        <v>17</v>
      </c>
      <c r="I27" s="199"/>
      <c r="J27" s="149"/>
      <c r="K27" s="149"/>
      <c r="L27" s="149"/>
      <c r="M27" s="199"/>
      <c r="N27" s="149"/>
      <c r="O27" s="149"/>
      <c r="P27" s="149"/>
      <c r="Q27" s="199"/>
      <c r="R27" s="190">
        <f t="shared" si="0"/>
        <v>76</v>
      </c>
      <c r="S27" s="156">
        <f t="shared" si="2"/>
        <v>0</v>
      </c>
      <c r="T27" s="189"/>
      <c r="U27" s="189"/>
      <c r="V27" s="189"/>
      <c r="W27" s="189"/>
      <c r="X27" s="189"/>
      <c r="Y27" s="151"/>
      <c r="Z27" s="151"/>
      <c r="AA27" s="151"/>
      <c r="AB27" s="151"/>
      <c r="AC27" s="151"/>
      <c r="AD27" s="151"/>
      <c r="AE27" s="151"/>
      <c r="AG27" s="149" t="s">
        <v>312</v>
      </c>
      <c r="AH27" s="149"/>
      <c r="AI27" s="149"/>
      <c r="AJ27" s="149"/>
      <c r="AK27" s="199"/>
      <c r="AL27" s="149"/>
      <c r="AM27" s="149"/>
      <c r="AN27" s="149"/>
      <c r="AO27" s="199"/>
      <c r="AP27" s="149"/>
      <c r="AQ27" s="149"/>
      <c r="AR27" s="149"/>
      <c r="AS27" s="199"/>
      <c r="AT27" s="149"/>
      <c r="AU27" s="149"/>
      <c r="AV27" s="149"/>
      <c r="AW27" s="199"/>
      <c r="AX27" s="190">
        <f t="shared" si="1"/>
        <v>0</v>
      </c>
      <c r="AY27" s="156">
        <f t="shared" si="3"/>
        <v>0</v>
      </c>
      <c r="AZ27" s="151"/>
      <c r="BA27" s="151"/>
      <c r="BB27" s="151"/>
      <c r="BC27" s="151"/>
      <c r="BD27" s="151"/>
      <c r="BE27" s="151"/>
      <c r="BF27" s="151"/>
      <c r="BG27" s="151"/>
      <c r="BH27" s="151"/>
      <c r="BI27" s="151"/>
      <c r="BJ27" s="151"/>
      <c r="BK27" s="151"/>
    </row>
    <row r="28" spans="1:63" x14ac:dyDescent="0.25">
      <c r="A28" s="149" t="s">
        <v>313</v>
      </c>
      <c r="B28" s="149"/>
      <c r="C28" s="149"/>
      <c r="D28" s="149">
        <v>6</v>
      </c>
      <c r="E28" s="199"/>
      <c r="F28" s="149">
        <v>0</v>
      </c>
      <c r="G28" s="149">
        <v>13</v>
      </c>
      <c r="H28" s="399"/>
      <c r="I28" s="199"/>
      <c r="J28" s="149"/>
      <c r="K28" s="149"/>
      <c r="L28" s="149"/>
      <c r="M28" s="199"/>
      <c r="N28" s="149"/>
      <c r="O28" s="149"/>
      <c r="P28" s="149"/>
      <c r="Q28" s="199"/>
      <c r="R28" s="190">
        <f t="shared" si="0"/>
        <v>19</v>
      </c>
      <c r="S28" s="156">
        <f t="shared" si="2"/>
        <v>0</v>
      </c>
      <c r="T28" s="189"/>
      <c r="U28" s="189"/>
      <c r="V28" s="189"/>
      <c r="W28" s="189"/>
      <c r="X28" s="189"/>
      <c r="Y28" s="151"/>
      <c r="Z28" s="151"/>
      <c r="AA28" s="151"/>
      <c r="AB28" s="151"/>
      <c r="AC28" s="151"/>
      <c r="AD28" s="151"/>
      <c r="AE28" s="151"/>
      <c r="AG28" s="149" t="s">
        <v>313</v>
      </c>
      <c r="AH28" s="149"/>
      <c r="AI28" s="149"/>
      <c r="AJ28" s="149"/>
      <c r="AK28" s="199"/>
      <c r="AL28" s="149"/>
      <c r="AM28" s="149"/>
      <c r="AN28" s="149"/>
      <c r="AO28" s="199"/>
      <c r="AP28" s="149"/>
      <c r="AQ28" s="149"/>
      <c r="AR28" s="149"/>
      <c r="AS28" s="199"/>
      <c r="AT28" s="149"/>
      <c r="AU28" s="149"/>
      <c r="AV28" s="149"/>
      <c r="AW28" s="199"/>
      <c r="AX28" s="190">
        <f t="shared" si="1"/>
        <v>0</v>
      </c>
      <c r="AY28" s="156">
        <f t="shared" si="3"/>
        <v>0</v>
      </c>
      <c r="AZ28" s="151"/>
      <c r="BA28" s="151"/>
      <c r="BB28" s="151"/>
      <c r="BC28" s="151"/>
      <c r="BD28" s="151"/>
      <c r="BE28" s="151"/>
      <c r="BF28" s="151"/>
      <c r="BG28" s="151"/>
      <c r="BH28" s="151"/>
      <c r="BI28" s="151"/>
      <c r="BJ28" s="151"/>
      <c r="BK28" s="151"/>
    </row>
    <row r="29" spans="1:63" x14ac:dyDescent="0.25">
      <c r="A29" s="149" t="s">
        <v>314</v>
      </c>
      <c r="B29" s="149"/>
      <c r="C29" s="149"/>
      <c r="D29" s="149"/>
      <c r="E29" s="199"/>
      <c r="F29" s="149">
        <v>0</v>
      </c>
      <c r="G29" s="149">
        <v>39</v>
      </c>
      <c r="H29" s="399">
        <v>31</v>
      </c>
      <c r="I29" s="199"/>
      <c r="J29" s="149"/>
      <c r="K29" s="149"/>
      <c r="L29" s="149"/>
      <c r="M29" s="199"/>
      <c r="N29" s="149"/>
      <c r="O29" s="149"/>
      <c r="P29" s="149"/>
      <c r="Q29" s="199"/>
      <c r="R29" s="190">
        <f t="shared" si="0"/>
        <v>70</v>
      </c>
      <c r="S29" s="156">
        <f t="shared" si="2"/>
        <v>0</v>
      </c>
      <c r="T29" s="189"/>
      <c r="U29" s="189"/>
      <c r="V29" s="189"/>
      <c r="W29" s="189"/>
      <c r="X29" s="189"/>
      <c r="Y29" s="151"/>
      <c r="Z29" s="151"/>
      <c r="AA29" s="151"/>
      <c r="AB29" s="151"/>
      <c r="AC29" s="151"/>
      <c r="AD29" s="151"/>
      <c r="AE29" s="151"/>
      <c r="AG29" s="149" t="s">
        <v>314</v>
      </c>
      <c r="AH29" s="149"/>
      <c r="AI29" s="149"/>
      <c r="AJ29" s="149"/>
      <c r="AK29" s="199"/>
      <c r="AL29" s="149"/>
      <c r="AM29" s="149"/>
      <c r="AN29" s="149"/>
      <c r="AO29" s="199"/>
      <c r="AP29" s="149"/>
      <c r="AQ29" s="149"/>
      <c r="AR29" s="149"/>
      <c r="AS29" s="199"/>
      <c r="AT29" s="149"/>
      <c r="AU29" s="149"/>
      <c r="AV29" s="149"/>
      <c r="AW29" s="199"/>
      <c r="AX29" s="190">
        <f t="shared" si="1"/>
        <v>0</v>
      </c>
      <c r="AY29" s="156">
        <f t="shared" si="3"/>
        <v>0</v>
      </c>
      <c r="AZ29" s="151"/>
      <c r="BA29" s="151"/>
      <c r="BB29" s="151"/>
      <c r="BC29" s="151"/>
      <c r="BD29" s="151"/>
      <c r="BE29" s="151"/>
      <c r="BF29" s="151"/>
      <c r="BG29" s="151"/>
      <c r="BH29" s="151"/>
      <c r="BI29" s="151"/>
      <c r="BJ29" s="151"/>
      <c r="BK29" s="151"/>
    </row>
    <row r="30" spans="1:63" x14ac:dyDescent="0.25">
      <c r="A30" s="149" t="s">
        <v>315</v>
      </c>
      <c r="B30" s="149"/>
      <c r="C30" s="149"/>
      <c r="D30" s="149">
        <v>15</v>
      </c>
      <c r="E30" s="199"/>
      <c r="F30" s="149">
        <v>17</v>
      </c>
      <c r="G30" s="149">
        <v>29</v>
      </c>
      <c r="H30" s="399">
        <v>40</v>
      </c>
      <c r="I30" s="199"/>
      <c r="J30" s="149"/>
      <c r="K30" s="149"/>
      <c r="L30" s="149"/>
      <c r="M30" s="199"/>
      <c r="N30" s="149"/>
      <c r="O30" s="149"/>
      <c r="P30" s="149"/>
      <c r="Q30" s="199"/>
      <c r="R30" s="190">
        <f t="shared" si="0"/>
        <v>101</v>
      </c>
      <c r="S30" s="156">
        <f t="shared" si="2"/>
        <v>0</v>
      </c>
      <c r="T30" s="189"/>
      <c r="U30" s="189"/>
      <c r="V30" s="189"/>
      <c r="W30" s="189"/>
      <c r="X30" s="189"/>
      <c r="Y30" s="151"/>
      <c r="Z30" s="151"/>
      <c r="AA30" s="151"/>
      <c r="AB30" s="151"/>
      <c r="AC30" s="151"/>
      <c r="AD30" s="151"/>
      <c r="AE30" s="151"/>
      <c r="AG30" s="149" t="s">
        <v>315</v>
      </c>
      <c r="AH30" s="149"/>
      <c r="AI30" s="149"/>
      <c r="AJ30" s="149"/>
      <c r="AK30" s="199"/>
      <c r="AL30" s="149"/>
      <c r="AM30" s="149"/>
      <c r="AN30" s="149"/>
      <c r="AO30" s="199"/>
      <c r="AP30" s="149"/>
      <c r="AQ30" s="149"/>
      <c r="AR30" s="149"/>
      <c r="AS30" s="199"/>
      <c r="AT30" s="149"/>
      <c r="AU30" s="149"/>
      <c r="AV30" s="149"/>
      <c r="AW30" s="199"/>
      <c r="AX30" s="190">
        <f t="shared" si="1"/>
        <v>0</v>
      </c>
      <c r="AY30" s="156">
        <f t="shared" si="3"/>
        <v>0</v>
      </c>
      <c r="AZ30" s="151"/>
      <c r="BA30" s="151"/>
      <c r="BB30" s="151"/>
      <c r="BC30" s="151"/>
      <c r="BD30" s="151"/>
      <c r="BE30" s="151"/>
      <c r="BF30" s="151"/>
      <c r="BG30" s="151"/>
      <c r="BH30" s="151"/>
      <c r="BI30" s="151"/>
      <c r="BJ30" s="151"/>
      <c r="BK30" s="151"/>
    </row>
    <row r="31" spans="1:63" x14ac:dyDescent="0.25">
      <c r="A31" s="149" t="s">
        <v>316</v>
      </c>
      <c r="B31" s="149"/>
      <c r="C31" s="149"/>
      <c r="D31" s="149"/>
      <c r="E31" s="199"/>
      <c r="F31" s="149">
        <v>0</v>
      </c>
      <c r="G31" s="149"/>
      <c r="H31" s="399"/>
      <c r="I31" s="199"/>
      <c r="J31" s="149"/>
      <c r="K31" s="149"/>
      <c r="L31" s="149"/>
      <c r="M31" s="199"/>
      <c r="N31" s="149"/>
      <c r="O31" s="149"/>
      <c r="P31" s="149"/>
      <c r="Q31" s="199"/>
      <c r="R31" s="190">
        <f t="shared" si="0"/>
        <v>0</v>
      </c>
      <c r="S31" s="156">
        <f t="shared" si="2"/>
        <v>0</v>
      </c>
      <c r="T31" s="189"/>
      <c r="U31" s="189"/>
      <c r="V31" s="189"/>
      <c r="W31" s="189"/>
      <c r="X31" s="189"/>
      <c r="Y31" s="151"/>
      <c r="Z31" s="151"/>
      <c r="AA31" s="151"/>
      <c r="AB31" s="151"/>
      <c r="AC31" s="151"/>
      <c r="AD31" s="151"/>
      <c r="AE31" s="151"/>
      <c r="AG31" s="149" t="s">
        <v>316</v>
      </c>
      <c r="AH31" s="149"/>
      <c r="AI31" s="149"/>
      <c r="AJ31" s="149"/>
      <c r="AK31" s="199"/>
      <c r="AL31" s="149"/>
      <c r="AM31" s="149"/>
      <c r="AN31" s="149"/>
      <c r="AO31" s="199"/>
      <c r="AP31" s="149"/>
      <c r="AQ31" s="149"/>
      <c r="AR31" s="149"/>
      <c r="AS31" s="199"/>
      <c r="AT31" s="149"/>
      <c r="AU31" s="149"/>
      <c r="AV31" s="149"/>
      <c r="AW31" s="199"/>
      <c r="AX31" s="190">
        <f t="shared" si="1"/>
        <v>0</v>
      </c>
      <c r="AY31" s="156">
        <f t="shared" si="3"/>
        <v>0</v>
      </c>
      <c r="AZ31" s="151"/>
      <c r="BA31" s="151"/>
      <c r="BB31" s="151"/>
      <c r="BC31" s="151"/>
      <c r="BD31" s="151"/>
      <c r="BE31" s="151"/>
      <c r="BF31" s="151"/>
      <c r="BG31" s="151"/>
      <c r="BH31" s="151"/>
      <c r="BI31" s="151"/>
      <c r="BJ31" s="151"/>
      <c r="BK31" s="151"/>
    </row>
    <row r="32" spans="1:63" x14ac:dyDescent="0.25">
      <c r="A32" s="153" t="s">
        <v>317</v>
      </c>
      <c r="B32" s="150">
        <f>SUM(B11:B31)</f>
        <v>0</v>
      </c>
      <c r="C32" s="150">
        <f t="shared" ref="C32:AE32" si="4">SUM(C11:C31)</f>
        <v>0</v>
      </c>
      <c r="D32" s="150">
        <f t="shared" si="4"/>
        <v>220</v>
      </c>
      <c r="E32" s="200">
        <f>SUM(E11:E31)</f>
        <v>0</v>
      </c>
      <c r="F32" s="150">
        <f t="shared" si="4"/>
        <v>297</v>
      </c>
      <c r="G32" s="150">
        <f t="shared" si="4"/>
        <v>596</v>
      </c>
      <c r="H32" s="150">
        <f t="shared" si="4"/>
        <v>371</v>
      </c>
      <c r="I32" s="200">
        <f>SUM(I11:I31)</f>
        <v>0</v>
      </c>
      <c r="J32" s="150">
        <f t="shared" si="4"/>
        <v>0</v>
      </c>
      <c r="K32" s="150">
        <f t="shared" si="4"/>
        <v>0</v>
      </c>
      <c r="L32" s="150">
        <f t="shared" si="4"/>
        <v>0</v>
      </c>
      <c r="M32" s="200">
        <f>SUM(M11:M31)</f>
        <v>0</v>
      </c>
      <c r="N32" s="150">
        <f t="shared" si="4"/>
        <v>0</v>
      </c>
      <c r="O32" s="150">
        <f t="shared" si="4"/>
        <v>0</v>
      </c>
      <c r="P32" s="150">
        <f t="shared" si="4"/>
        <v>0</v>
      </c>
      <c r="Q32" s="200">
        <f>SUM(Q11:Q31)</f>
        <v>0</v>
      </c>
      <c r="R32" s="408">
        <f t="shared" si="4"/>
        <v>1484</v>
      </c>
      <c r="S32" s="156">
        <f t="shared" si="4"/>
        <v>0</v>
      </c>
      <c r="T32" s="150">
        <f t="shared" si="4"/>
        <v>0</v>
      </c>
      <c r="U32" s="150">
        <f t="shared" si="4"/>
        <v>0</v>
      </c>
      <c r="V32" s="150">
        <f t="shared" si="4"/>
        <v>0</v>
      </c>
      <c r="W32" s="150">
        <f t="shared" si="4"/>
        <v>0</v>
      </c>
      <c r="X32" s="150">
        <f t="shared" si="4"/>
        <v>0</v>
      </c>
      <c r="Y32" s="150">
        <f t="shared" si="4"/>
        <v>0</v>
      </c>
      <c r="Z32" s="150">
        <f t="shared" si="4"/>
        <v>0</v>
      </c>
      <c r="AA32" s="150">
        <f t="shared" si="4"/>
        <v>0</v>
      </c>
      <c r="AB32" s="150">
        <f t="shared" si="4"/>
        <v>0</v>
      </c>
      <c r="AC32" s="150">
        <f t="shared" si="4"/>
        <v>0</v>
      </c>
      <c r="AD32" s="150">
        <f t="shared" si="4"/>
        <v>0</v>
      </c>
      <c r="AE32" s="150">
        <f t="shared" si="4"/>
        <v>0</v>
      </c>
      <c r="AG32" s="153" t="s">
        <v>317</v>
      </c>
      <c r="AH32" s="150">
        <f t="shared" ref="AH32:AW32" si="5">SUM(AH11:AH31)</f>
        <v>0</v>
      </c>
      <c r="AI32" s="150">
        <f t="shared" si="5"/>
        <v>0</v>
      </c>
      <c r="AJ32" s="150">
        <f t="shared" si="5"/>
        <v>0</v>
      </c>
      <c r="AK32" s="200">
        <f t="shared" si="5"/>
        <v>0</v>
      </c>
      <c r="AL32" s="150">
        <f t="shared" si="5"/>
        <v>0</v>
      </c>
      <c r="AM32" s="150">
        <f t="shared" si="5"/>
        <v>0</v>
      </c>
      <c r="AN32" s="150">
        <f t="shared" si="5"/>
        <v>0</v>
      </c>
      <c r="AO32" s="200">
        <f t="shared" si="5"/>
        <v>0</v>
      </c>
      <c r="AP32" s="150">
        <f t="shared" si="5"/>
        <v>0</v>
      </c>
      <c r="AQ32" s="150">
        <f t="shared" si="5"/>
        <v>0</v>
      </c>
      <c r="AR32" s="150">
        <f t="shared" si="5"/>
        <v>0</v>
      </c>
      <c r="AS32" s="200">
        <f t="shared" si="5"/>
        <v>0</v>
      </c>
      <c r="AT32" s="150">
        <f t="shared" si="5"/>
        <v>0</v>
      </c>
      <c r="AU32" s="150">
        <f t="shared" si="5"/>
        <v>0</v>
      </c>
      <c r="AV32" s="150">
        <f t="shared" si="5"/>
        <v>0</v>
      </c>
      <c r="AW32" s="200">
        <f t="shared" si="5"/>
        <v>0</v>
      </c>
      <c r="AX32" s="191">
        <f t="shared" ref="AX32:BK32" si="6">SUM(AX11:AX31)</f>
        <v>0</v>
      </c>
      <c r="AY32" s="157">
        <f t="shared" si="6"/>
        <v>0</v>
      </c>
      <c r="AZ32" s="150">
        <f t="shared" si="6"/>
        <v>0</v>
      </c>
      <c r="BA32" s="150">
        <f t="shared" si="6"/>
        <v>0</v>
      </c>
      <c r="BB32" s="150">
        <f t="shared" si="6"/>
        <v>0</v>
      </c>
      <c r="BC32" s="150">
        <f t="shared" si="6"/>
        <v>0</v>
      </c>
      <c r="BD32" s="150">
        <f t="shared" si="6"/>
        <v>0</v>
      </c>
      <c r="BE32" s="150">
        <f t="shared" si="6"/>
        <v>0</v>
      </c>
      <c r="BF32" s="150">
        <f t="shared" si="6"/>
        <v>0</v>
      </c>
      <c r="BG32" s="150">
        <f t="shared" si="6"/>
        <v>0</v>
      </c>
      <c r="BH32" s="150">
        <f t="shared" si="6"/>
        <v>0</v>
      </c>
      <c r="BI32" s="150">
        <f t="shared" si="6"/>
        <v>0</v>
      </c>
      <c r="BJ32" s="150">
        <f t="shared" si="6"/>
        <v>0</v>
      </c>
      <c r="BK32" s="150">
        <f t="shared" si="6"/>
        <v>0</v>
      </c>
    </row>
    <row r="34" spans="1:63" ht="33.75" customHeight="1" x14ac:dyDescent="0.25">
      <c r="A34" s="154" t="s">
        <v>275</v>
      </c>
      <c r="B34" s="985"/>
      <c r="C34" s="985"/>
      <c r="D34" s="985"/>
      <c r="E34" s="985"/>
      <c r="F34" s="985"/>
      <c r="G34" s="985"/>
      <c r="H34" s="985"/>
      <c r="I34" s="985"/>
      <c r="J34" s="985"/>
      <c r="K34" s="985"/>
      <c r="L34" s="985"/>
      <c r="M34" s="985"/>
      <c r="N34" s="985"/>
      <c r="O34" s="985"/>
      <c r="P34" s="985"/>
      <c r="Q34" s="985"/>
      <c r="R34" s="985"/>
      <c r="S34" s="985"/>
      <c r="T34" s="985"/>
      <c r="U34" s="985"/>
      <c r="V34" s="985"/>
      <c r="W34" s="985"/>
      <c r="X34" s="985"/>
      <c r="Y34" s="985"/>
      <c r="Z34" s="985"/>
      <c r="AA34" s="985"/>
      <c r="AB34" s="985"/>
      <c r="AC34" s="985"/>
      <c r="AD34" s="985"/>
      <c r="AE34" s="985"/>
      <c r="AF34" s="985"/>
      <c r="AG34" s="985"/>
      <c r="AH34" s="985"/>
      <c r="AI34" s="985"/>
      <c r="AJ34" s="985"/>
      <c r="AK34" s="985"/>
      <c r="AL34" s="985"/>
      <c r="AM34" s="985"/>
      <c r="AN34" s="985"/>
      <c r="AO34" s="985"/>
      <c r="AP34" s="985"/>
      <c r="AQ34" s="985"/>
      <c r="AR34" s="985"/>
      <c r="AS34" s="985"/>
      <c r="AT34" s="985"/>
      <c r="AU34" s="985"/>
      <c r="AV34" s="985"/>
      <c r="AW34" s="985"/>
      <c r="AX34" s="985"/>
      <c r="AY34" s="985"/>
      <c r="AZ34" s="985"/>
      <c r="BA34" s="985"/>
      <c r="BB34" s="985"/>
      <c r="BC34" s="985"/>
      <c r="BD34" s="985"/>
      <c r="BE34" s="985"/>
      <c r="BF34" s="985"/>
      <c r="BG34" s="985"/>
      <c r="BH34" s="985"/>
      <c r="BI34" s="985"/>
      <c r="BJ34" s="985"/>
      <c r="BK34" s="985"/>
    </row>
    <row r="35" spans="1:63" ht="33.75" customHeight="1" x14ac:dyDescent="0.25">
      <c r="A35" s="155" t="s">
        <v>276</v>
      </c>
      <c r="B35" s="980" t="s">
        <v>318</v>
      </c>
      <c r="C35" s="982"/>
      <c r="D35" s="982"/>
      <c r="E35" s="982"/>
      <c r="F35" s="982"/>
      <c r="G35" s="982"/>
      <c r="H35" s="982"/>
      <c r="I35" s="982"/>
      <c r="J35" s="982"/>
      <c r="K35" s="982"/>
      <c r="L35" s="982"/>
      <c r="M35" s="982"/>
      <c r="N35" s="982"/>
      <c r="O35" s="982"/>
      <c r="P35" s="982"/>
      <c r="Q35" s="982"/>
      <c r="R35" s="982"/>
      <c r="S35" s="982"/>
      <c r="T35" s="982"/>
      <c r="U35" s="982"/>
      <c r="V35" s="982"/>
      <c r="W35" s="982"/>
      <c r="X35" s="982"/>
      <c r="Y35" s="982"/>
      <c r="Z35" s="982"/>
      <c r="AA35" s="982"/>
      <c r="AB35" s="982"/>
      <c r="AC35" s="982"/>
      <c r="AD35" s="982"/>
      <c r="AE35" s="982"/>
      <c r="AF35" s="982"/>
      <c r="AG35" s="982"/>
      <c r="AH35" s="982"/>
      <c r="AI35" s="982"/>
      <c r="AJ35" s="982"/>
      <c r="AK35" s="982"/>
      <c r="AL35" s="982"/>
      <c r="AM35" s="982"/>
      <c r="AN35" s="982"/>
      <c r="AO35" s="982"/>
      <c r="AP35" s="982"/>
      <c r="AQ35" s="982"/>
      <c r="AR35" s="982"/>
      <c r="AS35" s="982"/>
      <c r="AT35" s="982"/>
      <c r="AU35" s="982"/>
      <c r="AV35" s="982"/>
      <c r="AW35" s="982"/>
      <c r="AX35" s="982"/>
      <c r="AY35" s="982"/>
      <c r="AZ35" s="982"/>
      <c r="BA35" s="982"/>
      <c r="BB35" s="982"/>
      <c r="BC35" s="982"/>
      <c r="BD35" s="982"/>
      <c r="BE35" s="982"/>
      <c r="BF35" s="982"/>
      <c r="BG35" s="982"/>
      <c r="BH35" s="982"/>
      <c r="BI35" s="982"/>
      <c r="BJ35" s="982"/>
      <c r="BK35" s="981"/>
    </row>
    <row r="37" spans="1:63" ht="30" customHeight="1" x14ac:dyDescent="0.25">
      <c r="A37" s="983" t="s">
        <v>278</v>
      </c>
      <c r="B37" s="193" t="s">
        <v>31</v>
      </c>
      <c r="C37" s="193" t="s">
        <v>32</v>
      </c>
      <c r="D37" s="980" t="s">
        <v>33</v>
      </c>
      <c r="E37" s="981"/>
      <c r="F37" s="193" t="s">
        <v>34</v>
      </c>
      <c r="G37" s="193" t="s">
        <v>35</v>
      </c>
      <c r="H37" s="980" t="s">
        <v>8</v>
      </c>
      <c r="I37" s="981"/>
      <c r="J37" s="193" t="s">
        <v>36</v>
      </c>
      <c r="K37" s="193" t="s">
        <v>37</v>
      </c>
      <c r="L37" s="980" t="s">
        <v>38</v>
      </c>
      <c r="M37" s="981"/>
      <c r="N37" s="193" t="s">
        <v>39</v>
      </c>
      <c r="O37" s="193" t="s">
        <v>40</v>
      </c>
      <c r="P37" s="980" t="s">
        <v>41</v>
      </c>
      <c r="Q37" s="981"/>
      <c r="R37" s="980" t="s">
        <v>279</v>
      </c>
      <c r="S37" s="981"/>
      <c r="T37" s="980" t="s">
        <v>280</v>
      </c>
      <c r="U37" s="982"/>
      <c r="V37" s="982"/>
      <c r="W37" s="982"/>
      <c r="X37" s="982"/>
      <c r="Y37" s="981"/>
      <c r="Z37" s="980" t="s">
        <v>281</v>
      </c>
      <c r="AA37" s="982"/>
      <c r="AB37" s="982"/>
      <c r="AC37" s="982"/>
      <c r="AD37" s="982"/>
      <c r="AE37" s="981"/>
      <c r="AG37" s="983" t="s">
        <v>278</v>
      </c>
      <c r="AH37" s="193" t="s">
        <v>31</v>
      </c>
      <c r="AI37" s="193" t="s">
        <v>32</v>
      </c>
      <c r="AJ37" s="980" t="s">
        <v>33</v>
      </c>
      <c r="AK37" s="981"/>
      <c r="AL37" s="193" t="s">
        <v>34</v>
      </c>
      <c r="AM37" s="193" t="s">
        <v>35</v>
      </c>
      <c r="AN37" s="980" t="s">
        <v>8</v>
      </c>
      <c r="AO37" s="981"/>
      <c r="AP37" s="193" t="s">
        <v>36</v>
      </c>
      <c r="AQ37" s="193" t="s">
        <v>37</v>
      </c>
      <c r="AR37" s="980" t="s">
        <v>38</v>
      </c>
      <c r="AS37" s="981"/>
      <c r="AT37" s="193" t="s">
        <v>39</v>
      </c>
      <c r="AU37" s="193" t="s">
        <v>40</v>
      </c>
      <c r="AV37" s="980" t="s">
        <v>41</v>
      </c>
      <c r="AW37" s="981"/>
      <c r="AX37" s="980" t="s">
        <v>279</v>
      </c>
      <c r="AY37" s="981"/>
      <c r="AZ37" s="980" t="s">
        <v>280</v>
      </c>
      <c r="BA37" s="982"/>
      <c r="BB37" s="982"/>
      <c r="BC37" s="982"/>
      <c r="BD37" s="982"/>
      <c r="BE37" s="981"/>
      <c r="BF37" s="980" t="s">
        <v>281</v>
      </c>
      <c r="BG37" s="982"/>
      <c r="BH37" s="982"/>
      <c r="BI37" s="982"/>
      <c r="BJ37" s="982"/>
      <c r="BK37" s="981"/>
    </row>
    <row r="38" spans="1:63" ht="36" customHeight="1" x14ac:dyDescent="0.25">
      <c r="A38" s="984"/>
      <c r="B38" s="119" t="s">
        <v>282</v>
      </c>
      <c r="C38" s="119" t="s">
        <v>282</v>
      </c>
      <c r="D38" s="119" t="s">
        <v>282</v>
      </c>
      <c r="E38" s="119" t="s">
        <v>283</v>
      </c>
      <c r="F38" s="119" t="s">
        <v>282</v>
      </c>
      <c r="G38" s="119" t="s">
        <v>282</v>
      </c>
      <c r="H38" s="119" t="s">
        <v>282</v>
      </c>
      <c r="I38" s="119" t="s">
        <v>283</v>
      </c>
      <c r="J38" s="119" t="s">
        <v>282</v>
      </c>
      <c r="K38" s="119" t="s">
        <v>282</v>
      </c>
      <c r="L38" s="119" t="s">
        <v>282</v>
      </c>
      <c r="M38" s="119" t="s">
        <v>283</v>
      </c>
      <c r="N38" s="119" t="s">
        <v>282</v>
      </c>
      <c r="O38" s="119" t="s">
        <v>282</v>
      </c>
      <c r="P38" s="119" t="s">
        <v>282</v>
      </c>
      <c r="Q38" s="119" t="s">
        <v>283</v>
      </c>
      <c r="R38" s="119" t="s">
        <v>282</v>
      </c>
      <c r="S38" s="119" t="s">
        <v>283</v>
      </c>
      <c r="T38" s="187" t="s">
        <v>284</v>
      </c>
      <c r="U38" s="187" t="s">
        <v>285</v>
      </c>
      <c r="V38" s="187" t="s">
        <v>286</v>
      </c>
      <c r="W38" s="187" t="s">
        <v>287</v>
      </c>
      <c r="X38" s="188" t="s">
        <v>288</v>
      </c>
      <c r="Y38" s="187" t="s">
        <v>289</v>
      </c>
      <c r="Z38" s="119" t="s">
        <v>290</v>
      </c>
      <c r="AA38" s="148" t="s">
        <v>291</v>
      </c>
      <c r="AB38" s="119" t="s">
        <v>292</v>
      </c>
      <c r="AC38" s="119" t="s">
        <v>293</v>
      </c>
      <c r="AD38" s="119" t="s">
        <v>294</v>
      </c>
      <c r="AE38" s="119" t="s">
        <v>295</v>
      </c>
      <c r="AG38" s="984"/>
      <c r="AH38" s="119" t="s">
        <v>282</v>
      </c>
      <c r="AI38" s="119" t="s">
        <v>282</v>
      </c>
      <c r="AJ38" s="119" t="s">
        <v>282</v>
      </c>
      <c r="AK38" s="119" t="s">
        <v>283</v>
      </c>
      <c r="AL38" s="119" t="s">
        <v>282</v>
      </c>
      <c r="AM38" s="119" t="s">
        <v>282</v>
      </c>
      <c r="AN38" s="119" t="s">
        <v>282</v>
      </c>
      <c r="AO38" s="119" t="s">
        <v>283</v>
      </c>
      <c r="AP38" s="119" t="s">
        <v>282</v>
      </c>
      <c r="AQ38" s="119" t="s">
        <v>282</v>
      </c>
      <c r="AR38" s="119" t="s">
        <v>282</v>
      </c>
      <c r="AS38" s="119" t="s">
        <v>283</v>
      </c>
      <c r="AT38" s="119" t="s">
        <v>282</v>
      </c>
      <c r="AU38" s="119" t="s">
        <v>282</v>
      </c>
      <c r="AV38" s="119" t="s">
        <v>282</v>
      </c>
      <c r="AW38" s="119" t="s">
        <v>283</v>
      </c>
      <c r="AX38" s="119" t="s">
        <v>282</v>
      </c>
      <c r="AY38" s="119" t="s">
        <v>283</v>
      </c>
      <c r="AZ38" s="187" t="s">
        <v>284</v>
      </c>
      <c r="BA38" s="187" t="s">
        <v>285</v>
      </c>
      <c r="BB38" s="187" t="s">
        <v>286</v>
      </c>
      <c r="BC38" s="187" t="s">
        <v>287</v>
      </c>
      <c r="BD38" s="188" t="s">
        <v>288</v>
      </c>
      <c r="BE38" s="187" t="s">
        <v>289</v>
      </c>
      <c r="BF38" s="185" t="s">
        <v>290</v>
      </c>
      <c r="BG38" s="186" t="s">
        <v>291</v>
      </c>
      <c r="BH38" s="185" t="s">
        <v>292</v>
      </c>
      <c r="BI38" s="185" t="s">
        <v>293</v>
      </c>
      <c r="BJ38" s="185" t="s">
        <v>294</v>
      </c>
      <c r="BK38" s="185" t="s">
        <v>295</v>
      </c>
    </row>
    <row r="39" spans="1:63" x14ac:dyDescent="0.25">
      <c r="A39" s="149" t="s">
        <v>296</v>
      </c>
      <c r="B39" s="149"/>
      <c r="C39" s="149"/>
      <c r="D39" s="345">
        <v>15</v>
      </c>
      <c r="E39" s="199"/>
      <c r="F39" s="149">
        <v>34</v>
      </c>
      <c r="G39" s="149">
        <v>12</v>
      </c>
      <c r="H39" s="399">
        <v>16</v>
      </c>
      <c r="I39" s="199"/>
      <c r="J39" s="149"/>
      <c r="K39" s="149"/>
      <c r="L39" s="149"/>
      <c r="M39" s="199"/>
      <c r="N39" s="149"/>
      <c r="O39" s="149"/>
      <c r="P39" s="149"/>
      <c r="Q39" s="199"/>
      <c r="R39" s="190">
        <f t="shared" ref="R39:R59" si="7">B39+C39+D39+F39+G39+H39+J39+K39+L39+N39+O39+P39</f>
        <v>77</v>
      </c>
      <c r="S39" s="156">
        <f>+E39+I39+M39+Q39</f>
        <v>0</v>
      </c>
      <c r="T39" s="189"/>
      <c r="U39" s="189"/>
      <c r="V39" s="189"/>
      <c r="W39" s="189"/>
      <c r="X39" s="189"/>
      <c r="Y39" s="151"/>
      <c r="Z39" s="151"/>
      <c r="AA39" s="151"/>
      <c r="AB39" s="151"/>
      <c r="AC39" s="151"/>
      <c r="AD39" s="151"/>
      <c r="AE39" s="152"/>
      <c r="AG39" s="149" t="s">
        <v>296</v>
      </c>
      <c r="AH39" s="149"/>
      <c r="AI39" s="149"/>
      <c r="AJ39" s="149"/>
      <c r="AK39" s="199"/>
      <c r="AL39" s="149"/>
      <c r="AM39" s="149"/>
      <c r="AN39" s="149"/>
      <c r="AO39" s="199"/>
      <c r="AP39" s="149"/>
      <c r="AQ39" s="149"/>
      <c r="AR39" s="149"/>
      <c r="AS39" s="199"/>
      <c r="AT39" s="149"/>
      <c r="AU39" s="149"/>
      <c r="AV39" s="149"/>
      <c r="AW39" s="199"/>
      <c r="AX39" s="190">
        <f t="shared" ref="AX39:AX59" si="8">AH39+AI39+AJ39+AL39+AM39+AN39+AP39+AQ39+AR39+AT39+AU39+AV39</f>
        <v>0</v>
      </c>
      <c r="AY39" s="156">
        <f>+AK39+AO39+AS39+AW39</f>
        <v>0</v>
      </c>
      <c r="AZ39" s="151"/>
      <c r="BA39" s="151"/>
      <c r="BB39" s="151"/>
      <c r="BC39" s="151"/>
      <c r="BD39" s="151"/>
      <c r="BE39" s="151"/>
      <c r="BF39" s="151"/>
      <c r="BG39" s="151"/>
      <c r="BH39" s="151"/>
      <c r="BI39" s="151"/>
      <c r="BJ39" s="151"/>
      <c r="BK39" s="152"/>
    </row>
    <row r="40" spans="1:63" x14ac:dyDescent="0.25">
      <c r="A40" s="149" t="s">
        <v>297</v>
      </c>
      <c r="B40" s="149"/>
      <c r="C40" s="149">
        <v>9</v>
      </c>
      <c r="D40" s="346">
        <v>62</v>
      </c>
      <c r="E40" s="199"/>
      <c r="F40" s="149">
        <v>55</v>
      </c>
      <c r="G40" s="149">
        <v>52</v>
      </c>
      <c r="H40" s="399">
        <v>35</v>
      </c>
      <c r="I40" s="199"/>
      <c r="J40" s="149"/>
      <c r="K40" s="149"/>
      <c r="L40" s="149"/>
      <c r="M40" s="199"/>
      <c r="N40" s="149"/>
      <c r="O40" s="149"/>
      <c r="P40" s="149"/>
      <c r="Q40" s="199"/>
      <c r="R40" s="190">
        <f t="shared" si="7"/>
        <v>213</v>
      </c>
      <c r="S40" s="156">
        <f t="shared" ref="S40:S59" si="9">+E40+I40+M40+Q40</f>
        <v>0</v>
      </c>
      <c r="T40" s="189"/>
      <c r="U40" s="189"/>
      <c r="V40" s="189"/>
      <c r="W40" s="189"/>
      <c r="X40" s="189"/>
      <c r="Y40" s="151"/>
      <c r="Z40" s="151"/>
      <c r="AA40" s="151"/>
      <c r="AB40" s="151"/>
      <c r="AC40" s="151"/>
      <c r="AD40" s="151"/>
      <c r="AE40" s="151"/>
      <c r="AG40" s="149" t="s">
        <v>297</v>
      </c>
      <c r="AH40" s="149"/>
      <c r="AI40" s="149"/>
      <c r="AJ40" s="149"/>
      <c r="AK40" s="199"/>
      <c r="AL40" s="149"/>
      <c r="AM40" s="149"/>
      <c r="AN40" s="149"/>
      <c r="AO40" s="199"/>
      <c r="AP40" s="149"/>
      <c r="AQ40" s="149"/>
      <c r="AR40" s="149"/>
      <c r="AS40" s="199"/>
      <c r="AT40" s="149"/>
      <c r="AU40" s="149"/>
      <c r="AV40" s="149"/>
      <c r="AW40" s="199"/>
      <c r="AX40" s="190">
        <f t="shared" si="8"/>
        <v>0</v>
      </c>
      <c r="AY40" s="156">
        <f t="shared" ref="AY40:AY59" si="10">+AK40+AO40+AS40+AW40</f>
        <v>0</v>
      </c>
      <c r="AZ40" s="151"/>
      <c r="BA40" s="151"/>
      <c r="BB40" s="151"/>
      <c r="BC40" s="151"/>
      <c r="BD40" s="151"/>
      <c r="BE40" s="151"/>
      <c r="BF40" s="151"/>
      <c r="BG40" s="151"/>
      <c r="BH40" s="151"/>
      <c r="BI40" s="151"/>
      <c r="BJ40" s="151"/>
      <c r="BK40" s="151"/>
    </row>
    <row r="41" spans="1:63" x14ac:dyDescent="0.25">
      <c r="A41" s="149" t="s">
        <v>298</v>
      </c>
      <c r="B41" s="149"/>
      <c r="C41" s="149"/>
      <c r="D41" s="346">
        <v>41</v>
      </c>
      <c r="E41" s="199"/>
      <c r="F41" s="149">
        <v>45</v>
      </c>
      <c r="G41" s="149">
        <v>50</v>
      </c>
      <c r="H41" s="399">
        <v>39</v>
      </c>
      <c r="I41" s="199"/>
      <c r="J41" s="149"/>
      <c r="K41" s="149"/>
      <c r="L41" s="149"/>
      <c r="M41" s="199"/>
      <c r="N41" s="149"/>
      <c r="O41" s="149"/>
      <c r="P41" s="149"/>
      <c r="Q41" s="199"/>
      <c r="R41" s="190">
        <f t="shared" si="7"/>
        <v>175</v>
      </c>
      <c r="S41" s="156">
        <f t="shared" si="9"/>
        <v>0</v>
      </c>
      <c r="T41" s="189"/>
      <c r="U41" s="189"/>
      <c r="V41" s="189"/>
      <c r="W41" s="189"/>
      <c r="X41" s="189"/>
      <c r="Y41" s="151"/>
      <c r="Z41" s="151"/>
      <c r="AA41" s="151"/>
      <c r="AB41" s="151"/>
      <c r="AC41" s="151"/>
      <c r="AD41" s="151"/>
      <c r="AE41" s="151"/>
      <c r="AG41" s="149" t="s">
        <v>298</v>
      </c>
      <c r="AH41" s="149"/>
      <c r="AI41" s="149"/>
      <c r="AJ41" s="149"/>
      <c r="AK41" s="199"/>
      <c r="AL41" s="149"/>
      <c r="AM41" s="149"/>
      <c r="AN41" s="149"/>
      <c r="AO41" s="199"/>
      <c r="AP41" s="149"/>
      <c r="AQ41" s="149"/>
      <c r="AR41" s="149"/>
      <c r="AS41" s="199"/>
      <c r="AT41" s="149"/>
      <c r="AU41" s="149"/>
      <c r="AV41" s="149"/>
      <c r="AW41" s="199"/>
      <c r="AX41" s="190">
        <f t="shared" si="8"/>
        <v>0</v>
      </c>
      <c r="AY41" s="156">
        <f t="shared" si="10"/>
        <v>0</v>
      </c>
      <c r="AZ41" s="151"/>
      <c r="BA41" s="151"/>
      <c r="BB41" s="151"/>
      <c r="BC41" s="151"/>
      <c r="BD41" s="151"/>
      <c r="BE41" s="151"/>
      <c r="BF41" s="151"/>
      <c r="BG41" s="151"/>
      <c r="BH41" s="151"/>
      <c r="BI41" s="151"/>
      <c r="BJ41" s="151"/>
      <c r="BK41" s="151"/>
    </row>
    <row r="42" spans="1:63" x14ac:dyDescent="0.25">
      <c r="A42" s="149" t="s">
        <v>299</v>
      </c>
      <c r="B42" s="149"/>
      <c r="C42" s="149"/>
      <c r="D42" s="346">
        <v>8</v>
      </c>
      <c r="E42" s="199"/>
      <c r="F42" s="149">
        <v>43</v>
      </c>
      <c r="G42" s="149">
        <v>10</v>
      </c>
      <c r="H42" s="399">
        <v>9</v>
      </c>
      <c r="I42" s="199"/>
      <c r="J42" s="149"/>
      <c r="K42" s="149"/>
      <c r="L42" s="149"/>
      <c r="M42" s="199"/>
      <c r="N42" s="149"/>
      <c r="O42" s="149"/>
      <c r="P42" s="149"/>
      <c r="Q42" s="199"/>
      <c r="R42" s="190">
        <f t="shared" si="7"/>
        <v>70</v>
      </c>
      <c r="S42" s="156">
        <f t="shared" si="9"/>
        <v>0</v>
      </c>
      <c r="T42" s="189"/>
      <c r="U42" s="189"/>
      <c r="V42" s="189"/>
      <c r="W42" s="189"/>
      <c r="X42" s="189"/>
      <c r="Y42" s="151"/>
      <c r="Z42" s="151"/>
      <c r="AA42" s="151"/>
      <c r="AB42" s="151"/>
      <c r="AC42" s="151"/>
      <c r="AD42" s="151"/>
      <c r="AE42" s="151"/>
      <c r="AG42" s="149" t="s">
        <v>299</v>
      </c>
      <c r="AH42" s="149"/>
      <c r="AI42" s="149"/>
      <c r="AJ42" s="149"/>
      <c r="AK42" s="199"/>
      <c r="AL42" s="149"/>
      <c r="AM42" s="149"/>
      <c r="AN42" s="149"/>
      <c r="AO42" s="199"/>
      <c r="AP42" s="149"/>
      <c r="AQ42" s="149"/>
      <c r="AR42" s="149"/>
      <c r="AS42" s="199"/>
      <c r="AT42" s="149"/>
      <c r="AU42" s="149"/>
      <c r="AV42" s="149"/>
      <c r="AW42" s="199"/>
      <c r="AX42" s="190">
        <f t="shared" si="8"/>
        <v>0</v>
      </c>
      <c r="AY42" s="156">
        <f t="shared" si="10"/>
        <v>0</v>
      </c>
      <c r="AZ42" s="151"/>
      <c r="BA42" s="151"/>
      <c r="BB42" s="151"/>
      <c r="BC42" s="151"/>
      <c r="BD42" s="151"/>
      <c r="BE42" s="151"/>
      <c r="BF42" s="151"/>
      <c r="BG42" s="151"/>
      <c r="BH42" s="151"/>
      <c r="BI42" s="151"/>
      <c r="BJ42" s="151"/>
      <c r="BK42" s="151"/>
    </row>
    <row r="43" spans="1:63" x14ac:dyDescent="0.25">
      <c r="A43" s="149" t="s">
        <v>300</v>
      </c>
      <c r="B43" s="149"/>
      <c r="C43" s="149"/>
      <c r="D43" s="346">
        <v>35</v>
      </c>
      <c r="E43" s="199"/>
      <c r="F43" s="149">
        <v>31</v>
      </c>
      <c r="G43" s="149">
        <v>110</v>
      </c>
      <c r="H43" s="399">
        <v>13</v>
      </c>
      <c r="I43" s="199"/>
      <c r="J43" s="149"/>
      <c r="K43" s="149"/>
      <c r="L43" s="149"/>
      <c r="M43" s="199"/>
      <c r="N43" s="149"/>
      <c r="O43" s="149"/>
      <c r="P43" s="149"/>
      <c r="Q43" s="199"/>
      <c r="R43" s="190">
        <f t="shared" si="7"/>
        <v>189</v>
      </c>
      <c r="S43" s="156">
        <f t="shared" si="9"/>
        <v>0</v>
      </c>
      <c r="T43" s="189"/>
      <c r="U43" s="189"/>
      <c r="V43" s="189"/>
      <c r="W43" s="189"/>
      <c r="X43" s="189"/>
      <c r="Y43" s="151"/>
      <c r="Z43" s="151"/>
      <c r="AA43" s="151"/>
      <c r="AB43" s="151"/>
      <c r="AC43" s="151"/>
      <c r="AD43" s="151"/>
      <c r="AE43" s="151"/>
      <c r="AG43" s="149" t="s">
        <v>300</v>
      </c>
      <c r="AH43" s="149"/>
      <c r="AI43" s="149"/>
      <c r="AJ43" s="149"/>
      <c r="AK43" s="199"/>
      <c r="AL43" s="149"/>
      <c r="AM43" s="149"/>
      <c r="AN43" s="149"/>
      <c r="AO43" s="199"/>
      <c r="AP43" s="149"/>
      <c r="AQ43" s="149"/>
      <c r="AR43" s="149"/>
      <c r="AS43" s="199"/>
      <c r="AT43" s="149"/>
      <c r="AU43" s="149"/>
      <c r="AV43" s="149"/>
      <c r="AW43" s="199"/>
      <c r="AX43" s="190">
        <f t="shared" si="8"/>
        <v>0</v>
      </c>
      <c r="AY43" s="156">
        <f t="shared" si="10"/>
        <v>0</v>
      </c>
      <c r="AZ43" s="151"/>
      <c r="BA43" s="151"/>
      <c r="BB43" s="151"/>
      <c r="BC43" s="151"/>
      <c r="BD43" s="151"/>
      <c r="BE43" s="151"/>
      <c r="BF43" s="151"/>
      <c r="BG43" s="151"/>
      <c r="BH43" s="151"/>
      <c r="BI43" s="151"/>
      <c r="BJ43" s="151"/>
      <c r="BK43" s="151"/>
    </row>
    <row r="44" spans="1:63" x14ac:dyDescent="0.25">
      <c r="A44" s="149" t="s">
        <v>301</v>
      </c>
      <c r="B44" s="149"/>
      <c r="C44" s="149">
        <v>9</v>
      </c>
      <c r="D44" s="346">
        <v>12</v>
      </c>
      <c r="E44" s="199"/>
      <c r="F44" s="149">
        <v>128</v>
      </c>
      <c r="G44" s="149">
        <v>163</v>
      </c>
      <c r="H44" s="399">
        <v>0</v>
      </c>
      <c r="I44" s="199"/>
      <c r="J44" s="149"/>
      <c r="K44" s="149"/>
      <c r="L44" s="149"/>
      <c r="M44" s="199"/>
      <c r="N44" s="149"/>
      <c r="O44" s="149"/>
      <c r="P44" s="149"/>
      <c r="Q44" s="199"/>
      <c r="R44" s="190">
        <f t="shared" si="7"/>
        <v>312</v>
      </c>
      <c r="S44" s="156">
        <f t="shared" si="9"/>
        <v>0</v>
      </c>
      <c r="T44" s="189"/>
      <c r="U44" s="189"/>
      <c r="V44" s="189"/>
      <c r="W44" s="189"/>
      <c r="X44" s="189"/>
      <c r="Y44" s="151"/>
      <c r="Z44" s="151"/>
      <c r="AA44" s="151"/>
      <c r="AB44" s="151"/>
      <c r="AC44" s="151"/>
      <c r="AD44" s="151"/>
      <c r="AE44" s="151"/>
      <c r="AG44" s="149" t="s">
        <v>301</v>
      </c>
      <c r="AH44" s="149"/>
      <c r="AI44" s="149"/>
      <c r="AJ44" s="149"/>
      <c r="AK44" s="199"/>
      <c r="AL44" s="149"/>
      <c r="AM44" s="149"/>
      <c r="AN44" s="149"/>
      <c r="AO44" s="199"/>
      <c r="AP44" s="149"/>
      <c r="AQ44" s="149"/>
      <c r="AR44" s="149"/>
      <c r="AS44" s="199"/>
      <c r="AT44" s="149"/>
      <c r="AU44" s="149"/>
      <c r="AV44" s="149"/>
      <c r="AW44" s="199"/>
      <c r="AX44" s="190">
        <f t="shared" si="8"/>
        <v>0</v>
      </c>
      <c r="AY44" s="156">
        <f t="shared" si="10"/>
        <v>0</v>
      </c>
      <c r="AZ44" s="151"/>
      <c r="BA44" s="151"/>
      <c r="BB44" s="151"/>
      <c r="BC44" s="151"/>
      <c r="BD44" s="151"/>
      <c r="BE44" s="151"/>
      <c r="BF44" s="151"/>
      <c r="BG44" s="151"/>
      <c r="BH44" s="151"/>
      <c r="BI44" s="151"/>
      <c r="BJ44" s="151"/>
      <c r="BK44" s="151"/>
    </row>
    <row r="45" spans="1:63" x14ac:dyDescent="0.25">
      <c r="A45" s="149" t="s">
        <v>302</v>
      </c>
      <c r="B45" s="149"/>
      <c r="C45" s="149">
        <v>13</v>
      </c>
      <c r="D45" s="346">
        <v>10</v>
      </c>
      <c r="E45" s="199"/>
      <c r="F45" s="149">
        <v>5</v>
      </c>
      <c r="G45" s="149">
        <v>1</v>
      </c>
      <c r="H45" s="399">
        <v>42</v>
      </c>
      <c r="I45" s="199"/>
      <c r="J45" s="149"/>
      <c r="K45" s="149"/>
      <c r="L45" s="149"/>
      <c r="M45" s="199"/>
      <c r="N45" s="149"/>
      <c r="O45" s="149"/>
      <c r="P45" s="149"/>
      <c r="Q45" s="199"/>
      <c r="R45" s="190">
        <f t="shared" si="7"/>
        <v>71</v>
      </c>
      <c r="S45" s="156">
        <f t="shared" si="9"/>
        <v>0</v>
      </c>
      <c r="T45" s="189"/>
      <c r="U45" s="189"/>
      <c r="V45" s="189"/>
      <c r="W45" s="189"/>
      <c r="X45" s="189"/>
      <c r="Y45" s="151"/>
      <c r="Z45" s="151"/>
      <c r="AA45" s="151"/>
      <c r="AB45" s="151"/>
      <c r="AC45" s="151"/>
      <c r="AD45" s="151"/>
      <c r="AE45" s="151"/>
      <c r="AG45" s="149" t="s">
        <v>302</v>
      </c>
      <c r="AH45" s="149"/>
      <c r="AI45" s="149"/>
      <c r="AJ45" s="149"/>
      <c r="AK45" s="199"/>
      <c r="AL45" s="149"/>
      <c r="AM45" s="149"/>
      <c r="AN45" s="149"/>
      <c r="AO45" s="199"/>
      <c r="AP45" s="149"/>
      <c r="AQ45" s="149"/>
      <c r="AR45" s="149"/>
      <c r="AS45" s="199"/>
      <c r="AT45" s="149"/>
      <c r="AU45" s="149"/>
      <c r="AV45" s="149"/>
      <c r="AW45" s="199"/>
      <c r="AX45" s="190">
        <f t="shared" si="8"/>
        <v>0</v>
      </c>
      <c r="AY45" s="156">
        <f t="shared" si="10"/>
        <v>0</v>
      </c>
      <c r="AZ45" s="151"/>
      <c r="BA45" s="151"/>
      <c r="BB45" s="151"/>
      <c r="BC45" s="151"/>
      <c r="BD45" s="151"/>
      <c r="BE45" s="151"/>
      <c r="BF45" s="151"/>
      <c r="BG45" s="151"/>
      <c r="BH45" s="151"/>
      <c r="BI45" s="151"/>
      <c r="BJ45" s="151"/>
      <c r="BK45" s="151"/>
    </row>
    <row r="46" spans="1:63" x14ac:dyDescent="0.25">
      <c r="A46" s="149" t="s">
        <v>303</v>
      </c>
      <c r="B46" s="149"/>
      <c r="C46" s="149"/>
      <c r="D46" s="346">
        <v>18</v>
      </c>
      <c r="E46" s="199"/>
      <c r="F46" s="149">
        <v>50</v>
      </c>
      <c r="G46" s="149">
        <v>73</v>
      </c>
      <c r="H46" s="399">
        <v>22</v>
      </c>
      <c r="I46" s="199"/>
      <c r="J46" s="149"/>
      <c r="K46" s="149"/>
      <c r="L46" s="149"/>
      <c r="M46" s="199"/>
      <c r="N46" s="149"/>
      <c r="O46" s="149"/>
      <c r="P46" s="149"/>
      <c r="Q46" s="199"/>
      <c r="R46" s="190">
        <f t="shared" si="7"/>
        <v>163</v>
      </c>
      <c r="S46" s="156">
        <f t="shared" si="9"/>
        <v>0</v>
      </c>
      <c r="T46" s="189"/>
      <c r="U46" s="189"/>
      <c r="V46" s="189"/>
      <c r="W46" s="189"/>
      <c r="X46" s="189"/>
      <c r="Y46" s="151"/>
      <c r="Z46" s="151"/>
      <c r="AA46" s="151"/>
      <c r="AB46" s="151"/>
      <c r="AC46" s="151"/>
      <c r="AD46" s="151"/>
      <c r="AE46" s="151"/>
      <c r="AG46" s="149" t="s">
        <v>303</v>
      </c>
      <c r="AH46" s="149"/>
      <c r="AI46" s="149"/>
      <c r="AJ46" s="149"/>
      <c r="AK46" s="199"/>
      <c r="AL46" s="149"/>
      <c r="AM46" s="149"/>
      <c r="AN46" s="149"/>
      <c r="AO46" s="199"/>
      <c r="AP46" s="149"/>
      <c r="AQ46" s="149"/>
      <c r="AR46" s="149"/>
      <c r="AS46" s="199"/>
      <c r="AT46" s="149"/>
      <c r="AU46" s="149"/>
      <c r="AV46" s="149"/>
      <c r="AW46" s="199"/>
      <c r="AX46" s="190">
        <f t="shared" si="8"/>
        <v>0</v>
      </c>
      <c r="AY46" s="156">
        <f t="shared" si="10"/>
        <v>0</v>
      </c>
      <c r="AZ46" s="151"/>
      <c r="BA46" s="151"/>
      <c r="BB46" s="151"/>
      <c r="BC46" s="151"/>
      <c r="BD46" s="151"/>
      <c r="BE46" s="151"/>
      <c r="BF46" s="151"/>
      <c r="BG46" s="151"/>
      <c r="BH46" s="151"/>
      <c r="BI46" s="151"/>
      <c r="BJ46" s="151"/>
      <c r="BK46" s="151"/>
    </row>
    <row r="47" spans="1:63" x14ac:dyDescent="0.25">
      <c r="A47" s="149" t="s">
        <v>304</v>
      </c>
      <c r="B47" s="149"/>
      <c r="C47" s="149"/>
      <c r="D47" s="346">
        <v>22</v>
      </c>
      <c r="E47" s="199"/>
      <c r="F47" s="149">
        <v>13</v>
      </c>
      <c r="G47" s="149">
        <v>75</v>
      </c>
      <c r="H47" s="399">
        <v>43</v>
      </c>
      <c r="I47" s="199"/>
      <c r="J47" s="149"/>
      <c r="K47" s="149"/>
      <c r="L47" s="149"/>
      <c r="M47" s="199"/>
      <c r="N47" s="149"/>
      <c r="O47" s="149"/>
      <c r="P47" s="149"/>
      <c r="Q47" s="199"/>
      <c r="R47" s="190">
        <f t="shared" si="7"/>
        <v>153</v>
      </c>
      <c r="S47" s="156">
        <f t="shared" si="9"/>
        <v>0</v>
      </c>
      <c r="T47" s="189"/>
      <c r="U47" s="189"/>
      <c r="V47" s="189"/>
      <c r="W47" s="189"/>
      <c r="X47" s="189"/>
      <c r="Y47" s="151"/>
      <c r="Z47" s="151"/>
      <c r="AA47" s="151"/>
      <c r="AB47" s="151"/>
      <c r="AC47" s="151"/>
      <c r="AD47" s="151"/>
      <c r="AE47" s="151"/>
      <c r="AG47" s="149" t="s">
        <v>304</v>
      </c>
      <c r="AH47" s="149"/>
      <c r="AI47" s="149"/>
      <c r="AJ47" s="149"/>
      <c r="AK47" s="199"/>
      <c r="AL47" s="149"/>
      <c r="AM47" s="149"/>
      <c r="AN47" s="149"/>
      <c r="AO47" s="199"/>
      <c r="AP47" s="149"/>
      <c r="AQ47" s="149"/>
      <c r="AR47" s="149"/>
      <c r="AS47" s="199"/>
      <c r="AT47" s="149"/>
      <c r="AU47" s="149"/>
      <c r="AV47" s="149"/>
      <c r="AW47" s="199"/>
      <c r="AX47" s="190">
        <f t="shared" si="8"/>
        <v>0</v>
      </c>
      <c r="AY47" s="156">
        <f t="shared" si="10"/>
        <v>0</v>
      </c>
      <c r="AZ47" s="151"/>
      <c r="BA47" s="151"/>
      <c r="BB47" s="151"/>
      <c r="BC47" s="151"/>
      <c r="BD47" s="151"/>
      <c r="BE47" s="151"/>
      <c r="BF47" s="151"/>
      <c r="BG47" s="151"/>
      <c r="BH47" s="151"/>
      <c r="BI47" s="149"/>
      <c r="BJ47" s="149"/>
      <c r="BK47" s="149"/>
    </row>
    <row r="48" spans="1:63" x14ac:dyDescent="0.25">
      <c r="A48" s="149" t="s">
        <v>305</v>
      </c>
      <c r="B48" s="149"/>
      <c r="C48" s="149">
        <v>64</v>
      </c>
      <c r="D48" s="346">
        <v>34</v>
      </c>
      <c r="E48" s="199"/>
      <c r="F48" s="149">
        <v>65</v>
      </c>
      <c r="G48" s="149">
        <v>17</v>
      </c>
      <c r="H48" s="399">
        <v>26</v>
      </c>
      <c r="I48" s="199"/>
      <c r="J48" s="149"/>
      <c r="K48" s="149"/>
      <c r="L48" s="149"/>
      <c r="M48" s="199"/>
      <c r="N48" s="149"/>
      <c r="O48" s="149"/>
      <c r="P48" s="149"/>
      <c r="Q48" s="199"/>
      <c r="R48" s="190">
        <f t="shared" si="7"/>
        <v>206</v>
      </c>
      <c r="S48" s="156">
        <f t="shared" si="9"/>
        <v>0</v>
      </c>
      <c r="T48" s="189"/>
      <c r="U48" s="189"/>
      <c r="V48" s="189"/>
      <c r="W48" s="189"/>
      <c r="X48" s="189"/>
      <c r="Y48" s="151"/>
      <c r="Z48" s="151"/>
      <c r="AA48" s="151"/>
      <c r="AB48" s="151"/>
      <c r="AC48" s="151"/>
      <c r="AD48" s="151"/>
      <c r="AE48" s="151"/>
      <c r="AG48" s="149" t="s">
        <v>305</v>
      </c>
      <c r="AH48" s="149"/>
      <c r="AI48" s="149"/>
      <c r="AJ48" s="149"/>
      <c r="AK48" s="199"/>
      <c r="AL48" s="149"/>
      <c r="AM48" s="149"/>
      <c r="AN48" s="149"/>
      <c r="AO48" s="199"/>
      <c r="AP48" s="149"/>
      <c r="AQ48" s="149"/>
      <c r="AR48" s="149"/>
      <c r="AS48" s="199"/>
      <c r="AT48" s="149"/>
      <c r="AU48" s="149"/>
      <c r="AV48" s="149"/>
      <c r="AW48" s="199"/>
      <c r="AX48" s="190">
        <f t="shared" si="8"/>
        <v>0</v>
      </c>
      <c r="AY48" s="156">
        <f t="shared" si="10"/>
        <v>0</v>
      </c>
      <c r="AZ48" s="151"/>
      <c r="BA48" s="151"/>
      <c r="BB48" s="151"/>
      <c r="BC48" s="151"/>
      <c r="BD48" s="151"/>
      <c r="BE48" s="151"/>
      <c r="BF48" s="151"/>
      <c r="BG48" s="151"/>
      <c r="BH48" s="151"/>
      <c r="BI48" s="149"/>
      <c r="BJ48" s="149"/>
      <c r="BK48" s="149"/>
    </row>
    <row r="49" spans="1:63" x14ac:dyDescent="0.25">
      <c r="A49" s="149" t="s">
        <v>306</v>
      </c>
      <c r="B49" s="149"/>
      <c r="C49" s="149">
        <v>10</v>
      </c>
      <c r="D49" s="346">
        <v>120</v>
      </c>
      <c r="E49" s="199"/>
      <c r="F49" s="149">
        <v>130</v>
      </c>
      <c r="G49" s="149">
        <v>65</v>
      </c>
      <c r="H49" s="399">
        <v>30</v>
      </c>
      <c r="I49" s="199"/>
      <c r="J49" s="149"/>
      <c r="K49" s="149"/>
      <c r="L49" s="149"/>
      <c r="M49" s="199"/>
      <c r="N49" s="149"/>
      <c r="O49" s="149"/>
      <c r="P49" s="149"/>
      <c r="Q49" s="199"/>
      <c r="R49" s="190">
        <f t="shared" si="7"/>
        <v>355</v>
      </c>
      <c r="S49" s="156">
        <f t="shared" si="9"/>
        <v>0</v>
      </c>
      <c r="T49" s="189"/>
      <c r="U49" s="189"/>
      <c r="V49" s="189"/>
      <c r="W49" s="189"/>
      <c r="X49" s="189"/>
      <c r="Y49" s="151"/>
      <c r="Z49" s="151"/>
      <c r="AA49" s="151"/>
      <c r="AB49" s="151"/>
      <c r="AC49" s="151"/>
      <c r="AD49" s="151"/>
      <c r="AE49" s="151"/>
      <c r="AG49" s="149" t="s">
        <v>306</v>
      </c>
      <c r="AH49" s="149"/>
      <c r="AI49" s="149"/>
      <c r="AJ49" s="149"/>
      <c r="AK49" s="199"/>
      <c r="AL49" s="149"/>
      <c r="AM49" s="149"/>
      <c r="AN49" s="149"/>
      <c r="AO49" s="199"/>
      <c r="AP49" s="149"/>
      <c r="AQ49" s="149"/>
      <c r="AR49" s="149"/>
      <c r="AS49" s="199"/>
      <c r="AT49" s="149"/>
      <c r="AU49" s="149"/>
      <c r="AV49" s="149"/>
      <c r="AW49" s="199"/>
      <c r="AX49" s="190">
        <f t="shared" si="8"/>
        <v>0</v>
      </c>
      <c r="AY49" s="156">
        <f t="shared" si="10"/>
        <v>0</v>
      </c>
      <c r="AZ49" s="151"/>
      <c r="BA49" s="151"/>
      <c r="BB49" s="151"/>
      <c r="BC49" s="151"/>
      <c r="BD49" s="151"/>
      <c r="BE49" s="151"/>
      <c r="BF49" s="151"/>
      <c r="BG49" s="151"/>
      <c r="BH49" s="151"/>
      <c r="BI49" s="149"/>
      <c r="BJ49" s="149"/>
      <c r="BK49" s="149"/>
    </row>
    <row r="50" spans="1:63" x14ac:dyDescent="0.25">
      <c r="A50" s="149" t="s">
        <v>307</v>
      </c>
      <c r="B50" s="149"/>
      <c r="C50" s="149">
        <v>9</v>
      </c>
      <c r="D50" s="346">
        <v>48</v>
      </c>
      <c r="E50" s="199"/>
      <c r="F50" s="149">
        <v>108</v>
      </c>
      <c r="G50" s="149">
        <v>20</v>
      </c>
      <c r="H50" s="399">
        <v>19</v>
      </c>
      <c r="I50" s="199"/>
      <c r="J50" s="149"/>
      <c r="K50" s="149"/>
      <c r="L50" s="149"/>
      <c r="M50" s="199"/>
      <c r="N50" s="149"/>
      <c r="O50" s="149"/>
      <c r="P50" s="149"/>
      <c r="Q50" s="199"/>
      <c r="R50" s="190">
        <f t="shared" si="7"/>
        <v>204</v>
      </c>
      <c r="S50" s="156">
        <f t="shared" si="9"/>
        <v>0</v>
      </c>
      <c r="T50" s="189"/>
      <c r="U50" s="189"/>
      <c r="V50" s="189"/>
      <c r="W50" s="189"/>
      <c r="X50" s="189"/>
      <c r="Y50" s="151"/>
      <c r="Z50" s="151"/>
      <c r="AA50" s="151"/>
      <c r="AB50" s="151"/>
      <c r="AC50" s="151"/>
      <c r="AD50" s="151"/>
      <c r="AE50" s="151"/>
      <c r="AG50" s="149" t="s">
        <v>307</v>
      </c>
      <c r="AH50" s="149"/>
      <c r="AI50" s="149"/>
      <c r="AJ50" s="149"/>
      <c r="AK50" s="199"/>
      <c r="AL50" s="149"/>
      <c r="AM50" s="149"/>
      <c r="AN50" s="149"/>
      <c r="AO50" s="199"/>
      <c r="AP50" s="149"/>
      <c r="AQ50" s="149"/>
      <c r="AR50" s="149"/>
      <c r="AS50" s="199"/>
      <c r="AT50" s="149"/>
      <c r="AU50" s="149"/>
      <c r="AV50" s="149"/>
      <c r="AW50" s="199"/>
      <c r="AX50" s="190">
        <f t="shared" si="8"/>
        <v>0</v>
      </c>
      <c r="AY50" s="156">
        <f t="shared" si="10"/>
        <v>0</v>
      </c>
      <c r="AZ50" s="151"/>
      <c r="BA50" s="151"/>
      <c r="BB50" s="151"/>
      <c r="BC50" s="151"/>
      <c r="BD50" s="151"/>
      <c r="BE50" s="151"/>
      <c r="BF50" s="151"/>
      <c r="BG50" s="151"/>
      <c r="BH50" s="151"/>
      <c r="BI50" s="151"/>
      <c r="BJ50" s="151"/>
      <c r="BK50" s="151"/>
    </row>
    <row r="51" spans="1:63" x14ac:dyDescent="0.25">
      <c r="A51" s="149" t="s">
        <v>308</v>
      </c>
      <c r="B51" s="149"/>
      <c r="C51" s="149"/>
      <c r="D51" s="346">
        <v>0</v>
      </c>
      <c r="E51" s="199"/>
      <c r="F51" s="149">
        <v>0</v>
      </c>
      <c r="G51" s="149">
        <v>0</v>
      </c>
      <c r="H51" s="399">
        <v>0</v>
      </c>
      <c r="I51" s="199"/>
      <c r="J51" s="149"/>
      <c r="K51" s="149"/>
      <c r="L51" s="149"/>
      <c r="M51" s="199"/>
      <c r="N51" s="149"/>
      <c r="O51" s="149"/>
      <c r="P51" s="149"/>
      <c r="Q51" s="199"/>
      <c r="R51" s="190">
        <f t="shared" si="7"/>
        <v>0</v>
      </c>
      <c r="S51" s="156">
        <f t="shared" si="9"/>
        <v>0</v>
      </c>
      <c r="T51" s="189"/>
      <c r="U51" s="189"/>
      <c r="V51" s="189"/>
      <c r="W51" s="189"/>
      <c r="X51" s="189"/>
      <c r="Y51" s="151"/>
      <c r="Z51" s="151"/>
      <c r="AA51" s="151"/>
      <c r="AB51" s="151"/>
      <c r="AC51" s="151"/>
      <c r="AD51" s="151"/>
      <c r="AE51" s="151"/>
      <c r="AG51" s="149" t="s">
        <v>308</v>
      </c>
      <c r="AH51" s="149"/>
      <c r="AI51" s="149"/>
      <c r="AJ51" s="149"/>
      <c r="AK51" s="199"/>
      <c r="AL51" s="149"/>
      <c r="AM51" s="149"/>
      <c r="AN51" s="149"/>
      <c r="AO51" s="199"/>
      <c r="AP51" s="149"/>
      <c r="AQ51" s="149"/>
      <c r="AR51" s="149"/>
      <c r="AS51" s="199"/>
      <c r="AT51" s="149"/>
      <c r="AU51" s="149"/>
      <c r="AV51" s="149"/>
      <c r="AW51" s="199"/>
      <c r="AX51" s="190">
        <f t="shared" si="8"/>
        <v>0</v>
      </c>
      <c r="AY51" s="156">
        <f t="shared" si="10"/>
        <v>0</v>
      </c>
      <c r="AZ51" s="151"/>
      <c r="BA51" s="151"/>
      <c r="BB51" s="151"/>
      <c r="BC51" s="151"/>
      <c r="BD51" s="151"/>
      <c r="BE51" s="151"/>
      <c r="BF51" s="151"/>
      <c r="BG51" s="151"/>
      <c r="BH51" s="151"/>
      <c r="BI51" s="151"/>
      <c r="BJ51" s="151"/>
      <c r="BK51" s="151"/>
    </row>
    <row r="52" spans="1:63" x14ac:dyDescent="0.25">
      <c r="A52" s="149" t="s">
        <v>309</v>
      </c>
      <c r="B52" s="149"/>
      <c r="C52" s="149"/>
      <c r="D52" s="346">
        <v>0</v>
      </c>
      <c r="E52" s="199"/>
      <c r="F52" s="149">
        <v>0</v>
      </c>
      <c r="G52" s="149">
        <v>9</v>
      </c>
      <c r="H52" s="399">
        <v>12</v>
      </c>
      <c r="I52" s="199"/>
      <c r="J52" s="149"/>
      <c r="K52" s="149"/>
      <c r="L52" s="149"/>
      <c r="M52" s="199"/>
      <c r="N52" s="149"/>
      <c r="O52" s="149"/>
      <c r="P52" s="149"/>
      <c r="Q52" s="199"/>
      <c r="R52" s="190">
        <f t="shared" si="7"/>
        <v>21</v>
      </c>
      <c r="S52" s="156">
        <f t="shared" si="9"/>
        <v>0</v>
      </c>
      <c r="T52" s="189"/>
      <c r="U52" s="189"/>
      <c r="V52" s="189"/>
      <c r="W52" s="189"/>
      <c r="X52" s="189"/>
      <c r="Y52" s="151"/>
      <c r="Z52" s="151"/>
      <c r="AA52" s="151"/>
      <c r="AB52" s="151"/>
      <c r="AC52" s="151"/>
      <c r="AD52" s="151"/>
      <c r="AE52" s="151"/>
      <c r="AG52" s="149" t="s">
        <v>309</v>
      </c>
      <c r="AH52" s="149"/>
      <c r="AI52" s="149"/>
      <c r="AJ52" s="149"/>
      <c r="AK52" s="199"/>
      <c r="AL52" s="149"/>
      <c r="AM52" s="149"/>
      <c r="AN52" s="149"/>
      <c r="AO52" s="199"/>
      <c r="AP52" s="149"/>
      <c r="AQ52" s="149"/>
      <c r="AR52" s="149"/>
      <c r="AS52" s="199"/>
      <c r="AT52" s="149"/>
      <c r="AU52" s="149"/>
      <c r="AV52" s="149"/>
      <c r="AW52" s="199"/>
      <c r="AX52" s="190">
        <f t="shared" si="8"/>
        <v>0</v>
      </c>
      <c r="AY52" s="156">
        <f t="shared" si="10"/>
        <v>0</v>
      </c>
      <c r="AZ52" s="151"/>
      <c r="BA52" s="151"/>
      <c r="BB52" s="151"/>
      <c r="BC52" s="151"/>
      <c r="BD52" s="151"/>
      <c r="BE52" s="151"/>
      <c r="BF52" s="151"/>
      <c r="BG52" s="151"/>
      <c r="BH52" s="151"/>
      <c r="BI52" s="151"/>
      <c r="BJ52" s="151"/>
      <c r="BK52" s="151"/>
    </row>
    <row r="53" spans="1:63" x14ac:dyDescent="0.25">
      <c r="A53" s="149" t="s">
        <v>310</v>
      </c>
      <c r="B53" s="149"/>
      <c r="C53" s="149">
        <v>20</v>
      </c>
      <c r="D53" s="346">
        <v>31</v>
      </c>
      <c r="E53" s="199"/>
      <c r="F53" s="149">
        <v>4</v>
      </c>
      <c r="G53" s="149">
        <v>11</v>
      </c>
      <c r="H53" s="399">
        <v>57</v>
      </c>
      <c r="I53" s="199"/>
      <c r="J53" s="149"/>
      <c r="K53" s="149"/>
      <c r="L53" s="149"/>
      <c r="M53" s="199"/>
      <c r="N53" s="149"/>
      <c r="O53" s="149"/>
      <c r="P53" s="149"/>
      <c r="Q53" s="199"/>
      <c r="R53" s="190">
        <f t="shared" si="7"/>
        <v>123</v>
      </c>
      <c r="S53" s="156">
        <f t="shared" si="9"/>
        <v>0</v>
      </c>
      <c r="T53" s="189"/>
      <c r="U53" s="189"/>
      <c r="V53" s="189"/>
      <c r="W53" s="189"/>
      <c r="X53" s="189"/>
      <c r="Y53" s="151"/>
      <c r="Z53" s="151"/>
      <c r="AA53" s="151"/>
      <c r="AB53" s="151"/>
      <c r="AC53" s="151"/>
      <c r="AD53" s="151"/>
      <c r="AE53" s="151"/>
      <c r="AG53" s="149" t="s">
        <v>310</v>
      </c>
      <c r="AH53" s="149"/>
      <c r="AI53" s="149"/>
      <c r="AJ53" s="149"/>
      <c r="AK53" s="199"/>
      <c r="AL53" s="149"/>
      <c r="AM53" s="149"/>
      <c r="AN53" s="149"/>
      <c r="AO53" s="199"/>
      <c r="AP53" s="149"/>
      <c r="AQ53" s="149"/>
      <c r="AR53" s="149"/>
      <c r="AS53" s="199"/>
      <c r="AT53" s="149"/>
      <c r="AU53" s="149"/>
      <c r="AV53" s="149"/>
      <c r="AW53" s="199"/>
      <c r="AX53" s="190">
        <f t="shared" si="8"/>
        <v>0</v>
      </c>
      <c r="AY53" s="156">
        <f t="shared" si="10"/>
        <v>0</v>
      </c>
      <c r="AZ53" s="151"/>
      <c r="BA53" s="151"/>
      <c r="BB53" s="151"/>
      <c r="BC53" s="151"/>
      <c r="BD53" s="151"/>
      <c r="BE53" s="151"/>
      <c r="BF53" s="151"/>
      <c r="BG53" s="151"/>
      <c r="BH53" s="151"/>
      <c r="BI53" s="151"/>
      <c r="BJ53" s="151"/>
      <c r="BK53" s="151"/>
    </row>
    <row r="54" spans="1:63" x14ac:dyDescent="0.25">
      <c r="A54" s="149" t="s">
        <v>311</v>
      </c>
      <c r="B54" s="149"/>
      <c r="C54" s="149"/>
      <c r="D54" s="346">
        <v>0</v>
      </c>
      <c r="E54" s="199"/>
      <c r="F54" s="149">
        <v>38</v>
      </c>
      <c r="G54" s="149">
        <v>0</v>
      </c>
      <c r="H54" s="399">
        <v>3</v>
      </c>
      <c r="I54" s="199"/>
      <c r="J54" s="149"/>
      <c r="K54" s="149"/>
      <c r="L54" s="149"/>
      <c r="M54" s="199"/>
      <c r="N54" s="149"/>
      <c r="O54" s="149"/>
      <c r="P54" s="149"/>
      <c r="Q54" s="199"/>
      <c r="R54" s="190">
        <f t="shared" si="7"/>
        <v>41</v>
      </c>
      <c r="S54" s="156">
        <f t="shared" si="9"/>
        <v>0</v>
      </c>
      <c r="T54" s="189"/>
      <c r="U54" s="189"/>
      <c r="V54" s="189"/>
      <c r="W54" s="189"/>
      <c r="X54" s="189"/>
      <c r="Y54" s="151"/>
      <c r="Z54" s="151"/>
      <c r="AA54" s="151"/>
      <c r="AB54" s="151"/>
      <c r="AC54" s="151"/>
      <c r="AD54" s="151"/>
      <c r="AE54" s="151"/>
      <c r="AG54" s="149" t="s">
        <v>311</v>
      </c>
      <c r="AH54" s="149"/>
      <c r="AI54" s="149"/>
      <c r="AJ54" s="149"/>
      <c r="AK54" s="199"/>
      <c r="AL54" s="149"/>
      <c r="AM54" s="149"/>
      <c r="AN54" s="149"/>
      <c r="AO54" s="199"/>
      <c r="AP54" s="149"/>
      <c r="AQ54" s="149"/>
      <c r="AR54" s="149"/>
      <c r="AS54" s="199"/>
      <c r="AT54" s="149"/>
      <c r="AU54" s="149"/>
      <c r="AV54" s="149"/>
      <c r="AW54" s="199"/>
      <c r="AX54" s="190">
        <f t="shared" si="8"/>
        <v>0</v>
      </c>
      <c r="AY54" s="156">
        <f t="shared" si="10"/>
        <v>0</v>
      </c>
      <c r="AZ54" s="151"/>
      <c r="BA54" s="151"/>
      <c r="BB54" s="151"/>
      <c r="BC54" s="151"/>
      <c r="BD54" s="151"/>
      <c r="BE54" s="151"/>
      <c r="BF54" s="151"/>
      <c r="BG54" s="151"/>
      <c r="BH54" s="151"/>
      <c r="BI54" s="151"/>
      <c r="BJ54" s="151"/>
      <c r="BK54" s="151"/>
    </row>
    <row r="55" spans="1:63" x14ac:dyDescent="0.25">
      <c r="A55" s="149" t="s">
        <v>312</v>
      </c>
      <c r="B55" s="149"/>
      <c r="C55" s="149"/>
      <c r="D55" s="346">
        <v>67</v>
      </c>
      <c r="E55" s="199"/>
      <c r="F55" s="149">
        <v>18</v>
      </c>
      <c r="G55" s="149">
        <v>59</v>
      </c>
      <c r="H55" s="399">
        <v>46</v>
      </c>
      <c r="I55" s="199"/>
      <c r="J55" s="149"/>
      <c r="K55" s="149"/>
      <c r="L55" s="149"/>
      <c r="M55" s="199"/>
      <c r="N55" s="149"/>
      <c r="O55" s="149"/>
      <c r="P55" s="149"/>
      <c r="Q55" s="199"/>
      <c r="R55" s="190">
        <f t="shared" si="7"/>
        <v>190</v>
      </c>
      <c r="S55" s="156">
        <f t="shared" si="9"/>
        <v>0</v>
      </c>
      <c r="T55" s="189"/>
      <c r="U55" s="189"/>
      <c r="V55" s="189"/>
      <c r="W55" s="189"/>
      <c r="X55" s="189"/>
      <c r="Y55" s="151"/>
      <c r="Z55" s="151"/>
      <c r="AA55" s="151"/>
      <c r="AB55" s="151"/>
      <c r="AC55" s="151"/>
      <c r="AD55" s="151"/>
      <c r="AE55" s="151"/>
      <c r="AG55" s="149" t="s">
        <v>312</v>
      </c>
      <c r="AH55" s="149"/>
      <c r="AI55" s="149"/>
      <c r="AJ55" s="149"/>
      <c r="AK55" s="199"/>
      <c r="AL55" s="149"/>
      <c r="AM55" s="149"/>
      <c r="AN55" s="149"/>
      <c r="AO55" s="199"/>
      <c r="AP55" s="149"/>
      <c r="AQ55" s="149"/>
      <c r="AR55" s="149"/>
      <c r="AS55" s="199"/>
      <c r="AT55" s="149"/>
      <c r="AU55" s="149"/>
      <c r="AV55" s="149"/>
      <c r="AW55" s="199"/>
      <c r="AX55" s="190">
        <f t="shared" si="8"/>
        <v>0</v>
      </c>
      <c r="AY55" s="156">
        <f t="shared" si="10"/>
        <v>0</v>
      </c>
      <c r="AZ55" s="151"/>
      <c r="BA55" s="151"/>
      <c r="BB55" s="151"/>
      <c r="BC55" s="151"/>
      <c r="BD55" s="151"/>
      <c r="BE55" s="151"/>
      <c r="BF55" s="151"/>
      <c r="BG55" s="151"/>
      <c r="BH55" s="151"/>
      <c r="BI55" s="151"/>
      <c r="BJ55" s="151"/>
      <c r="BK55" s="151"/>
    </row>
    <row r="56" spans="1:63" x14ac:dyDescent="0.25">
      <c r="A56" s="149" t="s">
        <v>313</v>
      </c>
      <c r="B56" s="149"/>
      <c r="C56" s="149"/>
      <c r="D56" s="346">
        <v>13</v>
      </c>
      <c r="E56" s="199"/>
      <c r="F56" s="149">
        <v>3</v>
      </c>
      <c r="G56" s="149">
        <v>18</v>
      </c>
      <c r="H56" s="399">
        <v>0</v>
      </c>
      <c r="I56" s="199"/>
      <c r="J56" s="149"/>
      <c r="K56" s="149"/>
      <c r="L56" s="149"/>
      <c r="M56" s="199"/>
      <c r="N56" s="149"/>
      <c r="O56" s="149"/>
      <c r="P56" s="149"/>
      <c r="Q56" s="199"/>
      <c r="R56" s="190">
        <f t="shared" si="7"/>
        <v>34</v>
      </c>
      <c r="S56" s="156">
        <f t="shared" si="9"/>
        <v>0</v>
      </c>
      <c r="T56" s="189"/>
      <c r="U56" s="189"/>
      <c r="V56" s="189"/>
      <c r="W56" s="189"/>
      <c r="X56" s="189"/>
      <c r="Y56" s="151"/>
      <c r="Z56" s="151"/>
      <c r="AA56" s="151"/>
      <c r="AB56" s="151"/>
      <c r="AC56" s="151"/>
      <c r="AD56" s="151"/>
      <c r="AE56" s="151"/>
      <c r="AG56" s="149" t="s">
        <v>313</v>
      </c>
      <c r="AH56" s="149"/>
      <c r="AI56" s="149"/>
      <c r="AJ56" s="149"/>
      <c r="AK56" s="199"/>
      <c r="AL56" s="149"/>
      <c r="AM56" s="149"/>
      <c r="AN56" s="149"/>
      <c r="AO56" s="199"/>
      <c r="AP56" s="149"/>
      <c r="AQ56" s="149"/>
      <c r="AR56" s="149"/>
      <c r="AS56" s="199"/>
      <c r="AT56" s="149"/>
      <c r="AU56" s="149"/>
      <c r="AV56" s="149"/>
      <c r="AW56" s="199"/>
      <c r="AX56" s="190">
        <f t="shared" si="8"/>
        <v>0</v>
      </c>
      <c r="AY56" s="156">
        <f t="shared" si="10"/>
        <v>0</v>
      </c>
      <c r="AZ56" s="151"/>
      <c r="BA56" s="151"/>
      <c r="BB56" s="151"/>
      <c r="BC56" s="151"/>
      <c r="BD56" s="151"/>
      <c r="BE56" s="151"/>
      <c r="BF56" s="151"/>
      <c r="BG56" s="151"/>
      <c r="BH56" s="151"/>
      <c r="BI56" s="151"/>
      <c r="BJ56" s="151"/>
      <c r="BK56" s="151"/>
    </row>
    <row r="57" spans="1:63" x14ac:dyDescent="0.25">
      <c r="A57" s="149" t="s">
        <v>314</v>
      </c>
      <c r="B57" s="149"/>
      <c r="C57" s="149"/>
      <c r="D57" s="346">
        <v>6</v>
      </c>
      <c r="E57" s="199"/>
      <c r="F57" s="149">
        <v>7</v>
      </c>
      <c r="G57" s="149">
        <v>3</v>
      </c>
      <c r="H57" s="399">
        <v>37</v>
      </c>
      <c r="I57" s="199"/>
      <c r="J57" s="149"/>
      <c r="K57" s="149"/>
      <c r="L57" s="149"/>
      <c r="M57" s="199"/>
      <c r="N57" s="149"/>
      <c r="O57" s="149"/>
      <c r="P57" s="149"/>
      <c r="Q57" s="199"/>
      <c r="R57" s="190">
        <f t="shared" si="7"/>
        <v>53</v>
      </c>
      <c r="S57" s="156">
        <f t="shared" si="9"/>
        <v>0</v>
      </c>
      <c r="T57" s="189"/>
      <c r="U57" s="189"/>
      <c r="V57" s="189"/>
      <c r="W57" s="189"/>
      <c r="X57" s="189"/>
      <c r="Y57" s="151"/>
      <c r="Z57" s="151"/>
      <c r="AA57" s="151"/>
      <c r="AB57" s="151"/>
      <c r="AC57" s="151"/>
      <c r="AD57" s="151"/>
      <c r="AE57" s="151"/>
      <c r="AG57" s="149" t="s">
        <v>314</v>
      </c>
      <c r="AH57" s="149"/>
      <c r="AI57" s="149"/>
      <c r="AJ57" s="149"/>
      <c r="AK57" s="199"/>
      <c r="AL57" s="149"/>
      <c r="AM57" s="149"/>
      <c r="AN57" s="149"/>
      <c r="AO57" s="199"/>
      <c r="AP57" s="149"/>
      <c r="AQ57" s="149"/>
      <c r="AR57" s="149"/>
      <c r="AS57" s="199"/>
      <c r="AT57" s="149"/>
      <c r="AU57" s="149"/>
      <c r="AV57" s="149"/>
      <c r="AW57" s="199"/>
      <c r="AX57" s="190">
        <f t="shared" si="8"/>
        <v>0</v>
      </c>
      <c r="AY57" s="156">
        <f t="shared" si="10"/>
        <v>0</v>
      </c>
      <c r="AZ57" s="151"/>
      <c r="BA57" s="151"/>
      <c r="BB57" s="151"/>
      <c r="BC57" s="151"/>
      <c r="BD57" s="151"/>
      <c r="BE57" s="151"/>
      <c r="BF57" s="151"/>
      <c r="BG57" s="151"/>
      <c r="BH57" s="151"/>
      <c r="BI57" s="151"/>
      <c r="BJ57" s="151"/>
      <c r="BK57" s="151"/>
    </row>
    <row r="58" spans="1:63" x14ac:dyDescent="0.25">
      <c r="A58" s="149" t="s">
        <v>315</v>
      </c>
      <c r="B58" s="149"/>
      <c r="C58" s="149"/>
      <c r="D58" s="346">
        <v>0</v>
      </c>
      <c r="E58" s="199"/>
      <c r="F58" s="149">
        <v>12</v>
      </c>
      <c r="G58" s="149">
        <v>12</v>
      </c>
      <c r="H58" s="399">
        <v>5</v>
      </c>
      <c r="I58" s="199"/>
      <c r="J58" s="149"/>
      <c r="K58" s="149"/>
      <c r="L58" s="149"/>
      <c r="M58" s="199"/>
      <c r="N58" s="149"/>
      <c r="O58" s="149"/>
      <c r="P58" s="149"/>
      <c r="Q58" s="199"/>
      <c r="R58" s="190">
        <f t="shared" si="7"/>
        <v>29</v>
      </c>
      <c r="S58" s="156">
        <f t="shared" si="9"/>
        <v>0</v>
      </c>
      <c r="T58" s="189"/>
      <c r="U58" s="189"/>
      <c r="V58" s="189"/>
      <c r="W58" s="189"/>
      <c r="X58" s="189"/>
      <c r="Y58" s="151"/>
      <c r="Z58" s="151"/>
      <c r="AA58" s="151"/>
      <c r="AB58" s="151"/>
      <c r="AC58" s="151"/>
      <c r="AD58" s="151"/>
      <c r="AE58" s="151"/>
      <c r="AG58" s="149" t="s">
        <v>315</v>
      </c>
      <c r="AH58" s="149"/>
      <c r="AI58" s="149"/>
      <c r="AJ58" s="149"/>
      <c r="AK58" s="199"/>
      <c r="AL58" s="149"/>
      <c r="AM58" s="149"/>
      <c r="AN58" s="149"/>
      <c r="AO58" s="199"/>
      <c r="AP58" s="149"/>
      <c r="AQ58" s="149"/>
      <c r="AR58" s="149"/>
      <c r="AS58" s="199"/>
      <c r="AT58" s="149"/>
      <c r="AU58" s="149"/>
      <c r="AV58" s="149"/>
      <c r="AW58" s="199"/>
      <c r="AX58" s="190">
        <f t="shared" si="8"/>
        <v>0</v>
      </c>
      <c r="AY58" s="156">
        <f t="shared" si="10"/>
        <v>0</v>
      </c>
      <c r="AZ58" s="151"/>
      <c r="BA58" s="151"/>
      <c r="BB58" s="151"/>
      <c r="BC58" s="151"/>
      <c r="BD58" s="151"/>
      <c r="BE58" s="151"/>
      <c r="BF58" s="151"/>
      <c r="BG58" s="151"/>
      <c r="BH58" s="151"/>
      <c r="BI58" s="151"/>
      <c r="BJ58" s="151"/>
      <c r="BK58" s="151"/>
    </row>
    <row r="59" spans="1:63" x14ac:dyDescent="0.25">
      <c r="A59" s="149" t="s">
        <v>316</v>
      </c>
      <c r="B59" s="149"/>
      <c r="C59" s="149"/>
      <c r="D59" s="346">
        <v>0</v>
      </c>
      <c r="E59" s="199"/>
      <c r="F59" s="149">
        <v>0</v>
      </c>
      <c r="G59" s="149">
        <v>30</v>
      </c>
      <c r="H59" s="399">
        <v>0</v>
      </c>
      <c r="I59" s="199"/>
      <c r="J59" s="149"/>
      <c r="K59" s="149"/>
      <c r="L59" s="149"/>
      <c r="M59" s="199"/>
      <c r="N59" s="149"/>
      <c r="O59" s="149"/>
      <c r="P59" s="149"/>
      <c r="Q59" s="199"/>
      <c r="R59" s="190">
        <f t="shared" si="7"/>
        <v>30</v>
      </c>
      <c r="S59" s="156">
        <f t="shared" si="9"/>
        <v>0</v>
      </c>
      <c r="T59" s="189"/>
      <c r="U59" s="189"/>
      <c r="V59" s="189"/>
      <c r="W59" s="189"/>
      <c r="X59" s="189"/>
      <c r="Y59" s="151"/>
      <c r="Z59" s="151"/>
      <c r="AA59" s="151"/>
      <c r="AB59" s="151"/>
      <c r="AC59" s="151"/>
      <c r="AD59" s="151"/>
      <c r="AE59" s="151"/>
      <c r="AG59" s="149" t="s">
        <v>316</v>
      </c>
      <c r="AH59" s="149"/>
      <c r="AI59" s="149"/>
      <c r="AJ59" s="149"/>
      <c r="AK59" s="199"/>
      <c r="AL59" s="149"/>
      <c r="AM59" s="149"/>
      <c r="AN59" s="149"/>
      <c r="AO59" s="199"/>
      <c r="AP59" s="149"/>
      <c r="AQ59" s="149"/>
      <c r="AR59" s="149"/>
      <c r="AS59" s="199"/>
      <c r="AT59" s="149"/>
      <c r="AU59" s="149"/>
      <c r="AV59" s="149"/>
      <c r="AW59" s="199"/>
      <c r="AX59" s="190">
        <f t="shared" si="8"/>
        <v>0</v>
      </c>
      <c r="AY59" s="156">
        <f t="shared" si="10"/>
        <v>0</v>
      </c>
      <c r="AZ59" s="151"/>
      <c r="BA59" s="151"/>
      <c r="BB59" s="151"/>
      <c r="BC59" s="151"/>
      <c r="BD59" s="151"/>
      <c r="BE59" s="151"/>
      <c r="BF59" s="151"/>
      <c r="BG59" s="151"/>
      <c r="BH59" s="151"/>
      <c r="BI59" s="151"/>
      <c r="BJ59" s="151"/>
      <c r="BK59" s="151"/>
    </row>
    <row r="60" spans="1:63" x14ac:dyDescent="0.25">
      <c r="A60" s="153" t="s">
        <v>317</v>
      </c>
      <c r="B60" s="150">
        <f t="shared" ref="B60:Q60" si="11">SUM(B39:B59)</f>
        <v>0</v>
      </c>
      <c r="C60" s="150">
        <f>SUM(C39:C59)</f>
        <v>134</v>
      </c>
      <c r="D60" s="150">
        <f>SUM(D39:D59)</f>
        <v>542</v>
      </c>
      <c r="E60" s="200">
        <f t="shared" si="11"/>
        <v>0</v>
      </c>
      <c r="F60" s="150">
        <f t="shared" si="11"/>
        <v>789</v>
      </c>
      <c r="G60" s="150">
        <f>SUM(G39:G59)</f>
        <v>790</v>
      </c>
      <c r="H60" s="150">
        <f t="shared" si="11"/>
        <v>454</v>
      </c>
      <c r="I60" s="200">
        <f t="shared" si="11"/>
        <v>0</v>
      </c>
      <c r="J60" s="150">
        <f t="shared" si="11"/>
        <v>0</v>
      </c>
      <c r="K60" s="150">
        <f t="shared" si="11"/>
        <v>0</v>
      </c>
      <c r="L60" s="150">
        <f t="shared" si="11"/>
        <v>0</v>
      </c>
      <c r="M60" s="200">
        <f t="shared" si="11"/>
        <v>0</v>
      </c>
      <c r="N60" s="150">
        <f t="shared" si="11"/>
        <v>0</v>
      </c>
      <c r="O60" s="150">
        <f t="shared" si="11"/>
        <v>0</v>
      </c>
      <c r="P60" s="150">
        <f t="shared" si="11"/>
        <v>0</v>
      </c>
      <c r="Q60" s="200">
        <f t="shared" si="11"/>
        <v>0</v>
      </c>
      <c r="R60" s="408">
        <f t="shared" ref="R60:AE60" si="12">SUM(R39:R59)</f>
        <v>2709</v>
      </c>
      <c r="S60" s="156">
        <f t="shared" si="12"/>
        <v>0</v>
      </c>
      <c r="T60" s="150">
        <f t="shared" si="12"/>
        <v>0</v>
      </c>
      <c r="U60" s="150">
        <f t="shared" si="12"/>
        <v>0</v>
      </c>
      <c r="V60" s="150">
        <f t="shared" si="12"/>
        <v>0</v>
      </c>
      <c r="W60" s="150">
        <f t="shared" si="12"/>
        <v>0</v>
      </c>
      <c r="X60" s="150">
        <f t="shared" si="12"/>
        <v>0</v>
      </c>
      <c r="Y60" s="150">
        <f t="shared" si="12"/>
        <v>0</v>
      </c>
      <c r="Z60" s="150">
        <f t="shared" si="12"/>
        <v>0</v>
      </c>
      <c r="AA60" s="150">
        <f t="shared" si="12"/>
        <v>0</v>
      </c>
      <c r="AB60" s="150">
        <f t="shared" si="12"/>
        <v>0</v>
      </c>
      <c r="AC60" s="150">
        <f t="shared" si="12"/>
        <v>0</v>
      </c>
      <c r="AD60" s="150">
        <f t="shared" si="12"/>
        <v>0</v>
      </c>
      <c r="AE60" s="150">
        <f t="shared" si="12"/>
        <v>0</v>
      </c>
      <c r="AG60" s="153" t="s">
        <v>317</v>
      </c>
      <c r="AH60" s="150">
        <f t="shared" ref="AH60:AW60" si="13">SUM(AH39:AH59)</f>
        <v>0</v>
      </c>
      <c r="AI60" s="150">
        <f t="shared" si="13"/>
        <v>0</v>
      </c>
      <c r="AJ60" s="150">
        <f t="shared" si="13"/>
        <v>0</v>
      </c>
      <c r="AK60" s="200">
        <f t="shared" si="13"/>
        <v>0</v>
      </c>
      <c r="AL60" s="150">
        <f t="shared" si="13"/>
        <v>0</v>
      </c>
      <c r="AM60" s="150">
        <f t="shared" si="13"/>
        <v>0</v>
      </c>
      <c r="AN60" s="150">
        <f t="shared" si="13"/>
        <v>0</v>
      </c>
      <c r="AO60" s="200">
        <f t="shared" si="13"/>
        <v>0</v>
      </c>
      <c r="AP60" s="150">
        <f t="shared" si="13"/>
        <v>0</v>
      </c>
      <c r="AQ60" s="150">
        <f t="shared" si="13"/>
        <v>0</v>
      </c>
      <c r="AR60" s="150">
        <f t="shared" si="13"/>
        <v>0</v>
      </c>
      <c r="AS60" s="200">
        <f t="shared" si="13"/>
        <v>0</v>
      </c>
      <c r="AT60" s="150">
        <f t="shared" si="13"/>
        <v>0</v>
      </c>
      <c r="AU60" s="150">
        <f t="shared" si="13"/>
        <v>0</v>
      </c>
      <c r="AV60" s="150">
        <f t="shared" si="13"/>
        <v>0</v>
      </c>
      <c r="AW60" s="200">
        <f t="shared" si="13"/>
        <v>0</v>
      </c>
      <c r="AX60" s="191">
        <f t="shared" ref="AX60:BK60" si="14">SUM(AX39:AX59)</f>
        <v>0</v>
      </c>
      <c r="AY60" s="157">
        <f t="shared" si="14"/>
        <v>0</v>
      </c>
      <c r="AZ60" s="150">
        <f t="shared" si="14"/>
        <v>0</v>
      </c>
      <c r="BA60" s="150">
        <f t="shared" si="14"/>
        <v>0</v>
      </c>
      <c r="BB60" s="150">
        <f t="shared" si="14"/>
        <v>0</v>
      </c>
      <c r="BC60" s="150">
        <f t="shared" si="14"/>
        <v>0</v>
      </c>
      <c r="BD60" s="150">
        <f t="shared" si="14"/>
        <v>0</v>
      </c>
      <c r="BE60" s="150">
        <f t="shared" si="14"/>
        <v>0</v>
      </c>
      <c r="BF60" s="150">
        <f t="shared" si="14"/>
        <v>0</v>
      </c>
      <c r="BG60" s="150">
        <f t="shared" si="14"/>
        <v>0</v>
      </c>
      <c r="BH60" s="150">
        <f t="shared" si="14"/>
        <v>0</v>
      </c>
      <c r="BI60" s="150">
        <f t="shared" si="14"/>
        <v>0</v>
      </c>
      <c r="BJ60" s="150">
        <f t="shared" si="14"/>
        <v>0</v>
      </c>
      <c r="BK60" s="150">
        <f t="shared" si="14"/>
        <v>0</v>
      </c>
    </row>
  </sheetData>
  <mergeCells count="46">
    <mergeCell ref="BI4:BK4"/>
    <mergeCell ref="A4:BH4"/>
    <mergeCell ref="BI1:BK1"/>
    <mergeCell ref="BI2:BK2"/>
    <mergeCell ref="BI3:BK3"/>
    <mergeCell ref="A1:BH1"/>
    <mergeCell ref="A2:BH2"/>
    <mergeCell ref="A3:BH3"/>
    <mergeCell ref="A5:AE5"/>
    <mergeCell ref="AJ9:AK9"/>
    <mergeCell ref="AN9:AO9"/>
    <mergeCell ref="Z9:AE9"/>
    <mergeCell ref="AG9:AG10"/>
    <mergeCell ref="L9:M9"/>
    <mergeCell ref="P9:Q9"/>
    <mergeCell ref="B7:BK7"/>
    <mergeCell ref="T9:Y9"/>
    <mergeCell ref="AG5:BK5"/>
    <mergeCell ref="A9:A10"/>
    <mergeCell ref="D9:E9"/>
    <mergeCell ref="H9:I9"/>
    <mergeCell ref="B6:BK6"/>
    <mergeCell ref="R9:S9"/>
    <mergeCell ref="AX37:AY37"/>
    <mergeCell ref="AZ37:BE37"/>
    <mergeCell ref="BF37:BK37"/>
    <mergeCell ref="AR9:AS9"/>
    <mergeCell ref="AV9:AW9"/>
    <mergeCell ref="BF9:BK9"/>
    <mergeCell ref="AZ9:BE9"/>
    <mergeCell ref="AV37:AW37"/>
    <mergeCell ref="AX9:AY9"/>
    <mergeCell ref="B34:BK34"/>
    <mergeCell ref="B35:BK35"/>
    <mergeCell ref="Z37:AE37"/>
    <mergeCell ref="AG37:AG38"/>
    <mergeCell ref="AJ37:AK37"/>
    <mergeCell ref="AN37:AO37"/>
    <mergeCell ref="AR37:AS37"/>
    <mergeCell ref="R37:S37"/>
    <mergeCell ref="T37:Y37"/>
    <mergeCell ref="A37:A38"/>
    <mergeCell ref="D37:E37"/>
    <mergeCell ref="H37:I37"/>
    <mergeCell ref="L37:M37"/>
    <mergeCell ref="P37:Q37"/>
  </mergeCells>
  <pageMargins left="0.7" right="0.7" top="0.75" bottom="0.75" header="0.3" footer="0.3"/>
  <pageSetup scale="18" orientation="landscape"/>
  <customProperties>
    <customPr name="_pios_id" r:id="rId1"/>
  </customPropertie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I56"/>
  <sheetViews>
    <sheetView topLeftCell="C27" zoomScale="91" workbookViewId="0">
      <selection activeCell="D38" sqref="D38"/>
    </sheetView>
  </sheetViews>
  <sheetFormatPr baseColWidth="10" defaultColWidth="11.42578125" defaultRowHeight="15" x14ac:dyDescent="0.25"/>
  <cols>
    <col min="1" max="1" width="44.140625" style="108" customWidth="1"/>
    <col min="2" max="2" width="61.85546875" style="108" customWidth="1"/>
    <col min="3" max="3" width="61.140625" style="108" customWidth="1"/>
    <col min="4" max="4" width="81" style="108" customWidth="1"/>
    <col min="5" max="5" width="32.85546875" style="133" customWidth="1"/>
    <col min="6" max="6" width="19" style="108" customWidth="1"/>
    <col min="7" max="7" width="29.42578125" style="108" customWidth="1"/>
    <col min="8" max="8" width="36.28515625" style="108" customWidth="1"/>
    <col min="9" max="9" width="40" style="108" customWidth="1"/>
    <col min="10" max="16384" width="11.42578125" style="108"/>
  </cols>
  <sheetData>
    <row r="1" spans="1:9" s="121" customFormat="1" x14ac:dyDescent="0.25">
      <c r="A1" s="120" t="s">
        <v>319</v>
      </c>
      <c r="B1" s="120" t="s">
        <v>320</v>
      </c>
      <c r="C1" s="120" t="s">
        <v>321</v>
      </c>
      <c r="D1" s="120" t="s">
        <v>322</v>
      </c>
      <c r="E1" s="120" t="s">
        <v>323</v>
      </c>
      <c r="F1" s="120" t="s">
        <v>324</v>
      </c>
      <c r="G1" s="120" t="s">
        <v>325</v>
      </c>
      <c r="H1" s="120" t="s">
        <v>280</v>
      </c>
      <c r="I1" s="120" t="s">
        <v>326</v>
      </c>
    </row>
    <row r="2" spans="1:9" s="121" customFormat="1" x14ac:dyDescent="0.25">
      <c r="A2" s="122" t="s">
        <v>327</v>
      </c>
      <c r="B2" s="116" t="s">
        <v>328</v>
      </c>
      <c r="C2" s="122" t="s">
        <v>329</v>
      </c>
      <c r="D2" s="123" t="s">
        <v>330</v>
      </c>
      <c r="E2" s="117" t="s">
        <v>331</v>
      </c>
      <c r="F2" s="124" t="s">
        <v>332</v>
      </c>
      <c r="G2" s="125" t="s">
        <v>333</v>
      </c>
      <c r="H2" s="125" t="s">
        <v>334</v>
      </c>
      <c r="I2" s="124" t="s">
        <v>335</v>
      </c>
    </row>
    <row r="3" spans="1:9" x14ac:dyDescent="0.25">
      <c r="A3" s="122" t="s">
        <v>336</v>
      </c>
      <c r="B3" s="116" t="s">
        <v>337</v>
      </c>
      <c r="C3" s="122" t="s">
        <v>338</v>
      </c>
      <c r="D3" s="126" t="s">
        <v>339</v>
      </c>
      <c r="E3" s="117" t="s">
        <v>340</v>
      </c>
      <c r="F3" s="124" t="s">
        <v>341</v>
      </c>
      <c r="G3" s="125" t="s">
        <v>342</v>
      </c>
      <c r="H3" s="125" t="s">
        <v>289</v>
      </c>
      <c r="I3" s="124" t="s">
        <v>343</v>
      </c>
    </row>
    <row r="4" spans="1:9" x14ac:dyDescent="0.25">
      <c r="A4" s="122" t="s">
        <v>344</v>
      </c>
      <c r="B4" s="116" t="s">
        <v>345</v>
      </c>
      <c r="C4" s="122" t="s">
        <v>346</v>
      </c>
      <c r="D4" s="126" t="s">
        <v>347</v>
      </c>
      <c r="E4" s="117" t="s">
        <v>348</v>
      </c>
      <c r="F4" s="124" t="s">
        <v>349</v>
      </c>
      <c r="G4" s="125" t="s">
        <v>350</v>
      </c>
      <c r="H4" s="125" t="s">
        <v>284</v>
      </c>
      <c r="I4" s="124" t="s">
        <v>351</v>
      </c>
    </row>
    <row r="5" spans="1:9" x14ac:dyDescent="0.25">
      <c r="A5" s="122" t="s">
        <v>352</v>
      </c>
      <c r="B5" s="116" t="s">
        <v>353</v>
      </c>
      <c r="C5" s="122" t="s">
        <v>354</v>
      </c>
      <c r="D5" s="126" t="s">
        <v>355</v>
      </c>
      <c r="E5" s="117" t="s">
        <v>356</v>
      </c>
      <c r="F5" s="124" t="s">
        <v>357</v>
      </c>
      <c r="G5" s="125" t="s">
        <v>358</v>
      </c>
      <c r="H5" s="125" t="s">
        <v>285</v>
      </c>
      <c r="I5" s="124" t="s">
        <v>359</v>
      </c>
    </row>
    <row r="6" spans="1:9" ht="30" x14ac:dyDescent="0.25">
      <c r="A6" s="122" t="s">
        <v>360</v>
      </c>
      <c r="B6" s="116" t="s">
        <v>361</v>
      </c>
      <c r="C6" s="122" t="s">
        <v>362</v>
      </c>
      <c r="D6" s="126" t="s">
        <v>363</v>
      </c>
      <c r="E6" s="117" t="s">
        <v>364</v>
      </c>
      <c r="G6" s="125" t="s">
        <v>365</v>
      </c>
      <c r="H6" s="125" t="s">
        <v>286</v>
      </c>
      <c r="I6" s="124" t="s">
        <v>366</v>
      </c>
    </row>
    <row r="7" spans="1:9" ht="30" x14ac:dyDescent="0.25">
      <c r="B7" s="116" t="s">
        <v>367</v>
      </c>
      <c r="C7" s="122" t="s">
        <v>368</v>
      </c>
      <c r="D7" s="126" t="s">
        <v>369</v>
      </c>
      <c r="E7" s="124" t="s">
        <v>370</v>
      </c>
      <c r="G7" s="117" t="s">
        <v>295</v>
      </c>
      <c r="H7" s="125" t="s">
        <v>287</v>
      </c>
      <c r="I7" s="124" t="s">
        <v>371</v>
      </c>
    </row>
    <row r="8" spans="1:9" ht="30" x14ac:dyDescent="0.25">
      <c r="A8" s="127"/>
      <c r="B8" s="116" t="s">
        <v>372</v>
      </c>
      <c r="C8" s="122" t="s">
        <v>373</v>
      </c>
      <c r="D8" s="126" t="s">
        <v>374</v>
      </c>
      <c r="E8" s="124" t="s">
        <v>375</v>
      </c>
      <c r="I8" s="124" t="s">
        <v>376</v>
      </c>
    </row>
    <row r="9" spans="1:9" ht="32.1" customHeight="1" x14ac:dyDescent="0.25">
      <c r="A9" s="127"/>
      <c r="B9" s="116" t="s">
        <v>377</v>
      </c>
      <c r="C9" s="122" t="s">
        <v>378</v>
      </c>
      <c r="D9" s="126" t="s">
        <v>379</v>
      </c>
      <c r="E9" s="124" t="s">
        <v>380</v>
      </c>
      <c r="I9" s="124" t="s">
        <v>381</v>
      </c>
    </row>
    <row r="10" spans="1:9" x14ac:dyDescent="0.25">
      <c r="A10" s="127"/>
      <c r="B10" s="116" t="s">
        <v>382</v>
      </c>
      <c r="C10" s="122" t="s">
        <v>383</v>
      </c>
      <c r="D10" s="126" t="s">
        <v>384</v>
      </c>
      <c r="E10" s="124" t="s">
        <v>385</v>
      </c>
      <c r="I10" s="124" t="s">
        <v>386</v>
      </c>
    </row>
    <row r="11" spans="1:9" x14ac:dyDescent="0.25">
      <c r="A11" s="127"/>
      <c r="B11" s="116" t="s">
        <v>387</v>
      </c>
      <c r="C11" s="122" t="s">
        <v>388</v>
      </c>
      <c r="D11" s="126" t="s">
        <v>389</v>
      </c>
      <c r="E11" s="124" t="s">
        <v>390</v>
      </c>
      <c r="I11" s="124" t="s">
        <v>391</v>
      </c>
    </row>
    <row r="12" spans="1:9" ht="30" x14ac:dyDescent="0.25">
      <c r="A12" s="127"/>
      <c r="B12" s="116" t="s">
        <v>392</v>
      </c>
      <c r="C12" s="122" t="s">
        <v>393</v>
      </c>
      <c r="D12" s="126" t="s">
        <v>394</v>
      </c>
      <c r="E12" s="124" t="s">
        <v>395</v>
      </c>
      <c r="I12" s="124" t="s">
        <v>396</v>
      </c>
    </row>
    <row r="13" spans="1:9" x14ac:dyDescent="0.25">
      <c r="A13" s="127"/>
      <c r="B13" s="292" t="s">
        <v>397</v>
      </c>
      <c r="D13" s="126" t="s">
        <v>398</v>
      </c>
      <c r="E13" s="124" t="s">
        <v>399</v>
      </c>
      <c r="I13" s="124" t="s">
        <v>400</v>
      </c>
    </row>
    <row r="14" spans="1:9" x14ac:dyDescent="0.25">
      <c r="A14" s="127"/>
      <c r="B14" s="116" t="s">
        <v>401</v>
      </c>
      <c r="C14" s="127"/>
      <c r="D14" s="126" t="s">
        <v>402</v>
      </c>
      <c r="E14" s="124" t="s">
        <v>403</v>
      </c>
    </row>
    <row r="15" spans="1:9" x14ac:dyDescent="0.25">
      <c r="A15" s="127"/>
      <c r="B15" s="116" t="s">
        <v>404</v>
      </c>
      <c r="C15" s="127"/>
      <c r="D15" s="126" t="s">
        <v>405</v>
      </c>
      <c r="E15" s="124" t="s">
        <v>406</v>
      </c>
    </row>
    <row r="16" spans="1:9" x14ac:dyDescent="0.25">
      <c r="A16" s="127"/>
      <c r="B16" s="116" t="s">
        <v>407</v>
      </c>
      <c r="C16" s="127"/>
      <c r="D16" s="126" t="s">
        <v>408</v>
      </c>
      <c r="E16" s="128"/>
    </row>
    <row r="17" spans="1:5" x14ac:dyDescent="0.25">
      <c r="A17" s="127"/>
      <c r="B17" s="116" t="s">
        <v>409</v>
      </c>
      <c r="C17" s="127"/>
      <c r="D17" s="126" t="s">
        <v>410</v>
      </c>
      <c r="E17" s="128"/>
    </row>
    <row r="18" spans="1:5" x14ac:dyDescent="0.25">
      <c r="A18" s="127"/>
      <c r="B18" s="116" t="s">
        <v>411</v>
      </c>
      <c r="C18" s="127"/>
      <c r="D18" s="126" t="s">
        <v>412</v>
      </c>
      <c r="E18" s="128"/>
    </row>
    <row r="19" spans="1:5" x14ac:dyDescent="0.25">
      <c r="A19" s="127"/>
      <c r="B19" s="116" t="s">
        <v>413</v>
      </c>
      <c r="C19" s="127"/>
      <c r="D19" s="126" t="s">
        <v>414</v>
      </c>
      <c r="E19" s="128"/>
    </row>
    <row r="20" spans="1:5" x14ac:dyDescent="0.25">
      <c r="A20" s="127"/>
      <c r="B20" s="116" t="s">
        <v>415</v>
      </c>
      <c r="C20" s="127"/>
      <c r="D20" s="126" t="s">
        <v>416</v>
      </c>
      <c r="E20" s="128"/>
    </row>
    <row r="21" spans="1:5" x14ac:dyDescent="0.25">
      <c r="B21" s="116" t="s">
        <v>417</v>
      </c>
      <c r="D21" s="126" t="s">
        <v>418</v>
      </c>
      <c r="E21" s="128"/>
    </row>
    <row r="22" spans="1:5" x14ac:dyDescent="0.25">
      <c r="B22" s="116" t="s">
        <v>419</v>
      </c>
      <c r="D22" s="126" t="s">
        <v>420</v>
      </c>
      <c r="E22" s="128"/>
    </row>
    <row r="23" spans="1:5" x14ac:dyDescent="0.25">
      <c r="B23" s="116" t="s">
        <v>421</v>
      </c>
      <c r="D23" s="126" t="s">
        <v>422</v>
      </c>
      <c r="E23" s="128"/>
    </row>
    <row r="24" spans="1:5" x14ac:dyDescent="0.25">
      <c r="D24" s="129" t="s">
        <v>423</v>
      </c>
      <c r="E24" s="129" t="s">
        <v>424</v>
      </c>
    </row>
    <row r="25" spans="1:5" x14ac:dyDescent="0.25">
      <c r="D25" s="130" t="s">
        <v>425</v>
      </c>
      <c r="E25" s="124" t="s">
        <v>426</v>
      </c>
    </row>
    <row r="26" spans="1:5" x14ac:dyDescent="0.25">
      <c r="D26" s="130" t="s">
        <v>427</v>
      </c>
      <c r="E26" s="124" t="s">
        <v>428</v>
      </c>
    </row>
    <row r="27" spans="1:5" x14ac:dyDescent="0.25">
      <c r="D27" s="993" t="s">
        <v>429</v>
      </c>
      <c r="E27" s="124" t="s">
        <v>430</v>
      </c>
    </row>
    <row r="28" spans="1:5" x14ac:dyDescent="0.25">
      <c r="D28" s="994"/>
      <c r="E28" s="124" t="s">
        <v>431</v>
      </c>
    </row>
    <row r="29" spans="1:5" x14ac:dyDescent="0.25">
      <c r="D29" s="994"/>
      <c r="E29" s="124" t="s">
        <v>432</v>
      </c>
    </row>
    <row r="30" spans="1:5" x14ac:dyDescent="0.25">
      <c r="D30" s="995"/>
      <c r="E30" s="124" t="s">
        <v>433</v>
      </c>
    </row>
    <row r="31" spans="1:5" x14ac:dyDescent="0.25">
      <c r="D31" s="130" t="s">
        <v>434</v>
      </c>
      <c r="E31" s="124" t="s">
        <v>435</v>
      </c>
    </row>
    <row r="32" spans="1:5" x14ac:dyDescent="0.25">
      <c r="D32" s="130" t="s">
        <v>436</v>
      </c>
      <c r="E32" s="124" t="s">
        <v>437</v>
      </c>
    </row>
    <row r="33" spans="4:5" x14ac:dyDescent="0.25">
      <c r="D33" s="130" t="s">
        <v>438</v>
      </c>
      <c r="E33" s="124" t="s">
        <v>439</v>
      </c>
    </row>
    <row r="34" spans="4:5" x14ac:dyDescent="0.25">
      <c r="D34" s="130" t="s">
        <v>440</v>
      </c>
      <c r="E34" s="124" t="s">
        <v>441</v>
      </c>
    </row>
    <row r="35" spans="4:5" x14ac:dyDescent="0.25">
      <c r="D35" s="130" t="s">
        <v>442</v>
      </c>
      <c r="E35" s="124" t="s">
        <v>443</v>
      </c>
    </row>
    <row r="36" spans="4:5" x14ac:dyDescent="0.25">
      <c r="D36" s="130" t="s">
        <v>444</v>
      </c>
      <c r="E36" s="124" t="s">
        <v>445</v>
      </c>
    </row>
    <row r="37" spans="4:5" x14ac:dyDescent="0.25">
      <c r="D37" s="130" t="s">
        <v>446</v>
      </c>
      <c r="E37" s="124" t="s">
        <v>447</v>
      </c>
    </row>
    <row r="38" spans="4:5" x14ac:dyDescent="0.25">
      <c r="D38" s="130" t="s">
        <v>448</v>
      </c>
      <c r="E38" s="124" t="s">
        <v>449</v>
      </c>
    </row>
    <row r="39" spans="4:5" x14ac:dyDescent="0.25">
      <c r="D39" s="131" t="s">
        <v>450</v>
      </c>
      <c r="E39" s="124" t="s">
        <v>451</v>
      </c>
    </row>
    <row r="40" spans="4:5" x14ac:dyDescent="0.25">
      <c r="D40" s="131" t="s">
        <v>452</v>
      </c>
      <c r="E40" s="124" t="s">
        <v>453</v>
      </c>
    </row>
    <row r="41" spans="4:5" x14ac:dyDescent="0.25">
      <c r="D41" s="130" t="s">
        <v>454</v>
      </c>
      <c r="E41" s="124" t="s">
        <v>455</v>
      </c>
    </row>
    <row r="42" spans="4:5" x14ac:dyDescent="0.25">
      <c r="D42" s="130" t="s">
        <v>456</v>
      </c>
      <c r="E42" s="124" t="s">
        <v>457</v>
      </c>
    </row>
    <row r="43" spans="4:5" x14ac:dyDescent="0.25">
      <c r="D43" s="131" t="s">
        <v>458</v>
      </c>
      <c r="E43" s="124" t="s">
        <v>459</v>
      </c>
    </row>
    <row r="44" spans="4:5" x14ac:dyDescent="0.25">
      <c r="D44" s="132" t="s">
        <v>460</v>
      </c>
      <c r="E44" s="124" t="s">
        <v>461</v>
      </c>
    </row>
    <row r="45" spans="4:5" x14ac:dyDescent="0.25">
      <c r="D45" s="126" t="s">
        <v>462</v>
      </c>
      <c r="E45" s="124" t="s">
        <v>463</v>
      </c>
    </row>
    <row r="46" spans="4:5" x14ac:dyDescent="0.25">
      <c r="D46" s="126" t="s">
        <v>464</v>
      </c>
      <c r="E46" s="124" t="s">
        <v>465</v>
      </c>
    </row>
    <row r="47" spans="4:5" x14ac:dyDescent="0.25">
      <c r="D47" s="126" t="s">
        <v>466</v>
      </c>
      <c r="E47" s="124" t="s">
        <v>467</v>
      </c>
    </row>
    <row r="48" spans="4:5" x14ac:dyDescent="0.25">
      <c r="D48" s="126" t="s">
        <v>468</v>
      </c>
      <c r="E48" s="124" t="s">
        <v>469</v>
      </c>
    </row>
    <row r="49" spans="4:4" x14ac:dyDescent="0.25">
      <c r="D49" s="129" t="s">
        <v>470</v>
      </c>
    </row>
    <row r="50" spans="4:4" x14ac:dyDescent="0.25">
      <c r="D50" s="126" t="s">
        <v>471</v>
      </c>
    </row>
    <row r="51" spans="4:4" x14ac:dyDescent="0.25">
      <c r="D51" s="126" t="s">
        <v>472</v>
      </c>
    </row>
    <row r="52" spans="4:4" x14ac:dyDescent="0.25">
      <c r="D52" s="129" t="s">
        <v>473</v>
      </c>
    </row>
    <row r="53" spans="4:4" x14ac:dyDescent="0.25">
      <c r="D53" s="132" t="s">
        <v>474</v>
      </c>
    </row>
    <row r="54" spans="4:4" x14ac:dyDescent="0.25">
      <c r="D54" s="132" t="s">
        <v>475</v>
      </c>
    </row>
    <row r="55" spans="4:4" x14ac:dyDescent="0.25">
      <c r="D55" s="132" t="s">
        <v>476</v>
      </c>
    </row>
    <row r="56" spans="4:4" x14ac:dyDescent="0.25">
      <c r="D56" s="132" t="s">
        <v>477</v>
      </c>
    </row>
  </sheetData>
  <mergeCells count="1">
    <mergeCell ref="D27:D30"/>
  </mergeCells>
  <pageMargins left="0.7" right="0.7" top="0.75" bottom="0.75" header="0.3" footer="0.3"/>
  <pageSetup scale="27" orientation="landscape"/>
  <customProperties>
    <customPr name="_pios_id" r:id="rId1"/>
  </customPropertie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B45"/>
  <sheetViews>
    <sheetView topLeftCell="A32" zoomScale="90" zoomScaleNormal="90" workbookViewId="0">
      <selection activeCell="B35" sqref="B35"/>
    </sheetView>
  </sheetViews>
  <sheetFormatPr baseColWidth="10" defaultColWidth="10.85546875" defaultRowHeight="15" x14ac:dyDescent="0.25"/>
  <cols>
    <col min="1" max="1" width="72" style="133" bestFit="1" customWidth="1"/>
    <col min="2" max="2" width="73.42578125" style="133" customWidth="1"/>
    <col min="3" max="3" width="10.85546875" style="133"/>
    <col min="4" max="4" width="31.140625" style="133" customWidth="1"/>
    <col min="5" max="5" width="70.140625" style="133" customWidth="1"/>
    <col min="6" max="6" width="17.28515625" style="133" customWidth="1"/>
    <col min="7" max="8" width="21.85546875" style="133" customWidth="1"/>
    <col min="9" max="9" width="19.28515625" style="133" customWidth="1"/>
    <col min="10" max="10" width="42" style="133" customWidth="1"/>
    <col min="11" max="16384" width="10.85546875" style="133"/>
  </cols>
  <sheetData>
    <row r="1" spans="1:2" ht="25.5" customHeight="1" x14ac:dyDescent="0.25">
      <c r="A1" s="998" t="s">
        <v>180</v>
      </c>
      <c r="B1" s="999"/>
    </row>
    <row r="2" spans="1:2" ht="25.5" customHeight="1" x14ac:dyDescent="0.25">
      <c r="A2" s="1000" t="s">
        <v>478</v>
      </c>
      <c r="B2" s="1001"/>
    </row>
    <row r="3" spans="1:2" x14ac:dyDescent="0.25">
      <c r="A3" s="196" t="s">
        <v>479</v>
      </c>
      <c r="B3" s="134" t="s">
        <v>480</v>
      </c>
    </row>
    <row r="4" spans="1:2" x14ac:dyDescent="0.25">
      <c r="A4" s="197" t="s">
        <v>9</v>
      </c>
      <c r="B4" s="141" t="s">
        <v>481</v>
      </c>
    </row>
    <row r="5" spans="1:2" ht="105" x14ac:dyDescent="0.25">
      <c r="A5" s="197" t="s">
        <v>10</v>
      </c>
      <c r="B5" s="201" t="s">
        <v>482</v>
      </c>
    </row>
    <row r="6" spans="1:2" x14ac:dyDescent="0.25">
      <c r="A6" s="197" t="s">
        <v>15</v>
      </c>
      <c r="B6" s="1002" t="s">
        <v>483</v>
      </c>
    </row>
    <row r="7" spans="1:2" x14ac:dyDescent="0.25">
      <c r="A7" s="197" t="s">
        <v>17</v>
      </c>
      <c r="B7" s="1003"/>
    </row>
    <row r="8" spans="1:2" x14ac:dyDescent="0.25">
      <c r="A8" s="197" t="s">
        <v>19</v>
      </c>
      <c r="B8" s="1003"/>
    </row>
    <row r="9" spans="1:2" x14ac:dyDescent="0.25">
      <c r="A9" s="197" t="s">
        <v>484</v>
      </c>
      <c r="B9" s="1004"/>
    </row>
    <row r="10" spans="1:2" ht="30" x14ac:dyDescent="0.25">
      <c r="A10" s="197" t="s">
        <v>7</v>
      </c>
      <c r="B10" s="135" t="s">
        <v>485</v>
      </c>
    </row>
    <row r="11" spans="1:2" ht="45" x14ac:dyDescent="0.25">
      <c r="A11" s="197" t="s">
        <v>28</v>
      </c>
      <c r="B11" s="135" t="s">
        <v>486</v>
      </c>
    </row>
    <row r="12" spans="1:2" ht="60" x14ac:dyDescent="0.25">
      <c r="A12" s="197" t="s">
        <v>27</v>
      </c>
      <c r="B12" s="136" t="s">
        <v>487</v>
      </c>
    </row>
    <row r="13" spans="1:2" ht="30" x14ac:dyDescent="0.25">
      <c r="A13" s="197" t="s">
        <v>488</v>
      </c>
      <c r="B13" s="136" t="s">
        <v>489</v>
      </c>
    </row>
    <row r="14" spans="1:2" ht="45" x14ac:dyDescent="0.25">
      <c r="A14" s="197" t="s">
        <v>490</v>
      </c>
      <c r="B14" s="136" t="s">
        <v>491</v>
      </c>
    </row>
    <row r="15" spans="1:2" ht="72" customHeight="1" x14ac:dyDescent="0.25">
      <c r="A15" s="198" t="s">
        <v>492</v>
      </c>
      <c r="B15" s="137" t="s">
        <v>493</v>
      </c>
    </row>
    <row r="16" spans="1:2" ht="194.25" x14ac:dyDescent="0.25">
      <c r="A16" s="198" t="s">
        <v>494</v>
      </c>
      <c r="B16" s="138" t="s">
        <v>495</v>
      </c>
    </row>
    <row r="17" spans="1:2" ht="25.5" customHeight="1" x14ac:dyDescent="0.25">
      <c r="A17" s="1000" t="s">
        <v>496</v>
      </c>
      <c r="B17" s="1001"/>
    </row>
    <row r="18" spans="1:2" x14ac:dyDescent="0.25">
      <c r="A18" s="196" t="s">
        <v>479</v>
      </c>
      <c r="B18" s="134" t="s">
        <v>480</v>
      </c>
    </row>
    <row r="19" spans="1:2" x14ac:dyDescent="0.25">
      <c r="A19" s="197" t="s">
        <v>9</v>
      </c>
      <c r="B19" s="141" t="s">
        <v>481</v>
      </c>
    </row>
    <row r="20" spans="1:2" ht="105" x14ac:dyDescent="0.25">
      <c r="A20" s="197" t="s">
        <v>10</v>
      </c>
      <c r="B20" s="140" t="s">
        <v>497</v>
      </c>
    </row>
    <row r="21" spans="1:2" ht="30" x14ac:dyDescent="0.25">
      <c r="A21" s="197" t="s">
        <v>498</v>
      </c>
      <c r="B21" s="136" t="s">
        <v>499</v>
      </c>
    </row>
    <row r="22" spans="1:2" ht="45" x14ac:dyDescent="0.25">
      <c r="A22" s="197" t="s">
        <v>500</v>
      </c>
      <c r="B22" s="136" t="s">
        <v>501</v>
      </c>
    </row>
    <row r="23" spans="1:2" ht="75" x14ac:dyDescent="0.25">
      <c r="A23" s="197" t="s">
        <v>502</v>
      </c>
      <c r="B23" s="136" t="s">
        <v>503</v>
      </c>
    </row>
    <row r="24" spans="1:2" ht="30" x14ac:dyDescent="0.25">
      <c r="A24" s="197" t="s">
        <v>504</v>
      </c>
      <c r="B24" s="136" t="s">
        <v>505</v>
      </c>
    </row>
    <row r="25" spans="1:2" x14ac:dyDescent="0.25">
      <c r="A25" s="197" t="s">
        <v>326</v>
      </c>
      <c r="B25" s="136" t="s">
        <v>506</v>
      </c>
    </row>
    <row r="26" spans="1:2" ht="45.95" customHeight="1" x14ac:dyDescent="0.25">
      <c r="A26" s="197" t="s">
        <v>507</v>
      </c>
      <c r="B26" s="139" t="s">
        <v>508</v>
      </c>
    </row>
    <row r="27" spans="1:2" ht="75" x14ac:dyDescent="0.25">
      <c r="A27" s="197" t="s">
        <v>193</v>
      </c>
      <c r="B27" s="139" t="s">
        <v>509</v>
      </c>
    </row>
    <row r="28" spans="1:2" ht="45" x14ac:dyDescent="0.25">
      <c r="A28" s="197" t="s">
        <v>510</v>
      </c>
      <c r="B28" s="139" t="s">
        <v>511</v>
      </c>
    </row>
    <row r="29" spans="1:2" ht="45" x14ac:dyDescent="0.25">
      <c r="A29" s="197" t="s">
        <v>512</v>
      </c>
      <c r="B29" s="139" t="s">
        <v>513</v>
      </c>
    </row>
    <row r="30" spans="1:2" ht="45" x14ac:dyDescent="0.25">
      <c r="A30" s="197" t="s">
        <v>323</v>
      </c>
      <c r="B30" s="139" t="s">
        <v>514</v>
      </c>
    </row>
    <row r="31" spans="1:2" ht="159" customHeight="1" x14ac:dyDescent="0.25">
      <c r="A31" s="197" t="s">
        <v>515</v>
      </c>
      <c r="B31" s="329" t="s">
        <v>516</v>
      </c>
    </row>
    <row r="32" spans="1:2" ht="30" x14ac:dyDescent="0.25">
      <c r="A32" s="197" t="s">
        <v>517</v>
      </c>
      <c r="B32" s="139" t="s">
        <v>518</v>
      </c>
    </row>
    <row r="33" spans="1:2" ht="30" x14ac:dyDescent="0.25">
      <c r="A33" s="197" t="s">
        <v>519</v>
      </c>
      <c r="B33" s="139" t="s">
        <v>520</v>
      </c>
    </row>
    <row r="34" spans="1:2" ht="30" x14ac:dyDescent="0.25">
      <c r="A34" s="197" t="s">
        <v>521</v>
      </c>
      <c r="B34" s="139" t="s">
        <v>522</v>
      </c>
    </row>
    <row r="35" spans="1:2" ht="30" x14ac:dyDescent="0.25">
      <c r="A35" s="197" t="s">
        <v>523</v>
      </c>
      <c r="B35" s="139" t="s">
        <v>524</v>
      </c>
    </row>
    <row r="36" spans="1:2" ht="75" x14ac:dyDescent="0.25">
      <c r="A36" s="197" t="s">
        <v>525</v>
      </c>
      <c r="B36" s="139" t="s">
        <v>526</v>
      </c>
    </row>
    <row r="37" spans="1:2" x14ac:dyDescent="0.25">
      <c r="A37" s="197" t="s">
        <v>183</v>
      </c>
      <c r="B37" s="139" t="s">
        <v>527</v>
      </c>
    </row>
    <row r="38" spans="1:2" ht="30" x14ac:dyDescent="0.25">
      <c r="A38" s="197" t="s">
        <v>528</v>
      </c>
      <c r="B38" s="139" t="s">
        <v>529</v>
      </c>
    </row>
    <row r="39" spans="1:2" ht="45" x14ac:dyDescent="0.25">
      <c r="A39" s="197" t="s">
        <v>530</v>
      </c>
      <c r="B39" s="139" t="s">
        <v>531</v>
      </c>
    </row>
    <row r="40" spans="1:2" ht="28.5" x14ac:dyDescent="0.25">
      <c r="A40" s="198" t="s">
        <v>186</v>
      </c>
      <c r="B40" s="139" t="s">
        <v>532</v>
      </c>
    </row>
    <row r="41" spans="1:2" ht="25.5" customHeight="1" x14ac:dyDescent="0.25">
      <c r="A41" s="1000" t="s">
        <v>533</v>
      </c>
      <c r="B41" s="1001"/>
    </row>
    <row r="42" spans="1:2" x14ac:dyDescent="0.25">
      <c r="A42" s="998" t="s">
        <v>534</v>
      </c>
      <c r="B42" s="999"/>
    </row>
    <row r="43" spans="1:2" ht="72" customHeight="1" x14ac:dyDescent="0.25">
      <c r="A43" s="996" t="s">
        <v>535</v>
      </c>
      <c r="B43" s="997"/>
    </row>
    <row r="44" spans="1:2" ht="30" x14ac:dyDescent="0.25">
      <c r="A44" s="197" t="s">
        <v>512</v>
      </c>
      <c r="B44" s="139" t="s">
        <v>536</v>
      </c>
    </row>
    <row r="45" spans="1:2" ht="45" x14ac:dyDescent="0.25">
      <c r="A45" s="198" t="s">
        <v>537</v>
      </c>
      <c r="B45" s="139" t="s">
        <v>538</v>
      </c>
    </row>
  </sheetData>
  <mergeCells count="7">
    <mergeCell ref="A43:B43"/>
    <mergeCell ref="A1:B1"/>
    <mergeCell ref="A2:B2"/>
    <mergeCell ref="B6:B9"/>
    <mergeCell ref="A17:B17"/>
    <mergeCell ref="A41:B41"/>
    <mergeCell ref="A42:B42"/>
  </mergeCells>
  <pageMargins left="0.25" right="0.25" top="0.75" bottom="0.75" header="0.3" footer="0.3"/>
  <pageSetup scale="35" orientation="portrait"/>
  <customProperties>
    <customPr name="_pios_id" r:id="rId1"/>
  </customPropertie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
  <sheetViews>
    <sheetView workbookViewId="0"/>
  </sheetViews>
  <sheetFormatPr baseColWidth="10" defaultColWidth="11.42578125" defaultRowHeight="15" x14ac:dyDescent="0.25"/>
  <sheetData/>
  <pageMargins left="0.7" right="0.7" top="0.75" bottom="0.75" header="0.3" footer="0.3"/>
  <customProperties>
    <customPr name="_pios_id" r:id="rId1"/>
  </customPropertie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N46"/>
  <sheetViews>
    <sheetView zoomScale="90" zoomScaleNormal="90" workbookViewId="0">
      <selection activeCell="P9" sqref="P9"/>
    </sheetView>
  </sheetViews>
  <sheetFormatPr baseColWidth="10" defaultColWidth="11.42578125" defaultRowHeight="15" x14ac:dyDescent="0.25"/>
  <cols>
    <col min="3" max="3" width="6.85546875" customWidth="1"/>
    <col min="4" max="4" width="8.85546875" customWidth="1"/>
    <col min="5" max="5" width="10.85546875" customWidth="1"/>
  </cols>
  <sheetData>
    <row r="1" spans="1:14" x14ac:dyDescent="0.25">
      <c r="B1" t="s">
        <v>539</v>
      </c>
      <c r="C1" s="1009" t="s">
        <v>540</v>
      </c>
      <c r="D1" s="1009"/>
      <c r="E1" s="1009"/>
      <c r="F1" s="1009"/>
      <c r="G1" s="1010" t="s">
        <v>541</v>
      </c>
      <c r="H1" s="1011"/>
      <c r="I1" s="1011"/>
      <c r="J1" s="1012"/>
      <c r="K1" s="1008" t="s">
        <v>542</v>
      </c>
      <c r="L1" s="1008"/>
      <c r="M1" s="1008"/>
      <c r="N1" s="1008"/>
    </row>
    <row r="2" spans="1:14" x14ac:dyDescent="0.25">
      <c r="C2" s="4"/>
      <c r="D2" s="4"/>
      <c r="E2" s="4"/>
      <c r="F2" s="4" t="s">
        <v>543</v>
      </c>
      <c r="G2" s="30"/>
      <c r="H2" s="4"/>
      <c r="I2" s="4"/>
      <c r="J2" s="31" t="s">
        <v>543</v>
      </c>
      <c r="K2" s="4"/>
      <c r="L2" s="4"/>
      <c r="M2" s="4"/>
      <c r="N2" s="4" t="s">
        <v>543</v>
      </c>
    </row>
    <row r="3" spans="1:14" x14ac:dyDescent="0.25">
      <c r="A3" s="1006" t="s">
        <v>544</v>
      </c>
      <c r="B3" s="5">
        <v>1</v>
      </c>
      <c r="C3" s="6">
        <v>0.05</v>
      </c>
      <c r="D3" s="6">
        <v>0.05</v>
      </c>
      <c r="E3" s="6">
        <v>0.1</v>
      </c>
      <c r="F3" s="7">
        <f>(C3+D3+E3)</f>
        <v>0.2</v>
      </c>
      <c r="G3" s="32">
        <v>0.1</v>
      </c>
      <c r="H3" s="6">
        <v>0.1</v>
      </c>
      <c r="I3" s="6">
        <v>0.1</v>
      </c>
      <c r="J3" s="33">
        <f>(G3+H3+I3)</f>
        <v>0.30000000000000004</v>
      </c>
      <c r="K3" s="1">
        <v>0.1</v>
      </c>
      <c r="L3" s="1">
        <v>0.1</v>
      </c>
      <c r="M3" s="1">
        <v>0.1</v>
      </c>
      <c r="N3" s="2">
        <f>K3+L3+M3</f>
        <v>0.30000000000000004</v>
      </c>
    </row>
    <row r="4" spans="1:14" x14ac:dyDescent="0.25">
      <c r="A4" s="1006"/>
      <c r="B4" s="5">
        <v>2</v>
      </c>
      <c r="C4" s="6">
        <v>0.05</v>
      </c>
      <c r="D4" s="6">
        <v>0.05</v>
      </c>
      <c r="E4" s="6">
        <v>0.1</v>
      </c>
      <c r="F4" s="7">
        <f>(C4+D4+E4)</f>
        <v>0.2</v>
      </c>
      <c r="G4" s="32">
        <v>0.1</v>
      </c>
      <c r="H4" s="6">
        <v>0.1</v>
      </c>
      <c r="I4" s="6">
        <v>0.1</v>
      </c>
      <c r="J4" s="33">
        <f>(G4+H4+I4)</f>
        <v>0.30000000000000004</v>
      </c>
      <c r="K4" s="1">
        <v>0.1</v>
      </c>
      <c r="L4" s="1">
        <v>0.1</v>
      </c>
      <c r="M4" s="1">
        <v>0.1</v>
      </c>
      <c r="N4" s="2">
        <f>K4+L4+M4</f>
        <v>0.30000000000000004</v>
      </c>
    </row>
    <row r="5" spans="1:14" x14ac:dyDescent="0.25">
      <c r="A5" s="1006"/>
      <c r="B5" s="5">
        <v>3</v>
      </c>
      <c r="C5" s="6">
        <v>0.05</v>
      </c>
      <c r="D5" s="6">
        <v>0.05</v>
      </c>
      <c r="E5" s="6">
        <v>0.1</v>
      </c>
      <c r="F5" s="7">
        <f>(C5+D5+E5)</f>
        <v>0.2</v>
      </c>
      <c r="G5" s="32">
        <v>0.1</v>
      </c>
      <c r="H5" s="6">
        <v>0.1</v>
      </c>
      <c r="I5" s="6">
        <v>0.1</v>
      </c>
      <c r="J5" s="33">
        <f>(G5+H5+I5)</f>
        <v>0.30000000000000004</v>
      </c>
      <c r="K5" s="24"/>
      <c r="L5" s="5"/>
      <c r="M5" s="5"/>
      <c r="N5" s="5"/>
    </row>
    <row r="6" spans="1:14" x14ac:dyDescent="0.25">
      <c r="A6" s="1006"/>
      <c r="B6" s="5">
        <v>4</v>
      </c>
      <c r="C6" s="6">
        <v>0.1</v>
      </c>
      <c r="D6" s="6">
        <v>0.1</v>
      </c>
      <c r="E6" s="6">
        <v>0.2</v>
      </c>
      <c r="F6" s="7">
        <f>(C6+D6+E6)</f>
        <v>0.4</v>
      </c>
      <c r="G6" s="32">
        <v>0</v>
      </c>
      <c r="H6" s="6">
        <v>0</v>
      </c>
      <c r="I6" s="6">
        <v>0.1</v>
      </c>
      <c r="J6" s="33">
        <f>(G6+H6+I6)</f>
        <v>0.1</v>
      </c>
      <c r="K6" s="24"/>
      <c r="L6" s="5"/>
      <c r="M6" s="5"/>
      <c r="N6" s="5"/>
    </row>
    <row r="7" spans="1:14" x14ac:dyDescent="0.25">
      <c r="A7" s="1006"/>
      <c r="B7" s="5">
        <v>5</v>
      </c>
      <c r="C7" s="6">
        <v>0</v>
      </c>
      <c r="D7" s="6">
        <v>0</v>
      </c>
      <c r="E7" s="6">
        <v>0</v>
      </c>
      <c r="F7" s="7">
        <f>(C7+D7+E7)</f>
        <v>0</v>
      </c>
      <c r="G7" s="32">
        <v>0</v>
      </c>
      <c r="H7" s="6">
        <v>0</v>
      </c>
      <c r="I7" s="6">
        <v>0</v>
      </c>
      <c r="J7" s="33">
        <f>(G7+H7+I7)</f>
        <v>0</v>
      </c>
      <c r="K7" s="24"/>
      <c r="L7" s="5"/>
      <c r="M7" s="5"/>
      <c r="N7" s="5"/>
    </row>
    <row r="8" spans="1:14" x14ac:dyDescent="0.25">
      <c r="A8" s="1006" t="s">
        <v>545</v>
      </c>
      <c r="B8" s="9">
        <v>6</v>
      </c>
      <c r="C8" s="10">
        <v>0.1</v>
      </c>
      <c r="D8" s="10">
        <v>0.1</v>
      </c>
      <c r="E8" s="10">
        <v>0.1</v>
      </c>
      <c r="F8" s="11">
        <f>C8+D8+E8</f>
        <v>0.30000000000000004</v>
      </c>
      <c r="G8" s="34"/>
      <c r="H8" s="9"/>
      <c r="I8" s="9"/>
      <c r="J8" s="35"/>
      <c r="K8" s="25"/>
      <c r="L8" s="9"/>
      <c r="M8" s="9"/>
      <c r="N8" s="9"/>
    </row>
    <row r="9" spans="1:14" x14ac:dyDescent="0.25">
      <c r="A9" s="1006"/>
      <c r="B9" s="9">
        <v>7</v>
      </c>
      <c r="C9" s="9"/>
      <c r="D9" s="9"/>
      <c r="E9" s="9"/>
      <c r="F9" s="19"/>
      <c r="G9" s="36"/>
      <c r="H9" s="9"/>
      <c r="I9" s="9"/>
      <c r="J9" s="35"/>
      <c r="K9" s="25"/>
      <c r="L9" s="9"/>
      <c r="M9" s="9"/>
      <c r="N9" s="9"/>
    </row>
    <row r="10" spans="1:14" x14ac:dyDescent="0.25">
      <c r="A10" s="1006"/>
      <c r="B10" s="9">
        <v>8</v>
      </c>
      <c r="C10" s="9"/>
      <c r="D10" s="9"/>
      <c r="E10" s="9"/>
      <c r="F10" s="19"/>
      <c r="G10" s="36"/>
      <c r="H10" s="9"/>
      <c r="I10" s="9"/>
      <c r="J10" s="35"/>
      <c r="K10" s="25"/>
      <c r="L10" s="9"/>
      <c r="M10" s="9"/>
      <c r="N10" s="9"/>
    </row>
    <row r="11" spans="1:14" x14ac:dyDescent="0.25">
      <c r="A11" s="1006"/>
      <c r="B11" s="9">
        <v>9</v>
      </c>
      <c r="C11" s="9"/>
      <c r="D11" s="9"/>
      <c r="E11" s="9"/>
      <c r="F11" s="19"/>
      <c r="G11" s="36"/>
      <c r="H11" s="9"/>
      <c r="I11" s="9"/>
      <c r="J11" s="35"/>
      <c r="K11" s="25"/>
      <c r="L11" s="9"/>
      <c r="M11" s="9"/>
      <c r="N11" s="9"/>
    </row>
    <row r="12" spans="1:14" x14ac:dyDescent="0.25">
      <c r="A12" s="1006" t="s">
        <v>546</v>
      </c>
      <c r="B12" s="14">
        <v>10</v>
      </c>
      <c r="C12" s="14"/>
      <c r="D12" s="14"/>
      <c r="E12" s="14"/>
      <c r="F12" s="20"/>
      <c r="G12" s="37"/>
      <c r="H12" s="14"/>
      <c r="I12" s="14"/>
      <c r="J12" s="38"/>
      <c r="K12" s="26"/>
      <c r="L12" s="14"/>
      <c r="M12" s="14"/>
      <c r="N12" s="14"/>
    </row>
    <row r="13" spans="1:14" x14ac:dyDescent="0.25">
      <c r="A13" s="1006"/>
      <c r="B13" s="14">
        <v>11</v>
      </c>
      <c r="C13" s="14"/>
      <c r="D13" s="14"/>
      <c r="E13" s="14"/>
      <c r="F13" s="20"/>
      <c r="G13" s="37"/>
      <c r="H13" s="14"/>
      <c r="I13" s="14"/>
      <c r="J13" s="38"/>
      <c r="K13" s="26"/>
      <c r="L13" s="14"/>
      <c r="M13" s="14"/>
      <c r="N13" s="14"/>
    </row>
    <row r="14" spans="1:14" x14ac:dyDescent="0.25">
      <c r="A14" s="1006"/>
      <c r="B14" s="14">
        <v>12</v>
      </c>
      <c r="C14" s="14"/>
      <c r="D14" s="14"/>
      <c r="E14" s="14"/>
      <c r="F14" s="20"/>
      <c r="G14" s="37"/>
      <c r="H14" s="14"/>
      <c r="I14" s="14"/>
      <c r="J14" s="38"/>
      <c r="K14" s="26"/>
      <c r="L14" s="14"/>
      <c r="M14" s="14"/>
      <c r="N14" s="14"/>
    </row>
    <row r="15" spans="1:14" x14ac:dyDescent="0.25">
      <c r="A15" s="1006"/>
      <c r="B15" s="14">
        <v>13</v>
      </c>
      <c r="C15" s="14"/>
      <c r="D15" s="14"/>
      <c r="E15" s="14"/>
      <c r="F15" s="20"/>
      <c r="G15" s="37"/>
      <c r="H15" s="14"/>
      <c r="I15" s="14"/>
      <c r="J15" s="38"/>
      <c r="K15" s="26"/>
      <c r="L15" s="14"/>
      <c r="M15" s="14"/>
      <c r="N15" s="14"/>
    </row>
    <row r="16" spans="1:14" x14ac:dyDescent="0.25">
      <c r="A16" s="1006" t="s">
        <v>547</v>
      </c>
      <c r="B16" s="15">
        <v>14</v>
      </c>
      <c r="C16" s="15"/>
      <c r="D16" s="15"/>
      <c r="E16" s="15"/>
      <c r="F16" s="21"/>
      <c r="G16" s="39"/>
      <c r="H16" s="15"/>
      <c r="I16" s="15"/>
      <c r="J16" s="40"/>
      <c r="K16" s="27"/>
      <c r="L16" s="15"/>
      <c r="M16" s="15"/>
      <c r="N16" s="15"/>
    </row>
    <row r="17" spans="1:14" x14ac:dyDescent="0.25">
      <c r="A17" s="1006"/>
      <c r="B17" s="15">
        <v>15</v>
      </c>
      <c r="C17" s="15"/>
      <c r="D17" s="15"/>
      <c r="E17" s="15"/>
      <c r="F17" s="21"/>
      <c r="G17" s="39"/>
      <c r="H17" s="15"/>
      <c r="I17" s="15"/>
      <c r="J17" s="40"/>
      <c r="K17" s="27"/>
      <c r="L17" s="15"/>
      <c r="M17" s="15"/>
      <c r="N17" s="15"/>
    </row>
    <row r="18" spans="1:14" x14ac:dyDescent="0.25">
      <c r="A18" s="1006"/>
      <c r="B18" s="15">
        <v>16</v>
      </c>
      <c r="C18" s="15"/>
      <c r="D18" s="15"/>
      <c r="E18" s="15"/>
      <c r="F18" s="21"/>
      <c r="G18" s="39"/>
      <c r="H18" s="15"/>
      <c r="I18" s="15"/>
      <c r="J18" s="40"/>
      <c r="K18" s="27"/>
      <c r="L18" s="15"/>
      <c r="M18" s="15"/>
      <c r="N18" s="15"/>
    </row>
    <row r="19" spans="1:14" x14ac:dyDescent="0.25">
      <c r="A19" s="1006" t="s">
        <v>548</v>
      </c>
      <c r="B19" s="18">
        <v>17</v>
      </c>
      <c r="C19" s="18"/>
      <c r="D19" s="18"/>
      <c r="E19" s="18"/>
      <c r="F19" s="22"/>
      <c r="G19" s="41"/>
      <c r="H19" s="18"/>
      <c r="I19" s="18"/>
      <c r="J19" s="42"/>
      <c r="K19" s="28"/>
      <c r="L19" s="18"/>
      <c r="M19" s="18"/>
      <c r="N19" s="18"/>
    </row>
    <row r="20" spans="1:14" x14ac:dyDescent="0.25">
      <c r="A20" s="1006"/>
      <c r="B20" s="18">
        <v>18</v>
      </c>
      <c r="C20" s="18"/>
      <c r="D20" s="18"/>
      <c r="E20" s="18"/>
      <c r="F20" s="22"/>
      <c r="G20" s="41"/>
      <c r="H20" s="18"/>
      <c r="I20" s="18"/>
      <c r="J20" s="42"/>
      <c r="K20" s="28"/>
      <c r="L20" s="18"/>
      <c r="M20" s="18"/>
      <c r="N20" s="18"/>
    </row>
    <row r="21" spans="1:14" x14ac:dyDescent="0.25">
      <c r="A21" s="1006"/>
      <c r="B21" s="18">
        <v>19</v>
      </c>
      <c r="C21" s="18"/>
      <c r="D21" s="18"/>
      <c r="E21" s="18"/>
      <c r="F21" s="22"/>
      <c r="G21" s="41"/>
      <c r="H21" s="18"/>
      <c r="I21" s="18"/>
      <c r="J21" s="42"/>
      <c r="K21" s="28"/>
      <c r="L21" s="18"/>
      <c r="M21" s="18"/>
      <c r="N21" s="18"/>
    </row>
    <row r="22" spans="1:14" x14ac:dyDescent="0.25">
      <c r="A22" s="1006"/>
      <c r="B22" s="18">
        <v>20</v>
      </c>
      <c r="C22" s="18"/>
      <c r="D22" s="18"/>
      <c r="E22" s="18"/>
      <c r="F22" s="22"/>
      <c r="G22" s="41"/>
      <c r="H22" s="18"/>
      <c r="I22" s="18"/>
      <c r="J22" s="42"/>
      <c r="K22" s="28"/>
      <c r="L22" s="18"/>
      <c r="M22" s="18"/>
      <c r="N22" s="18"/>
    </row>
    <row r="23" spans="1:14" x14ac:dyDescent="0.25">
      <c r="A23" s="1006" t="s">
        <v>549</v>
      </c>
      <c r="B23" s="13">
        <v>21</v>
      </c>
      <c r="C23" s="13"/>
      <c r="D23" s="13"/>
      <c r="E23" s="13"/>
      <c r="F23" s="23"/>
      <c r="G23" s="43"/>
      <c r="H23" s="13"/>
      <c r="I23" s="13"/>
      <c r="J23" s="44"/>
      <c r="K23" s="29"/>
      <c r="L23" s="13"/>
      <c r="M23" s="13"/>
      <c r="N23" s="13"/>
    </row>
    <row r="24" spans="1:14" x14ac:dyDescent="0.25">
      <c r="A24" s="1006"/>
      <c r="B24" s="13">
        <v>22</v>
      </c>
      <c r="C24" s="13"/>
      <c r="D24" s="13"/>
      <c r="E24" s="13"/>
      <c r="F24" s="23"/>
      <c r="G24" s="43"/>
      <c r="H24" s="13"/>
      <c r="I24" s="13"/>
      <c r="J24" s="44"/>
      <c r="K24" s="29"/>
      <c r="L24" s="13"/>
      <c r="M24" s="13"/>
      <c r="N24" s="13"/>
    </row>
    <row r="25" spans="1:14" x14ac:dyDescent="0.25">
      <c r="A25" s="1006"/>
      <c r="B25" s="13">
        <v>23</v>
      </c>
      <c r="C25" s="13"/>
      <c r="D25" s="13"/>
      <c r="E25" s="13"/>
      <c r="F25" s="23"/>
      <c r="G25" s="43"/>
      <c r="H25" s="13"/>
      <c r="I25" s="13"/>
      <c r="J25" s="44"/>
      <c r="K25" s="29"/>
      <c r="L25" s="13"/>
      <c r="M25" s="13"/>
      <c r="N25" s="13"/>
    </row>
    <row r="26" spans="1:14" x14ac:dyDescent="0.25">
      <c r="A26" s="1006"/>
      <c r="B26" s="13">
        <v>24</v>
      </c>
      <c r="C26" s="13"/>
      <c r="D26" s="13"/>
      <c r="E26" s="13"/>
      <c r="F26" s="23"/>
      <c r="G26" s="43"/>
      <c r="H26" s="13"/>
      <c r="I26" s="13"/>
      <c r="J26" s="44"/>
      <c r="K26" s="29"/>
      <c r="L26" s="13"/>
      <c r="M26" s="13"/>
      <c r="N26" s="13"/>
    </row>
    <row r="27" spans="1:14" x14ac:dyDescent="0.25">
      <c r="A27" s="1006" t="s">
        <v>550</v>
      </c>
      <c r="B27" s="9">
        <v>25</v>
      </c>
      <c r="C27" s="9"/>
      <c r="D27" s="9"/>
      <c r="E27" s="9"/>
      <c r="F27" s="9"/>
      <c r="G27" s="9"/>
      <c r="H27" s="9"/>
      <c r="I27" s="9"/>
      <c r="J27" s="9"/>
      <c r="K27" s="9"/>
      <c r="L27" s="9"/>
      <c r="M27" s="9"/>
      <c r="N27" s="9"/>
    </row>
    <row r="28" spans="1:14" x14ac:dyDescent="0.25">
      <c r="A28" s="1006"/>
      <c r="B28" s="9">
        <v>26</v>
      </c>
      <c r="C28" s="9"/>
      <c r="D28" s="9"/>
      <c r="E28" s="9"/>
      <c r="F28" s="9"/>
      <c r="G28" s="9"/>
      <c r="H28" s="9"/>
      <c r="I28" s="9"/>
      <c r="J28" s="9"/>
      <c r="K28" s="9"/>
      <c r="L28" s="9"/>
      <c r="M28" s="9"/>
      <c r="N28" s="9"/>
    </row>
    <row r="29" spans="1:14" x14ac:dyDescent="0.25">
      <c r="A29" s="1006"/>
      <c r="B29" s="9">
        <v>27</v>
      </c>
      <c r="C29" s="9"/>
      <c r="D29" s="9"/>
      <c r="E29" s="9"/>
      <c r="F29" s="9"/>
      <c r="G29" s="9"/>
      <c r="H29" s="9"/>
      <c r="I29" s="9"/>
      <c r="J29" s="9"/>
      <c r="K29" s="9"/>
      <c r="L29" s="9"/>
      <c r="M29" s="9"/>
      <c r="N29" s="9"/>
    </row>
    <row r="30" spans="1:14" x14ac:dyDescent="0.25">
      <c r="A30" s="1006"/>
      <c r="B30" s="9">
        <v>28</v>
      </c>
      <c r="C30" s="9"/>
      <c r="D30" s="9"/>
      <c r="E30" s="9"/>
      <c r="F30" s="9"/>
      <c r="G30" s="9"/>
      <c r="H30" s="9"/>
      <c r="I30" s="9"/>
      <c r="J30" s="9"/>
      <c r="K30" s="9"/>
      <c r="L30" s="9"/>
      <c r="M30" s="9"/>
      <c r="N30" s="9"/>
    </row>
    <row r="31" spans="1:14" x14ac:dyDescent="0.25">
      <c r="A31" s="1006"/>
      <c r="B31" s="9">
        <v>29</v>
      </c>
      <c r="C31" s="9"/>
      <c r="D31" s="9"/>
      <c r="E31" s="9"/>
      <c r="F31" s="9"/>
      <c r="G31" s="9"/>
      <c r="H31" s="9"/>
      <c r="I31" s="9"/>
      <c r="J31" s="9"/>
      <c r="K31" s="9"/>
      <c r="L31" s="9"/>
      <c r="M31" s="9"/>
      <c r="N31" s="9"/>
    </row>
    <row r="32" spans="1:14" x14ac:dyDescent="0.25">
      <c r="A32" s="1006" t="s">
        <v>551</v>
      </c>
      <c r="B32" s="16">
        <v>30</v>
      </c>
      <c r="C32" s="16"/>
      <c r="D32" s="16"/>
      <c r="E32" s="16"/>
      <c r="F32" s="16"/>
      <c r="G32" s="16"/>
      <c r="H32" s="16"/>
      <c r="I32" s="16"/>
      <c r="J32" s="16"/>
      <c r="K32" s="16"/>
      <c r="L32" s="16"/>
      <c r="M32" s="16"/>
      <c r="N32" s="16"/>
    </row>
    <row r="33" spans="1:14" x14ac:dyDescent="0.25">
      <c r="A33" s="1006"/>
      <c r="B33" s="16">
        <v>31</v>
      </c>
      <c r="C33" s="16"/>
      <c r="D33" s="16"/>
      <c r="E33" s="16"/>
      <c r="F33" s="16"/>
      <c r="G33" s="16"/>
      <c r="H33" s="16"/>
      <c r="I33" s="16"/>
      <c r="J33" s="16"/>
      <c r="K33" s="16"/>
      <c r="L33" s="16"/>
      <c r="M33" s="16"/>
      <c r="N33" s="16"/>
    </row>
    <row r="34" spans="1:14" x14ac:dyDescent="0.25">
      <c r="A34" s="1006"/>
      <c r="B34" s="16">
        <v>32</v>
      </c>
      <c r="C34" s="16"/>
      <c r="D34" s="16"/>
      <c r="E34" s="16"/>
      <c r="F34" s="16"/>
      <c r="G34" s="16"/>
      <c r="H34" s="16"/>
      <c r="I34" s="16"/>
      <c r="J34" s="16"/>
      <c r="K34" s="16"/>
      <c r="L34" s="16"/>
      <c r="M34" s="16"/>
      <c r="N34" s="16"/>
    </row>
    <row r="35" spans="1:14" x14ac:dyDescent="0.25">
      <c r="A35" s="1006" t="s">
        <v>552</v>
      </c>
      <c r="B35" s="17">
        <v>33</v>
      </c>
      <c r="C35" s="14"/>
      <c r="D35" s="14"/>
      <c r="E35" s="14"/>
      <c r="F35" s="14"/>
      <c r="G35" s="14"/>
      <c r="H35" s="14"/>
      <c r="I35" s="14"/>
      <c r="J35" s="14"/>
      <c r="K35" s="14"/>
      <c r="L35" s="14"/>
      <c r="M35" s="14"/>
      <c r="N35" s="14"/>
    </row>
    <row r="36" spans="1:14" x14ac:dyDescent="0.25">
      <c r="A36" s="1006"/>
      <c r="B36" s="14">
        <v>34</v>
      </c>
      <c r="C36" s="14"/>
      <c r="D36" s="14"/>
      <c r="E36" s="14"/>
      <c r="F36" s="14"/>
      <c r="G36" s="14"/>
      <c r="H36" s="14"/>
      <c r="I36" s="14"/>
      <c r="J36" s="14"/>
      <c r="K36" s="14"/>
      <c r="L36" s="14"/>
      <c r="M36" s="14"/>
      <c r="N36" s="14"/>
    </row>
    <row r="37" spans="1:14" x14ac:dyDescent="0.25">
      <c r="A37" s="1006"/>
      <c r="B37" s="45">
        <v>35</v>
      </c>
      <c r="C37" s="14"/>
      <c r="D37" s="14"/>
      <c r="E37" s="14"/>
      <c r="F37" s="14"/>
      <c r="G37" s="14"/>
      <c r="H37" s="14"/>
      <c r="I37" s="14"/>
      <c r="J37" s="14"/>
      <c r="K37" s="14"/>
      <c r="L37" s="14"/>
      <c r="M37" s="14"/>
      <c r="N37" s="14"/>
    </row>
    <row r="38" spans="1:14" x14ac:dyDescent="0.25">
      <c r="A38" s="1006" t="s">
        <v>553</v>
      </c>
      <c r="B38" s="8">
        <v>36</v>
      </c>
      <c r="C38" s="8"/>
      <c r="D38" s="8"/>
      <c r="E38" s="8"/>
      <c r="F38" s="8"/>
      <c r="G38" s="8"/>
      <c r="H38" s="8"/>
      <c r="I38" s="8"/>
      <c r="J38" s="8"/>
      <c r="K38" s="8"/>
      <c r="L38" s="8"/>
      <c r="M38" s="8"/>
      <c r="N38" s="8"/>
    </row>
    <row r="39" spans="1:14" x14ac:dyDescent="0.25">
      <c r="A39" s="1006"/>
      <c r="B39" s="8">
        <v>37</v>
      </c>
      <c r="C39" s="8"/>
      <c r="D39" s="8"/>
      <c r="E39" s="8"/>
      <c r="F39" s="8"/>
      <c r="G39" s="8"/>
      <c r="H39" s="8"/>
      <c r="I39" s="8"/>
      <c r="J39" s="8"/>
      <c r="K39" s="8"/>
      <c r="L39" s="8"/>
      <c r="M39" s="8"/>
      <c r="N39" s="8"/>
    </row>
    <row r="40" spans="1:14" x14ac:dyDescent="0.25">
      <c r="A40" s="1006"/>
      <c r="B40" s="8">
        <v>38</v>
      </c>
      <c r="C40" s="8"/>
      <c r="D40" s="8"/>
      <c r="E40" s="8"/>
      <c r="F40" s="8"/>
      <c r="G40" s="8"/>
      <c r="H40" s="8"/>
      <c r="I40" s="8"/>
      <c r="J40" s="8"/>
      <c r="K40" s="8"/>
      <c r="L40" s="8"/>
      <c r="M40" s="8"/>
      <c r="N40" s="8"/>
    </row>
    <row r="41" spans="1:14" x14ac:dyDescent="0.25">
      <c r="A41" s="1007" t="s">
        <v>554</v>
      </c>
      <c r="B41" s="46">
        <v>39</v>
      </c>
      <c r="C41" s="47"/>
      <c r="D41" s="47"/>
      <c r="E41" s="47"/>
      <c r="F41" s="47"/>
      <c r="G41" s="47"/>
      <c r="H41" s="47"/>
      <c r="I41" s="47"/>
      <c r="J41" s="47"/>
      <c r="K41" s="47"/>
      <c r="L41" s="47"/>
      <c r="M41" s="47"/>
      <c r="N41" s="47"/>
    </row>
    <row r="42" spans="1:14" x14ac:dyDescent="0.25">
      <c r="A42" s="1007"/>
      <c r="B42" s="47">
        <v>40</v>
      </c>
      <c r="C42" s="47"/>
      <c r="D42" s="47"/>
      <c r="E42" s="47"/>
      <c r="F42" s="47"/>
      <c r="G42" s="47"/>
      <c r="H42" s="47"/>
      <c r="I42" s="47"/>
      <c r="J42" s="47"/>
      <c r="K42" s="47"/>
      <c r="L42" s="47"/>
      <c r="M42" s="47"/>
      <c r="N42" s="47"/>
    </row>
    <row r="43" spans="1:14" x14ac:dyDescent="0.25">
      <c r="A43" s="1007"/>
      <c r="B43" s="47">
        <v>41</v>
      </c>
      <c r="C43" s="47"/>
      <c r="D43" s="47"/>
      <c r="E43" s="47"/>
      <c r="F43" s="47"/>
      <c r="G43" s="47"/>
      <c r="H43" s="47"/>
      <c r="I43" s="47"/>
      <c r="J43" s="47"/>
      <c r="K43" s="47"/>
      <c r="L43" s="47"/>
      <c r="M43" s="47"/>
      <c r="N43" s="47"/>
    </row>
    <row r="44" spans="1:14" x14ac:dyDescent="0.25">
      <c r="A44" s="1007"/>
      <c r="B44" s="48">
        <v>42</v>
      </c>
      <c r="C44" s="47"/>
      <c r="D44" s="47"/>
      <c r="E44" s="47"/>
      <c r="F44" s="47"/>
      <c r="G44" s="47"/>
      <c r="H44" s="47"/>
      <c r="I44" s="47"/>
      <c r="J44" s="47"/>
      <c r="K44" s="47"/>
      <c r="L44" s="47"/>
      <c r="M44" s="47"/>
      <c r="N44" s="47"/>
    </row>
    <row r="45" spans="1:14" x14ac:dyDescent="0.25">
      <c r="A45" s="1005" t="s">
        <v>555</v>
      </c>
      <c r="B45" s="12">
        <v>43</v>
      </c>
      <c r="C45" s="12"/>
      <c r="D45" s="12"/>
      <c r="E45" s="12"/>
      <c r="F45" s="12"/>
      <c r="G45" s="12"/>
      <c r="H45" s="12"/>
      <c r="I45" s="12"/>
      <c r="J45" s="12"/>
      <c r="K45" s="12"/>
      <c r="L45" s="12"/>
      <c r="M45" s="12"/>
      <c r="N45" s="12"/>
    </row>
    <row r="46" spans="1:14" x14ac:dyDescent="0.25">
      <c r="A46" s="1005"/>
      <c r="B46" s="12">
        <v>44</v>
      </c>
      <c r="C46" s="12"/>
      <c r="D46" s="12"/>
      <c r="E46" s="12"/>
      <c r="F46" s="12"/>
      <c r="G46" s="12"/>
      <c r="H46" s="12"/>
      <c r="I46" s="12"/>
      <c r="J46" s="12"/>
      <c r="K46" s="12"/>
      <c r="L46" s="12"/>
      <c r="M46" s="12"/>
      <c r="N46" s="12"/>
    </row>
  </sheetData>
  <mergeCells count="15">
    <mergeCell ref="A23:A26"/>
    <mergeCell ref="K1:N1"/>
    <mergeCell ref="A3:A7"/>
    <mergeCell ref="A8:A11"/>
    <mergeCell ref="A12:A15"/>
    <mergeCell ref="A16:A18"/>
    <mergeCell ref="A19:A22"/>
    <mergeCell ref="C1:F1"/>
    <mergeCell ref="G1:J1"/>
    <mergeCell ref="A45:A46"/>
    <mergeCell ref="A27:A31"/>
    <mergeCell ref="A32:A34"/>
    <mergeCell ref="A35:A37"/>
    <mergeCell ref="A38:A40"/>
    <mergeCell ref="A41:A44"/>
  </mergeCells>
  <pageMargins left="0.7" right="0.7" top="0.75" bottom="0.75" header="0.3" footer="0.3"/>
  <customProperties>
    <customPr name="_pios_id" r:id="rId1"/>
  </customPropertie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7" tint="0.39997558519241921"/>
    <pageSetUpPr fitToPage="1"/>
  </sheetPr>
  <dimension ref="A1:BA44"/>
  <sheetViews>
    <sheetView showGridLines="0" topLeftCell="O34" zoomScale="60" zoomScaleNormal="60" workbookViewId="0">
      <selection activeCell="T34" sqref="T34:V35"/>
    </sheetView>
  </sheetViews>
  <sheetFormatPr baseColWidth="10" defaultColWidth="10.85546875" defaultRowHeight="15" x14ac:dyDescent="0.25"/>
  <cols>
    <col min="1" max="1" width="38.42578125" style="50" customWidth="1"/>
    <col min="2" max="2" width="15.42578125" style="50" customWidth="1"/>
    <col min="3" max="14" width="20.7109375" style="50" customWidth="1"/>
    <col min="15" max="15" width="16.140625" style="50" customWidth="1"/>
    <col min="16" max="19" width="18.140625" style="50" customWidth="1"/>
    <col min="20" max="22" width="21.140625" style="50" customWidth="1"/>
    <col min="23" max="27" width="18.140625" style="50" customWidth="1"/>
    <col min="28" max="28" width="22.7109375" style="50" customWidth="1"/>
    <col min="29" max="29" width="19" style="50" customWidth="1"/>
    <col min="30" max="30" width="19.42578125" style="50" customWidth="1"/>
    <col min="31" max="31" width="6.28515625" style="50" bestFit="1" customWidth="1"/>
    <col min="32" max="32" width="22.85546875" style="50" customWidth="1"/>
    <col min="33" max="33" width="18.42578125" style="50" bestFit="1" customWidth="1"/>
    <col min="34" max="34" width="8.42578125" style="50" customWidth="1"/>
    <col min="35" max="35" width="18.42578125" style="50" bestFit="1" customWidth="1"/>
    <col min="36" max="36" width="5.7109375" style="50" customWidth="1"/>
    <col min="37" max="37" width="18.42578125" style="50" bestFit="1" customWidth="1"/>
    <col min="38" max="38" width="4.7109375" style="50" customWidth="1"/>
    <col min="39" max="39" width="23" style="50" bestFit="1" customWidth="1"/>
    <col min="40" max="40" width="10.85546875" style="50"/>
    <col min="41" max="41" width="18.42578125" style="50" bestFit="1" customWidth="1"/>
    <col min="42" max="42" width="16.140625" style="50" customWidth="1"/>
    <col min="43" max="16384" width="10.85546875" style="50"/>
  </cols>
  <sheetData>
    <row r="1" spans="1:53" ht="32.25" customHeight="1" thickBot="1" x14ac:dyDescent="0.3">
      <c r="A1" s="443"/>
      <c r="B1" s="446" t="s">
        <v>0</v>
      </c>
      <c r="C1" s="447"/>
      <c r="D1" s="447"/>
      <c r="E1" s="447"/>
      <c r="F1" s="447"/>
      <c r="G1" s="447"/>
      <c r="H1" s="447"/>
      <c r="I1" s="447"/>
      <c r="J1" s="447"/>
      <c r="K1" s="447"/>
      <c r="L1" s="447"/>
      <c r="M1" s="447"/>
      <c r="N1" s="447"/>
      <c r="O1" s="447"/>
      <c r="P1" s="447"/>
      <c r="Q1" s="447"/>
      <c r="R1" s="447"/>
      <c r="S1" s="447"/>
      <c r="T1" s="447"/>
      <c r="U1" s="447"/>
      <c r="V1" s="447"/>
      <c r="W1" s="447"/>
      <c r="X1" s="447"/>
      <c r="Y1" s="447"/>
      <c r="Z1" s="447"/>
      <c r="AA1" s="448"/>
      <c r="AB1" s="449" t="s">
        <v>1</v>
      </c>
      <c r="AC1" s="450"/>
      <c r="AD1" s="451"/>
    </row>
    <row r="2" spans="1:53" ht="30.75" customHeight="1" thickBot="1" x14ac:dyDescent="0.3">
      <c r="A2" s="444"/>
      <c r="B2" s="446" t="s">
        <v>97</v>
      </c>
      <c r="C2" s="447"/>
      <c r="D2" s="447"/>
      <c r="E2" s="447"/>
      <c r="F2" s="447"/>
      <c r="G2" s="447"/>
      <c r="H2" s="447"/>
      <c r="I2" s="447"/>
      <c r="J2" s="447"/>
      <c r="K2" s="447"/>
      <c r="L2" s="447"/>
      <c r="M2" s="447"/>
      <c r="N2" s="447"/>
      <c r="O2" s="447"/>
      <c r="P2" s="447"/>
      <c r="Q2" s="447"/>
      <c r="R2" s="447"/>
      <c r="S2" s="447"/>
      <c r="T2" s="447"/>
      <c r="U2" s="447"/>
      <c r="V2" s="447"/>
      <c r="W2" s="447"/>
      <c r="X2" s="447"/>
      <c r="Y2" s="447"/>
      <c r="Z2" s="447"/>
      <c r="AA2" s="448"/>
      <c r="AB2" s="470" t="s">
        <v>3</v>
      </c>
      <c r="AC2" s="471"/>
      <c r="AD2" s="472"/>
    </row>
    <row r="3" spans="1:53" ht="24" customHeight="1" x14ac:dyDescent="0.25">
      <c r="A3" s="444"/>
      <c r="B3" s="473" t="s">
        <v>4</v>
      </c>
      <c r="C3" s="474"/>
      <c r="D3" s="474"/>
      <c r="E3" s="474"/>
      <c r="F3" s="474"/>
      <c r="G3" s="474"/>
      <c r="H3" s="474"/>
      <c r="I3" s="474"/>
      <c r="J3" s="474"/>
      <c r="K3" s="474"/>
      <c r="L3" s="474"/>
      <c r="M3" s="474"/>
      <c r="N3" s="474"/>
      <c r="O3" s="474"/>
      <c r="P3" s="474"/>
      <c r="Q3" s="474"/>
      <c r="R3" s="474"/>
      <c r="S3" s="474"/>
      <c r="T3" s="474"/>
      <c r="U3" s="474"/>
      <c r="V3" s="474"/>
      <c r="W3" s="474"/>
      <c r="X3" s="474"/>
      <c r="Y3" s="474"/>
      <c r="Z3" s="474"/>
      <c r="AA3" s="475"/>
      <c r="AB3" s="470" t="s">
        <v>5</v>
      </c>
      <c r="AC3" s="471"/>
      <c r="AD3" s="472"/>
    </row>
    <row r="4" spans="1:53" ht="21.95" customHeight="1" thickBot="1" x14ac:dyDescent="0.3">
      <c r="A4" s="445"/>
      <c r="B4" s="476"/>
      <c r="C4" s="477"/>
      <c r="D4" s="477"/>
      <c r="E4" s="477"/>
      <c r="F4" s="477"/>
      <c r="G4" s="477"/>
      <c r="H4" s="477"/>
      <c r="I4" s="477"/>
      <c r="J4" s="477"/>
      <c r="K4" s="477"/>
      <c r="L4" s="477"/>
      <c r="M4" s="477"/>
      <c r="N4" s="477"/>
      <c r="O4" s="477"/>
      <c r="P4" s="477"/>
      <c r="Q4" s="477"/>
      <c r="R4" s="477"/>
      <c r="S4" s="477"/>
      <c r="T4" s="477"/>
      <c r="U4" s="477"/>
      <c r="V4" s="477"/>
      <c r="W4" s="477"/>
      <c r="X4" s="477"/>
      <c r="Y4" s="477"/>
      <c r="Z4" s="477"/>
      <c r="AA4" s="478"/>
      <c r="AB4" s="479" t="s">
        <v>6</v>
      </c>
      <c r="AC4" s="480"/>
      <c r="AD4" s="481"/>
    </row>
    <row r="5" spans="1:53" ht="9" customHeight="1" thickBot="1" x14ac:dyDescent="0.3">
      <c r="A5" s="51"/>
      <c r="B5" s="202"/>
      <c r="C5" s="203"/>
      <c r="D5" s="54"/>
      <c r="E5" s="54"/>
      <c r="F5" s="54"/>
      <c r="G5" s="54"/>
      <c r="H5" s="54"/>
      <c r="I5" s="54"/>
      <c r="J5" s="54"/>
      <c r="K5" s="54"/>
      <c r="L5" s="54"/>
      <c r="M5" s="54"/>
      <c r="N5" s="54"/>
      <c r="O5" s="54"/>
      <c r="P5" s="54"/>
      <c r="Q5" s="54"/>
      <c r="R5" s="54"/>
      <c r="S5" s="54"/>
      <c r="T5" s="54"/>
      <c r="U5" s="54"/>
      <c r="V5" s="54"/>
      <c r="W5" s="54"/>
      <c r="X5" s="54"/>
      <c r="Y5" s="54"/>
      <c r="Z5" s="55"/>
      <c r="AA5" s="54"/>
      <c r="AB5" s="56"/>
      <c r="AC5" s="57"/>
      <c r="AD5" s="58"/>
    </row>
    <row r="6" spans="1:53" ht="9" customHeight="1" x14ac:dyDescent="0.25">
      <c r="A6" s="59"/>
      <c r="B6" s="54"/>
      <c r="C6" s="54"/>
      <c r="D6" s="54"/>
      <c r="E6" s="54"/>
      <c r="F6" s="54"/>
      <c r="G6" s="54"/>
      <c r="H6" s="54"/>
      <c r="I6" s="54"/>
      <c r="J6" s="54"/>
      <c r="K6" s="54"/>
      <c r="L6" s="54"/>
      <c r="M6" s="54"/>
      <c r="N6" s="54"/>
      <c r="O6" s="54"/>
      <c r="P6" s="54"/>
      <c r="Q6" s="54"/>
      <c r="R6" s="54"/>
      <c r="S6" s="54"/>
      <c r="T6" s="54"/>
      <c r="U6" s="54"/>
      <c r="V6" s="54"/>
      <c r="W6" s="54"/>
      <c r="X6" s="54"/>
      <c r="Y6" s="54"/>
      <c r="Z6" s="55"/>
      <c r="AA6" s="54"/>
      <c r="AB6" s="54"/>
      <c r="AC6" s="60"/>
      <c r="AD6" s="61"/>
    </row>
    <row r="7" spans="1:53" ht="15" customHeight="1" x14ac:dyDescent="0.25">
      <c r="A7" s="464" t="s">
        <v>7</v>
      </c>
      <c r="B7" s="465"/>
      <c r="C7" s="500" t="s">
        <v>8</v>
      </c>
      <c r="D7" s="464" t="s">
        <v>9</v>
      </c>
      <c r="E7" s="482"/>
      <c r="F7" s="482"/>
      <c r="G7" s="482"/>
      <c r="H7" s="465"/>
      <c r="I7" s="485">
        <v>45113</v>
      </c>
      <c r="J7" s="486"/>
      <c r="K7" s="464" t="s">
        <v>10</v>
      </c>
      <c r="L7" s="465"/>
      <c r="M7" s="456" t="s">
        <v>98</v>
      </c>
      <c r="N7" s="457"/>
      <c r="O7" s="458"/>
      <c r="P7" s="459"/>
      <c r="Q7" s="54"/>
      <c r="R7" s="54"/>
      <c r="S7" s="54"/>
      <c r="T7" s="54"/>
      <c r="U7" s="54"/>
      <c r="V7" s="54"/>
      <c r="W7" s="54"/>
      <c r="X7" s="54"/>
      <c r="Y7" s="54"/>
      <c r="Z7" s="55"/>
      <c r="AA7" s="54"/>
      <c r="AB7" s="54"/>
      <c r="AC7" s="60"/>
      <c r="AD7" s="61"/>
    </row>
    <row r="8" spans="1:53" ht="15" customHeight="1" x14ac:dyDescent="0.25">
      <c r="A8" s="466"/>
      <c r="B8" s="467"/>
      <c r="C8" s="501"/>
      <c r="D8" s="466"/>
      <c r="E8" s="483"/>
      <c r="F8" s="483"/>
      <c r="G8" s="483"/>
      <c r="H8" s="467"/>
      <c r="I8" s="487"/>
      <c r="J8" s="488"/>
      <c r="K8" s="466"/>
      <c r="L8" s="467"/>
      <c r="M8" s="460" t="s">
        <v>99</v>
      </c>
      <c r="N8" s="461"/>
      <c r="O8" s="462" t="s">
        <v>14</v>
      </c>
      <c r="P8" s="463"/>
      <c r="Q8" s="54"/>
      <c r="R8" s="54"/>
      <c r="S8" s="54"/>
      <c r="T8" s="54"/>
      <c r="U8" s="54"/>
      <c r="V8" s="54"/>
      <c r="W8" s="54"/>
      <c r="X8" s="54"/>
      <c r="Y8" s="54"/>
      <c r="Z8" s="55"/>
      <c r="AA8" s="54"/>
      <c r="AB8" s="54"/>
      <c r="AC8" s="60"/>
      <c r="AD8" s="61"/>
    </row>
    <row r="9" spans="1:53" ht="15.75" customHeight="1" thickBot="1" x14ac:dyDescent="0.3">
      <c r="A9" s="468"/>
      <c r="B9" s="469"/>
      <c r="C9" s="502"/>
      <c r="D9" s="468"/>
      <c r="E9" s="484"/>
      <c r="F9" s="484"/>
      <c r="G9" s="484"/>
      <c r="H9" s="469"/>
      <c r="I9" s="489"/>
      <c r="J9" s="490"/>
      <c r="K9" s="468"/>
      <c r="L9" s="469"/>
      <c r="M9" s="452" t="s">
        <v>13</v>
      </c>
      <c r="N9" s="453"/>
      <c r="O9" s="454" t="s">
        <v>14</v>
      </c>
      <c r="P9" s="455"/>
      <c r="Q9" s="54"/>
      <c r="R9" s="54"/>
      <c r="S9" s="54"/>
      <c r="T9" s="54"/>
      <c r="U9" s="54"/>
      <c r="V9" s="54"/>
      <c r="W9" s="54"/>
      <c r="X9" s="54"/>
      <c r="Y9" s="54"/>
      <c r="Z9" s="55"/>
      <c r="AA9" s="54"/>
      <c r="AB9" s="54"/>
      <c r="AC9" s="60"/>
      <c r="AD9" s="61"/>
    </row>
    <row r="10" spans="1:53" ht="15" customHeight="1" x14ac:dyDescent="0.25">
      <c r="A10" s="169"/>
      <c r="B10" s="170"/>
      <c r="C10" s="170"/>
      <c r="D10" s="65"/>
      <c r="E10" s="65"/>
      <c r="F10" s="65"/>
      <c r="G10" s="65"/>
      <c r="H10" s="65"/>
      <c r="I10" s="166"/>
      <c r="J10" s="166"/>
      <c r="K10" s="65"/>
      <c r="L10" s="65"/>
      <c r="M10" s="167"/>
      <c r="N10" s="167"/>
      <c r="O10" s="168"/>
      <c r="P10" s="168"/>
      <c r="Q10" s="170"/>
      <c r="R10" s="170"/>
      <c r="S10" s="170"/>
      <c r="T10" s="170"/>
      <c r="U10" s="170"/>
      <c r="V10" s="170"/>
      <c r="W10" s="170"/>
      <c r="X10" s="170"/>
      <c r="Y10" s="170"/>
      <c r="Z10" s="171"/>
      <c r="AA10" s="170"/>
      <c r="AB10" s="170"/>
      <c r="AC10" s="172"/>
      <c r="AD10" s="173"/>
    </row>
    <row r="11" spans="1:53" ht="15" customHeight="1" x14ac:dyDescent="0.25">
      <c r="A11" s="464" t="s">
        <v>15</v>
      </c>
      <c r="B11" s="465"/>
      <c r="C11" s="491" t="s">
        <v>16</v>
      </c>
      <c r="D11" s="492"/>
      <c r="E11" s="492"/>
      <c r="F11" s="492"/>
      <c r="G11" s="492"/>
      <c r="H11" s="492"/>
      <c r="I11" s="492"/>
      <c r="J11" s="492"/>
      <c r="K11" s="492"/>
      <c r="L11" s="492"/>
      <c r="M11" s="492"/>
      <c r="N11" s="492"/>
      <c r="O11" s="492"/>
      <c r="P11" s="492"/>
      <c r="Q11" s="492"/>
      <c r="R11" s="492"/>
      <c r="S11" s="492"/>
      <c r="T11" s="492"/>
      <c r="U11" s="492"/>
      <c r="V11" s="492"/>
      <c r="W11" s="492"/>
      <c r="X11" s="492"/>
      <c r="Y11" s="492"/>
      <c r="Z11" s="492"/>
      <c r="AA11" s="492"/>
      <c r="AB11" s="492"/>
      <c r="AC11" s="492"/>
      <c r="AD11" s="493"/>
      <c r="BA11" s="327"/>
    </row>
    <row r="12" spans="1:53" ht="15" customHeight="1" x14ac:dyDescent="0.25">
      <c r="A12" s="466"/>
      <c r="B12" s="467"/>
      <c r="C12" s="494"/>
      <c r="D12" s="495"/>
      <c r="E12" s="495"/>
      <c r="F12" s="495"/>
      <c r="G12" s="495"/>
      <c r="H12" s="495"/>
      <c r="I12" s="495"/>
      <c r="J12" s="495"/>
      <c r="K12" s="495"/>
      <c r="L12" s="495"/>
      <c r="M12" s="495"/>
      <c r="N12" s="495"/>
      <c r="O12" s="495"/>
      <c r="P12" s="495"/>
      <c r="Q12" s="495"/>
      <c r="R12" s="495"/>
      <c r="S12" s="495"/>
      <c r="T12" s="495"/>
      <c r="U12" s="495"/>
      <c r="V12" s="495"/>
      <c r="W12" s="495"/>
      <c r="X12" s="495"/>
      <c r="Y12" s="495"/>
      <c r="Z12" s="495"/>
      <c r="AA12" s="495"/>
      <c r="AB12" s="495"/>
      <c r="AC12" s="495"/>
      <c r="AD12" s="496"/>
      <c r="BA12" s="327"/>
    </row>
    <row r="13" spans="1:53" ht="15" customHeight="1" thickBot="1" x14ac:dyDescent="0.3">
      <c r="A13" s="468"/>
      <c r="B13" s="469"/>
      <c r="C13" s="497"/>
      <c r="D13" s="498"/>
      <c r="E13" s="498"/>
      <c r="F13" s="498"/>
      <c r="G13" s="498"/>
      <c r="H13" s="498"/>
      <c r="I13" s="498"/>
      <c r="J13" s="498"/>
      <c r="K13" s="498"/>
      <c r="L13" s="498"/>
      <c r="M13" s="498"/>
      <c r="N13" s="498"/>
      <c r="O13" s="498"/>
      <c r="P13" s="498"/>
      <c r="Q13" s="498"/>
      <c r="R13" s="498"/>
      <c r="S13" s="498"/>
      <c r="T13" s="498"/>
      <c r="U13" s="498"/>
      <c r="V13" s="498"/>
      <c r="W13" s="498"/>
      <c r="X13" s="498"/>
      <c r="Y13" s="498"/>
      <c r="Z13" s="498"/>
      <c r="AA13" s="498"/>
      <c r="AB13" s="498"/>
      <c r="AC13" s="498"/>
      <c r="AD13" s="499"/>
      <c r="BA13" s="327"/>
    </row>
    <row r="14" spans="1:53" ht="9" customHeight="1" thickBot="1" x14ac:dyDescent="0.3">
      <c r="A14" s="67"/>
      <c r="B14" s="68"/>
      <c r="C14" s="69"/>
      <c r="D14" s="69"/>
      <c r="E14" s="69"/>
      <c r="F14" s="69"/>
      <c r="G14" s="69"/>
      <c r="H14" s="69"/>
      <c r="I14" s="69"/>
      <c r="J14" s="69"/>
      <c r="K14" s="69"/>
      <c r="L14" s="69"/>
      <c r="M14" s="70"/>
      <c r="N14" s="70"/>
      <c r="O14" s="70"/>
      <c r="P14" s="70"/>
      <c r="Q14" s="70"/>
      <c r="R14" s="71"/>
      <c r="S14" s="71"/>
      <c r="T14" s="71"/>
      <c r="U14" s="71"/>
      <c r="V14" s="71"/>
      <c r="W14" s="71"/>
      <c r="X14" s="71"/>
      <c r="Y14" s="65"/>
      <c r="Z14" s="65"/>
      <c r="AA14" s="65"/>
      <c r="AB14" s="65"/>
      <c r="AC14" s="65"/>
      <c r="AD14" s="66"/>
      <c r="BA14" s="327"/>
    </row>
    <row r="15" spans="1:53" ht="39" customHeight="1" thickBot="1" x14ac:dyDescent="0.3">
      <c r="A15" s="528" t="s">
        <v>17</v>
      </c>
      <c r="B15" s="529"/>
      <c r="C15" s="538" t="s">
        <v>18</v>
      </c>
      <c r="D15" s="539"/>
      <c r="E15" s="539"/>
      <c r="F15" s="539"/>
      <c r="G15" s="539"/>
      <c r="H15" s="539"/>
      <c r="I15" s="539"/>
      <c r="J15" s="539"/>
      <c r="K15" s="540"/>
      <c r="L15" s="503" t="s">
        <v>19</v>
      </c>
      <c r="M15" s="504"/>
      <c r="N15" s="504"/>
      <c r="O15" s="504"/>
      <c r="P15" s="504"/>
      <c r="Q15" s="505"/>
      <c r="R15" s="533" t="s">
        <v>20</v>
      </c>
      <c r="S15" s="534"/>
      <c r="T15" s="534"/>
      <c r="U15" s="534"/>
      <c r="V15" s="534"/>
      <c r="W15" s="534"/>
      <c r="X15" s="535"/>
      <c r="Y15" s="503" t="s">
        <v>21</v>
      </c>
      <c r="Z15" s="505"/>
      <c r="AA15" s="524" t="s">
        <v>22</v>
      </c>
      <c r="AB15" s="525"/>
      <c r="AC15" s="525"/>
      <c r="AD15" s="526"/>
      <c r="BA15" s="327"/>
    </row>
    <row r="16" spans="1:53" ht="105" customHeight="1" thickBot="1" x14ac:dyDescent="0.3">
      <c r="A16" s="59"/>
      <c r="B16" s="54"/>
      <c r="C16" s="527"/>
      <c r="D16" s="527"/>
      <c r="E16" s="527"/>
      <c r="F16" s="527"/>
      <c r="G16" s="527"/>
      <c r="H16" s="527"/>
      <c r="I16" s="527"/>
      <c r="J16" s="527"/>
      <c r="K16" s="527"/>
      <c r="L16" s="527"/>
      <c r="M16" s="527"/>
      <c r="N16" s="527"/>
      <c r="O16" s="527"/>
      <c r="P16" s="527"/>
      <c r="Q16" s="527"/>
      <c r="R16" s="527"/>
      <c r="S16" s="527"/>
      <c r="T16" s="527"/>
      <c r="U16" s="527"/>
      <c r="V16" s="527"/>
      <c r="W16" s="527"/>
      <c r="X16" s="527"/>
      <c r="Y16" s="527"/>
      <c r="Z16" s="527"/>
      <c r="AA16" s="527"/>
      <c r="AB16" s="527"/>
      <c r="AC16" s="73"/>
      <c r="AD16" s="74"/>
      <c r="AX16" s="388" t="s">
        <v>23</v>
      </c>
      <c r="BA16" s="327"/>
    </row>
    <row r="17" spans="1:53" s="76" customFormat="1" ht="37.5" customHeight="1" thickBot="1" x14ac:dyDescent="0.3">
      <c r="A17" s="528" t="s">
        <v>24</v>
      </c>
      <c r="B17" s="529"/>
      <c r="C17" s="530" t="s">
        <v>100</v>
      </c>
      <c r="D17" s="531"/>
      <c r="E17" s="531"/>
      <c r="F17" s="531"/>
      <c r="G17" s="531"/>
      <c r="H17" s="531"/>
      <c r="I17" s="531"/>
      <c r="J17" s="531"/>
      <c r="K17" s="531"/>
      <c r="L17" s="531"/>
      <c r="M17" s="531"/>
      <c r="N17" s="531"/>
      <c r="O17" s="531"/>
      <c r="P17" s="531"/>
      <c r="Q17" s="532"/>
      <c r="R17" s="503" t="s">
        <v>26</v>
      </c>
      <c r="S17" s="504"/>
      <c r="T17" s="504"/>
      <c r="U17" s="504"/>
      <c r="V17" s="505"/>
      <c r="W17" s="536">
        <v>13</v>
      </c>
      <c r="X17" s="537"/>
      <c r="Y17" s="504" t="s">
        <v>27</v>
      </c>
      <c r="Z17" s="504"/>
      <c r="AA17" s="504"/>
      <c r="AB17" s="505"/>
      <c r="AC17" s="514">
        <v>0.15</v>
      </c>
      <c r="AD17" s="515"/>
      <c r="AX17" s="387"/>
      <c r="BA17" s="328"/>
    </row>
    <row r="18" spans="1:53" ht="16.5" customHeight="1" thickBot="1" x14ac:dyDescent="0.3">
      <c r="A18" s="77"/>
      <c r="B18" s="78"/>
      <c r="C18" s="78"/>
      <c r="D18" s="78"/>
      <c r="E18" s="78"/>
      <c r="F18" s="78"/>
      <c r="G18" s="78"/>
      <c r="H18" s="78"/>
      <c r="I18" s="78"/>
      <c r="J18" s="78"/>
      <c r="K18" s="78"/>
      <c r="L18" s="78"/>
      <c r="M18" s="78"/>
      <c r="N18" s="78"/>
      <c r="O18" s="78"/>
      <c r="P18" s="78"/>
      <c r="Q18" s="78"/>
      <c r="R18" s="78"/>
      <c r="S18" s="78"/>
      <c r="T18" s="78"/>
      <c r="U18" s="78"/>
      <c r="V18" s="78"/>
      <c r="W18" s="78"/>
      <c r="X18" s="78"/>
      <c r="Y18" s="78"/>
      <c r="Z18" s="78"/>
      <c r="AA18" s="78"/>
      <c r="AB18" s="78"/>
      <c r="AC18" s="78"/>
      <c r="AD18" s="79"/>
      <c r="BA18" s="327"/>
    </row>
    <row r="19" spans="1:53" ht="32.1" customHeight="1" thickBot="1" x14ac:dyDescent="0.3">
      <c r="A19" s="503"/>
      <c r="B19" s="504"/>
      <c r="C19" s="504"/>
      <c r="D19" s="504"/>
      <c r="E19" s="504"/>
      <c r="F19" s="504"/>
      <c r="G19" s="504"/>
      <c r="H19" s="504"/>
      <c r="I19" s="504"/>
      <c r="J19" s="504"/>
      <c r="K19" s="504"/>
      <c r="L19" s="504"/>
      <c r="M19" s="504"/>
      <c r="N19" s="504"/>
      <c r="O19" s="504"/>
      <c r="P19" s="504"/>
      <c r="Q19" s="504"/>
      <c r="R19" s="504"/>
      <c r="S19" s="504"/>
      <c r="T19" s="504"/>
      <c r="U19" s="504"/>
      <c r="V19" s="504"/>
      <c r="W19" s="504"/>
      <c r="X19" s="504"/>
      <c r="Y19" s="504"/>
      <c r="Z19" s="504"/>
      <c r="AA19" s="504"/>
      <c r="AB19" s="504"/>
      <c r="AC19" s="504"/>
      <c r="AD19" s="505"/>
      <c r="AE19" s="83"/>
      <c r="AF19" s="83"/>
      <c r="BA19" s="327"/>
    </row>
    <row r="20" spans="1:53" ht="32.1" customHeight="1" thickBot="1" x14ac:dyDescent="0.3">
      <c r="A20" s="204"/>
      <c r="B20" s="58"/>
      <c r="C20" s="509" t="s">
        <v>29</v>
      </c>
      <c r="D20" s="510"/>
      <c r="E20" s="510"/>
      <c r="F20" s="510"/>
      <c r="G20" s="510"/>
      <c r="H20" s="510"/>
      <c r="I20" s="510"/>
      <c r="J20" s="510"/>
      <c r="K20" s="510"/>
      <c r="L20" s="510"/>
      <c r="M20" s="510"/>
      <c r="N20" s="510"/>
      <c r="O20" s="510"/>
      <c r="P20" s="511"/>
      <c r="Q20" s="506" t="s">
        <v>30</v>
      </c>
      <c r="R20" s="507"/>
      <c r="S20" s="507"/>
      <c r="T20" s="507"/>
      <c r="U20" s="507"/>
      <c r="V20" s="507"/>
      <c r="W20" s="507"/>
      <c r="X20" s="507"/>
      <c r="Y20" s="507"/>
      <c r="Z20" s="507"/>
      <c r="AA20" s="507"/>
      <c r="AB20" s="507"/>
      <c r="AC20" s="507"/>
      <c r="AD20" s="508"/>
      <c r="AE20" s="83"/>
      <c r="AF20" s="83"/>
      <c r="BA20" s="327"/>
    </row>
    <row r="21" spans="1:53" ht="32.1" customHeight="1" thickBot="1" x14ac:dyDescent="0.3">
      <c r="A21" s="205"/>
      <c r="B21" s="74"/>
      <c r="C21" s="353" t="s">
        <v>31</v>
      </c>
      <c r="D21" s="352" t="s">
        <v>32</v>
      </c>
      <c r="E21" s="352" t="s">
        <v>33</v>
      </c>
      <c r="F21" s="352" t="s">
        <v>34</v>
      </c>
      <c r="G21" s="352" t="s">
        <v>35</v>
      </c>
      <c r="H21" s="352" t="s">
        <v>8</v>
      </c>
      <c r="I21" s="352" t="s">
        <v>36</v>
      </c>
      <c r="J21" s="352" t="s">
        <v>37</v>
      </c>
      <c r="K21" s="352" t="s">
        <v>38</v>
      </c>
      <c r="L21" s="352" t="s">
        <v>39</v>
      </c>
      <c r="M21" s="352" t="s">
        <v>40</v>
      </c>
      <c r="N21" s="352" t="s">
        <v>41</v>
      </c>
      <c r="O21" s="352" t="s">
        <v>42</v>
      </c>
      <c r="P21" s="354" t="s">
        <v>43</v>
      </c>
      <c r="Q21" s="353" t="s">
        <v>31</v>
      </c>
      <c r="R21" s="352" t="s">
        <v>32</v>
      </c>
      <c r="S21" s="352" t="s">
        <v>33</v>
      </c>
      <c r="T21" s="352" t="s">
        <v>34</v>
      </c>
      <c r="U21" s="352" t="s">
        <v>35</v>
      </c>
      <c r="V21" s="352" t="s">
        <v>8</v>
      </c>
      <c r="W21" s="352" t="s">
        <v>36</v>
      </c>
      <c r="X21" s="352" t="s">
        <v>37</v>
      </c>
      <c r="Y21" s="352" t="s">
        <v>38</v>
      </c>
      <c r="Z21" s="352" t="s">
        <v>39</v>
      </c>
      <c r="AA21" s="352" t="s">
        <v>40</v>
      </c>
      <c r="AB21" s="352" t="s">
        <v>41</v>
      </c>
      <c r="AC21" s="352" t="s">
        <v>42</v>
      </c>
      <c r="AD21" s="354" t="s">
        <v>43</v>
      </c>
      <c r="AE21" s="3"/>
      <c r="AF21" s="3"/>
      <c r="BA21" s="327"/>
    </row>
    <row r="22" spans="1:53" ht="32.1" customHeight="1" x14ac:dyDescent="0.25">
      <c r="A22" s="512" t="s">
        <v>101</v>
      </c>
      <c r="B22" s="513"/>
      <c r="C22" s="355"/>
      <c r="D22" s="356"/>
      <c r="E22" s="356"/>
      <c r="F22" s="356"/>
      <c r="G22" s="356"/>
      <c r="H22" s="356"/>
      <c r="I22" s="356"/>
      <c r="J22" s="356"/>
      <c r="K22" s="356"/>
      <c r="L22" s="356"/>
      <c r="M22" s="356"/>
      <c r="N22" s="356"/>
      <c r="O22" s="356">
        <f>SUM(C22:N22)</f>
        <v>0</v>
      </c>
      <c r="P22" s="433"/>
      <c r="Q22" s="355">
        <v>187995600</v>
      </c>
      <c r="R22" s="356"/>
      <c r="S22" s="356"/>
      <c r="T22" s="356">
        <v>21559511</v>
      </c>
      <c r="U22" s="356"/>
      <c r="V22" s="356">
        <f>2445118+34249272-3569820</f>
        <v>33124570</v>
      </c>
      <c r="W22" s="356"/>
      <c r="X22" s="356"/>
      <c r="Y22" s="356"/>
      <c r="Z22" s="356"/>
      <c r="AA22" s="356"/>
      <c r="AB22" s="356"/>
      <c r="AC22" s="429">
        <f>SUM(Q22:AB22)</f>
        <v>242679681</v>
      </c>
      <c r="AD22" s="357"/>
      <c r="AE22" s="3"/>
      <c r="AF22" s="442" t="s">
        <v>102</v>
      </c>
      <c r="AG22" s="442"/>
      <c r="AH22" s="442"/>
      <c r="AI22" s="442"/>
      <c r="AJ22" s="442"/>
      <c r="AK22" s="442"/>
      <c r="AL22" s="442"/>
      <c r="AM22" s="442"/>
    </row>
    <row r="23" spans="1:53" ht="32.1" customHeight="1" x14ac:dyDescent="0.25">
      <c r="A23" s="520" t="s">
        <v>47</v>
      </c>
      <c r="B23" s="521"/>
      <c r="C23" s="175"/>
      <c r="D23" s="174"/>
      <c r="E23" s="174"/>
      <c r="F23" s="174"/>
      <c r="G23" s="174"/>
      <c r="H23" s="174"/>
      <c r="I23" s="174"/>
      <c r="J23" s="174"/>
      <c r="K23" s="174"/>
      <c r="L23" s="174"/>
      <c r="M23" s="174"/>
      <c r="N23" s="174"/>
      <c r="O23" s="174">
        <f>SUM(C23:N23)</f>
        <v>0</v>
      </c>
      <c r="P23" s="434"/>
      <c r="Q23" s="175">
        <v>48136000</v>
      </c>
      <c r="R23" s="174">
        <v>106411067</v>
      </c>
      <c r="S23" s="174">
        <v>29070932</v>
      </c>
      <c r="T23" s="174">
        <v>-3221999</v>
      </c>
      <c r="U23" s="174">
        <v>23423763</v>
      </c>
      <c r="V23" s="174">
        <v>11200000</v>
      </c>
      <c r="W23" s="174"/>
      <c r="X23" s="174"/>
      <c r="Y23" s="174"/>
      <c r="Z23" s="174"/>
      <c r="AA23" s="174"/>
      <c r="AB23" s="174"/>
      <c r="AC23" s="430">
        <f>SUM(Q23:AB23)</f>
        <v>215019763</v>
      </c>
      <c r="AD23" s="182">
        <f>+AC23/AC22</f>
        <v>0.88602293407497923</v>
      </c>
      <c r="AE23" s="3"/>
      <c r="AF23" s="442"/>
      <c r="AG23" s="442"/>
      <c r="AH23" s="442"/>
      <c r="AI23" s="442"/>
      <c r="AJ23" s="442"/>
      <c r="AK23" s="442"/>
      <c r="AL23" s="442"/>
      <c r="AM23" s="442"/>
    </row>
    <row r="24" spans="1:53" ht="32.1" customHeight="1" x14ac:dyDescent="0.25">
      <c r="A24" s="520" t="s">
        <v>103</v>
      </c>
      <c r="B24" s="521"/>
      <c r="C24" s="175">
        <v>19304538</v>
      </c>
      <c r="D24" s="174">
        <f>494400+543840+4505045</f>
        <v>5543285</v>
      </c>
      <c r="E24" s="174"/>
      <c r="F24" s="174"/>
      <c r="G24" s="174"/>
      <c r="H24" s="174">
        <v>-1</v>
      </c>
      <c r="I24" s="174"/>
      <c r="J24" s="174"/>
      <c r="K24" s="174"/>
      <c r="L24" s="174"/>
      <c r="M24" s="174"/>
      <c r="N24" s="174"/>
      <c r="O24" s="174">
        <f>SUM(C24:N24)</f>
        <v>24847822</v>
      </c>
      <c r="P24" s="178"/>
      <c r="Q24" s="175"/>
      <c r="R24" s="174">
        <v>7727600</v>
      </c>
      <c r="S24" s="174">
        <v>16388000</v>
      </c>
      <c r="T24" s="174">
        <v>16388000</v>
      </c>
      <c r="U24" s="174">
        <f>16388000+21559511</f>
        <v>37947511</v>
      </c>
      <c r="V24" s="174">
        <f>16388000-3569820</f>
        <v>12818180</v>
      </c>
      <c r="W24" s="174">
        <f>16388000+2445118+11416424</f>
        <v>30249542</v>
      </c>
      <c r="X24" s="174">
        <v>16388000</v>
      </c>
      <c r="Y24" s="174">
        <f>16388000+11416424</f>
        <v>27804424</v>
      </c>
      <c r="Z24" s="174">
        <v>16388000</v>
      </c>
      <c r="AA24" s="174">
        <f>16388000+11416424</f>
        <v>27804424</v>
      </c>
      <c r="AB24" s="174">
        <v>32776000</v>
      </c>
      <c r="AC24" s="213">
        <f>SUM(Q24:AB24)</f>
        <v>242679681</v>
      </c>
      <c r="AD24" s="182"/>
      <c r="AE24" s="3"/>
      <c r="AF24" s="442"/>
      <c r="AG24" s="442"/>
      <c r="AH24" s="442"/>
      <c r="AI24" s="442"/>
      <c r="AJ24" s="442"/>
      <c r="AK24" s="442"/>
      <c r="AL24" s="442"/>
      <c r="AM24" s="442"/>
    </row>
    <row r="25" spans="1:53" ht="32.1" customHeight="1" thickBot="1" x14ac:dyDescent="0.3">
      <c r="A25" s="522" t="s">
        <v>50</v>
      </c>
      <c r="B25" s="523"/>
      <c r="C25" s="358">
        <v>543840</v>
      </c>
      <c r="D25" s="176">
        <v>18760518</v>
      </c>
      <c r="E25" s="176" t="s">
        <v>51</v>
      </c>
      <c r="F25" s="176">
        <v>5151217</v>
      </c>
      <c r="G25" s="176">
        <v>0</v>
      </c>
      <c r="H25" s="176">
        <v>382120</v>
      </c>
      <c r="I25" s="176"/>
      <c r="J25" s="176"/>
      <c r="K25" s="176"/>
      <c r="L25" s="176"/>
      <c r="M25" s="176"/>
      <c r="N25" s="176"/>
      <c r="O25" s="176">
        <f>SUM(C25:N25)</f>
        <v>24837695</v>
      </c>
      <c r="P25" s="181">
        <f>+O25/O24</f>
        <v>0.99959243912806528</v>
      </c>
      <c r="Q25" s="358" t="s">
        <v>104</v>
      </c>
      <c r="R25" s="176">
        <v>1078933</v>
      </c>
      <c r="S25" s="176">
        <v>7823734</v>
      </c>
      <c r="T25" s="176">
        <v>13298133</v>
      </c>
      <c r="U25" s="176">
        <v>17920800</v>
      </c>
      <c r="V25" s="176">
        <v>17866933</v>
      </c>
      <c r="W25" s="176"/>
      <c r="X25" s="176"/>
      <c r="Y25" s="176"/>
      <c r="Z25" s="176"/>
      <c r="AA25" s="176"/>
      <c r="AB25" s="176"/>
      <c r="AC25" s="176">
        <f>SUM(Q25:AB25)</f>
        <v>57988533</v>
      </c>
      <c r="AD25" s="183">
        <f>+AC25/AC23</f>
        <v>0.26968931688386244</v>
      </c>
      <c r="AE25" s="3"/>
      <c r="AF25" s="442"/>
      <c r="AG25" s="442"/>
      <c r="AH25" s="442"/>
      <c r="AI25" s="442"/>
      <c r="AJ25" s="442"/>
      <c r="AK25" s="442"/>
      <c r="AL25" s="442"/>
      <c r="AM25" s="442"/>
    </row>
    <row r="26" spans="1:53" ht="32.1" customHeight="1" thickBot="1" x14ac:dyDescent="0.3">
      <c r="A26" s="59"/>
      <c r="B26" s="54"/>
      <c r="C26" s="80"/>
      <c r="D26" s="80"/>
      <c r="E26" s="80"/>
      <c r="F26" s="80"/>
      <c r="G26" s="80"/>
      <c r="H26" s="80"/>
      <c r="I26" s="80"/>
      <c r="J26" s="80"/>
      <c r="K26" s="80"/>
      <c r="L26" s="80"/>
      <c r="M26" s="80"/>
      <c r="N26" s="80"/>
      <c r="O26" s="80"/>
      <c r="P26" s="80"/>
      <c r="Q26" s="80"/>
      <c r="R26" s="80"/>
      <c r="S26" s="80"/>
      <c r="T26" s="80"/>
      <c r="U26" s="80"/>
      <c r="V26" s="80"/>
      <c r="W26" s="80"/>
      <c r="X26" s="80"/>
      <c r="Y26" s="80"/>
      <c r="Z26" s="80"/>
      <c r="AA26" s="80"/>
      <c r="AB26" s="80"/>
      <c r="AC26" s="60"/>
      <c r="AD26" s="173"/>
    </row>
    <row r="27" spans="1:53" ht="33.950000000000003" customHeight="1" x14ac:dyDescent="0.25">
      <c r="A27" s="516" t="s">
        <v>53</v>
      </c>
      <c r="B27" s="517"/>
      <c r="C27" s="518"/>
      <c r="D27" s="518"/>
      <c r="E27" s="518"/>
      <c r="F27" s="518"/>
      <c r="G27" s="518"/>
      <c r="H27" s="518"/>
      <c r="I27" s="518"/>
      <c r="J27" s="518"/>
      <c r="K27" s="518"/>
      <c r="L27" s="518"/>
      <c r="M27" s="518"/>
      <c r="N27" s="518"/>
      <c r="O27" s="518"/>
      <c r="P27" s="518"/>
      <c r="Q27" s="518"/>
      <c r="R27" s="518"/>
      <c r="S27" s="518"/>
      <c r="T27" s="518"/>
      <c r="U27" s="518"/>
      <c r="V27" s="518"/>
      <c r="W27" s="518"/>
      <c r="X27" s="518"/>
      <c r="Y27" s="518"/>
      <c r="Z27" s="518"/>
      <c r="AA27" s="518"/>
      <c r="AB27" s="518"/>
      <c r="AC27" s="518"/>
      <c r="AD27" s="519"/>
    </row>
    <row r="28" spans="1:53" ht="15" customHeight="1" x14ac:dyDescent="0.25">
      <c r="A28" s="541" t="s">
        <v>54</v>
      </c>
      <c r="B28" s="543" t="s">
        <v>55</v>
      </c>
      <c r="C28" s="544"/>
      <c r="D28" s="521" t="s">
        <v>56</v>
      </c>
      <c r="E28" s="547"/>
      <c r="F28" s="547"/>
      <c r="G28" s="547"/>
      <c r="H28" s="547"/>
      <c r="I28" s="547"/>
      <c r="J28" s="547"/>
      <c r="K28" s="547"/>
      <c r="L28" s="547"/>
      <c r="M28" s="547"/>
      <c r="N28" s="547"/>
      <c r="O28" s="548"/>
      <c r="P28" s="549" t="s">
        <v>42</v>
      </c>
      <c r="Q28" s="549" t="s">
        <v>57</v>
      </c>
      <c r="R28" s="549"/>
      <c r="S28" s="549"/>
      <c r="T28" s="549"/>
      <c r="U28" s="549"/>
      <c r="V28" s="549"/>
      <c r="W28" s="549"/>
      <c r="X28" s="549"/>
      <c r="Y28" s="549"/>
      <c r="Z28" s="549"/>
      <c r="AA28" s="549"/>
      <c r="AB28" s="549"/>
      <c r="AC28" s="549"/>
      <c r="AD28" s="550"/>
    </row>
    <row r="29" spans="1:53" ht="27" customHeight="1" x14ac:dyDescent="0.25">
      <c r="A29" s="542"/>
      <c r="B29" s="545"/>
      <c r="C29" s="546"/>
      <c r="D29" s="88" t="s">
        <v>31</v>
      </c>
      <c r="E29" s="88" t="s">
        <v>32</v>
      </c>
      <c r="F29" s="88" t="s">
        <v>33</v>
      </c>
      <c r="G29" s="88" t="s">
        <v>34</v>
      </c>
      <c r="H29" s="88" t="s">
        <v>35</v>
      </c>
      <c r="I29" s="88" t="s">
        <v>8</v>
      </c>
      <c r="J29" s="88" t="s">
        <v>36</v>
      </c>
      <c r="K29" s="88" t="s">
        <v>37</v>
      </c>
      <c r="L29" s="88" t="s">
        <v>38</v>
      </c>
      <c r="M29" s="88" t="s">
        <v>39</v>
      </c>
      <c r="N29" s="88" t="s">
        <v>40</v>
      </c>
      <c r="O29" s="88" t="s">
        <v>41</v>
      </c>
      <c r="P29" s="548"/>
      <c r="Q29" s="549"/>
      <c r="R29" s="549"/>
      <c r="S29" s="549"/>
      <c r="T29" s="549"/>
      <c r="U29" s="549"/>
      <c r="V29" s="549"/>
      <c r="W29" s="549"/>
      <c r="X29" s="549"/>
      <c r="Y29" s="549"/>
      <c r="Z29" s="549"/>
      <c r="AA29" s="549"/>
      <c r="AB29" s="549"/>
      <c r="AC29" s="549"/>
      <c r="AD29" s="550"/>
    </row>
    <row r="30" spans="1:53" ht="68.25" customHeight="1" thickBot="1" x14ac:dyDescent="0.3">
      <c r="A30" s="85" t="s">
        <v>105</v>
      </c>
      <c r="B30" s="551"/>
      <c r="C30" s="552"/>
      <c r="D30" s="89"/>
      <c r="E30" s="89"/>
      <c r="F30" s="295"/>
      <c r="G30" s="89"/>
      <c r="H30" s="89"/>
      <c r="I30" s="89"/>
      <c r="J30" s="89"/>
      <c r="K30" s="89"/>
      <c r="L30" s="89"/>
      <c r="M30" s="89"/>
      <c r="N30" s="89"/>
      <c r="O30" s="89"/>
      <c r="P30" s="86">
        <f>SUM(D30:O30)</f>
        <v>0</v>
      </c>
      <c r="Q30" s="553"/>
      <c r="R30" s="553"/>
      <c r="S30" s="553"/>
      <c r="T30" s="553"/>
      <c r="U30" s="553"/>
      <c r="V30" s="553"/>
      <c r="W30" s="553"/>
      <c r="X30" s="553"/>
      <c r="Y30" s="553"/>
      <c r="Z30" s="553"/>
      <c r="AA30" s="553"/>
      <c r="AB30" s="553"/>
      <c r="AC30" s="553"/>
      <c r="AD30" s="554"/>
    </row>
    <row r="31" spans="1:53" ht="45" customHeight="1" thickBot="1" x14ac:dyDescent="0.3">
      <c r="A31" s="555" t="s">
        <v>59</v>
      </c>
      <c r="B31" s="556"/>
      <c r="C31" s="556"/>
      <c r="D31" s="556"/>
      <c r="E31" s="556"/>
      <c r="F31" s="556"/>
      <c r="G31" s="556"/>
      <c r="H31" s="556"/>
      <c r="I31" s="556"/>
      <c r="J31" s="556"/>
      <c r="K31" s="556"/>
      <c r="L31" s="556"/>
      <c r="M31" s="556"/>
      <c r="N31" s="556"/>
      <c r="O31" s="556"/>
      <c r="P31" s="556"/>
      <c r="Q31" s="556"/>
      <c r="R31" s="556"/>
      <c r="S31" s="556"/>
      <c r="T31" s="556"/>
      <c r="U31" s="556"/>
      <c r="V31" s="556"/>
      <c r="W31" s="556"/>
      <c r="X31" s="556"/>
      <c r="Y31" s="556"/>
      <c r="Z31" s="556"/>
      <c r="AA31" s="556"/>
      <c r="AB31" s="556"/>
      <c r="AC31" s="556"/>
      <c r="AD31" s="557"/>
    </row>
    <row r="32" spans="1:53" ht="23.1" customHeight="1" x14ac:dyDescent="0.25">
      <c r="A32" s="512" t="s">
        <v>60</v>
      </c>
      <c r="B32" s="558" t="s">
        <v>61</v>
      </c>
      <c r="C32" s="558" t="s">
        <v>55</v>
      </c>
      <c r="D32" s="558" t="s">
        <v>62</v>
      </c>
      <c r="E32" s="558"/>
      <c r="F32" s="558"/>
      <c r="G32" s="558"/>
      <c r="H32" s="558"/>
      <c r="I32" s="558"/>
      <c r="J32" s="558"/>
      <c r="K32" s="558"/>
      <c r="L32" s="558"/>
      <c r="M32" s="558"/>
      <c r="N32" s="558"/>
      <c r="O32" s="558"/>
      <c r="P32" s="513"/>
      <c r="Q32" s="512" t="s">
        <v>63</v>
      </c>
      <c r="R32" s="558"/>
      <c r="S32" s="558"/>
      <c r="T32" s="558"/>
      <c r="U32" s="558"/>
      <c r="V32" s="558"/>
      <c r="W32" s="558"/>
      <c r="X32" s="558"/>
      <c r="Y32" s="558"/>
      <c r="Z32" s="558"/>
      <c r="AA32" s="558"/>
      <c r="AB32" s="558"/>
      <c r="AC32" s="558"/>
      <c r="AD32" s="559"/>
      <c r="AG32" s="87"/>
      <c r="AH32" s="87"/>
      <c r="AI32" s="87"/>
      <c r="AJ32" s="87"/>
      <c r="AK32" s="87"/>
      <c r="AL32" s="87"/>
      <c r="AM32" s="87"/>
      <c r="AN32" s="87"/>
      <c r="AO32" s="87"/>
    </row>
    <row r="33" spans="1:41" ht="27" customHeight="1" x14ac:dyDescent="0.25">
      <c r="A33" s="522"/>
      <c r="B33" s="593"/>
      <c r="C33" s="656"/>
      <c r="D33" s="265" t="s">
        <v>31</v>
      </c>
      <c r="E33" s="265" t="s">
        <v>32</v>
      </c>
      <c r="F33" s="265" t="s">
        <v>33</v>
      </c>
      <c r="G33" s="265" t="s">
        <v>34</v>
      </c>
      <c r="H33" s="265" t="s">
        <v>35</v>
      </c>
      <c r="I33" s="265" t="s">
        <v>8</v>
      </c>
      <c r="J33" s="265" t="s">
        <v>36</v>
      </c>
      <c r="K33" s="265" t="s">
        <v>37</v>
      </c>
      <c r="L33" s="265" t="s">
        <v>38</v>
      </c>
      <c r="M33" s="265" t="s">
        <v>39</v>
      </c>
      <c r="N33" s="265" t="s">
        <v>40</v>
      </c>
      <c r="O33" s="265" t="s">
        <v>41</v>
      </c>
      <c r="P33" s="350" t="s">
        <v>42</v>
      </c>
      <c r="Q33" s="522" t="s">
        <v>64</v>
      </c>
      <c r="R33" s="593"/>
      <c r="S33" s="593"/>
      <c r="T33" s="593" t="s">
        <v>65</v>
      </c>
      <c r="U33" s="593"/>
      <c r="V33" s="593"/>
      <c r="W33" s="657" t="s">
        <v>106</v>
      </c>
      <c r="X33" s="510"/>
      <c r="Y33" s="510"/>
      <c r="Z33" s="658"/>
      <c r="AA33" s="657" t="s">
        <v>67</v>
      </c>
      <c r="AB33" s="510"/>
      <c r="AC33" s="510"/>
      <c r="AD33" s="511"/>
      <c r="AG33" s="87"/>
      <c r="AH33" s="87"/>
      <c r="AI33" s="87"/>
      <c r="AJ33" s="87"/>
      <c r="AK33" s="87"/>
      <c r="AL33" s="87"/>
      <c r="AM33" s="87"/>
      <c r="AN33" s="87"/>
      <c r="AO33" s="87"/>
    </row>
    <row r="34" spans="1:41" ht="126" customHeight="1" x14ac:dyDescent="0.25">
      <c r="A34" s="650" t="s">
        <v>105</v>
      </c>
      <c r="B34" s="651">
        <v>0.15</v>
      </c>
      <c r="C34" s="90" t="s">
        <v>68</v>
      </c>
      <c r="D34" s="300">
        <v>13</v>
      </c>
      <c r="E34" s="227">
        <v>13</v>
      </c>
      <c r="F34" s="227">
        <v>13</v>
      </c>
      <c r="G34" s="227">
        <v>13</v>
      </c>
      <c r="H34" s="227">
        <v>13</v>
      </c>
      <c r="I34" s="227">
        <v>13</v>
      </c>
      <c r="J34" s="227">
        <v>13</v>
      </c>
      <c r="K34" s="227">
        <v>13</v>
      </c>
      <c r="L34" s="227">
        <v>13</v>
      </c>
      <c r="M34" s="227">
        <v>13</v>
      </c>
      <c r="N34" s="227">
        <v>13</v>
      </c>
      <c r="O34" s="227">
        <v>13</v>
      </c>
      <c r="P34" s="369">
        <v>13</v>
      </c>
      <c r="Q34" s="653" t="s">
        <v>107</v>
      </c>
      <c r="R34" s="654"/>
      <c r="S34" s="655"/>
      <c r="T34" s="654" t="s">
        <v>108</v>
      </c>
      <c r="U34" s="654"/>
      <c r="V34" s="655"/>
      <c r="W34" s="566" t="s">
        <v>575</v>
      </c>
      <c r="X34" s="567"/>
      <c r="Y34" s="567"/>
      <c r="Z34" s="568"/>
      <c r="AA34" s="566" t="s">
        <v>109</v>
      </c>
      <c r="AB34" s="567"/>
      <c r="AC34" s="567"/>
      <c r="AD34" s="643"/>
      <c r="AG34" s="297"/>
      <c r="AH34" s="297"/>
      <c r="AI34" s="297"/>
      <c r="AJ34" s="87"/>
      <c r="AK34" s="87"/>
      <c r="AL34" s="87"/>
      <c r="AM34" s="87"/>
      <c r="AN34" s="87"/>
      <c r="AO34" s="87"/>
    </row>
    <row r="35" spans="1:41" ht="144.75" customHeight="1" x14ac:dyDescent="0.25">
      <c r="A35" s="650"/>
      <c r="B35" s="652"/>
      <c r="C35" s="261" t="s">
        <v>72</v>
      </c>
      <c r="D35" s="301">
        <v>13</v>
      </c>
      <c r="E35" s="301">
        <v>13</v>
      </c>
      <c r="F35" s="301">
        <v>13</v>
      </c>
      <c r="G35" s="301">
        <v>13</v>
      </c>
      <c r="H35" s="301">
        <v>13</v>
      </c>
      <c r="I35" s="301">
        <v>12</v>
      </c>
      <c r="J35" s="301"/>
      <c r="K35" s="301"/>
      <c r="L35" s="301"/>
      <c r="M35" s="301"/>
      <c r="N35" s="301"/>
      <c r="O35" s="301"/>
      <c r="P35" s="435">
        <f>AVERAGE(D35:I35)</f>
        <v>12.833333333333334</v>
      </c>
      <c r="Q35" s="653"/>
      <c r="R35" s="654"/>
      <c r="S35" s="655"/>
      <c r="T35" s="654"/>
      <c r="U35" s="654"/>
      <c r="V35" s="655"/>
      <c r="W35" s="566"/>
      <c r="X35" s="567"/>
      <c r="Y35" s="567"/>
      <c r="Z35" s="568"/>
      <c r="AA35" s="566"/>
      <c r="AB35" s="567"/>
      <c r="AC35" s="567"/>
      <c r="AD35" s="643"/>
      <c r="AE35" s="49"/>
      <c r="AG35" s="297"/>
      <c r="AH35" s="297"/>
      <c r="AI35" s="297"/>
      <c r="AJ35" s="87"/>
      <c r="AK35" s="87"/>
      <c r="AL35" s="87"/>
      <c r="AM35" s="87"/>
      <c r="AN35" s="87"/>
      <c r="AO35" s="87"/>
    </row>
    <row r="36" spans="1:41" ht="26.1" customHeight="1" x14ac:dyDescent="0.25">
      <c r="A36" s="512" t="s">
        <v>73</v>
      </c>
      <c r="B36" s="558" t="s">
        <v>74</v>
      </c>
      <c r="C36" s="561" t="s">
        <v>75</v>
      </c>
      <c r="D36" s="558"/>
      <c r="E36" s="558"/>
      <c r="F36" s="558"/>
      <c r="G36" s="558"/>
      <c r="H36" s="558"/>
      <c r="I36" s="558"/>
      <c r="J36" s="558"/>
      <c r="K36" s="558"/>
      <c r="L36" s="558"/>
      <c r="M36" s="558"/>
      <c r="N36" s="558"/>
      <c r="O36" s="558"/>
      <c r="P36" s="513"/>
      <c r="Q36" s="644"/>
      <c r="R36" s="645"/>
      <c r="S36" s="645"/>
      <c r="T36" s="645"/>
      <c r="U36" s="645"/>
      <c r="V36" s="645"/>
      <c r="W36" s="645"/>
      <c r="X36" s="645"/>
      <c r="Y36" s="645"/>
      <c r="Z36" s="645"/>
      <c r="AA36" s="645"/>
      <c r="AB36" s="645"/>
      <c r="AC36" s="645"/>
      <c r="AD36" s="646"/>
      <c r="AG36" s="297"/>
      <c r="AH36" s="297"/>
      <c r="AI36" s="297"/>
      <c r="AJ36" s="87"/>
      <c r="AK36" s="87"/>
      <c r="AL36" s="87"/>
      <c r="AM36" s="87"/>
      <c r="AN36" s="87"/>
      <c r="AO36" s="87"/>
    </row>
    <row r="37" spans="1:41" ht="26.1" customHeight="1" x14ac:dyDescent="0.25">
      <c r="A37" s="520"/>
      <c r="B37" s="549"/>
      <c r="C37" s="221" t="s">
        <v>77</v>
      </c>
      <c r="D37" s="88" t="s">
        <v>78</v>
      </c>
      <c r="E37" s="88" t="s">
        <v>79</v>
      </c>
      <c r="F37" s="88" t="s">
        <v>80</v>
      </c>
      <c r="G37" s="88" t="s">
        <v>81</v>
      </c>
      <c r="H37" s="88" t="s">
        <v>82</v>
      </c>
      <c r="I37" s="88" t="s">
        <v>83</v>
      </c>
      <c r="J37" s="88" t="s">
        <v>84</v>
      </c>
      <c r="K37" s="88" t="s">
        <v>85</v>
      </c>
      <c r="L37" s="88" t="s">
        <v>86</v>
      </c>
      <c r="M37" s="88" t="s">
        <v>87</v>
      </c>
      <c r="N37" s="88" t="s">
        <v>88</v>
      </c>
      <c r="O37" s="88" t="s">
        <v>89</v>
      </c>
      <c r="P37" s="349" t="s">
        <v>90</v>
      </c>
      <c r="Q37" s="647" t="s">
        <v>91</v>
      </c>
      <c r="R37" s="648"/>
      <c r="S37" s="648"/>
      <c r="T37" s="648"/>
      <c r="U37" s="648"/>
      <c r="V37" s="648"/>
      <c r="W37" s="648"/>
      <c r="X37" s="648"/>
      <c r="Y37" s="648"/>
      <c r="Z37" s="648"/>
      <c r="AA37" s="648"/>
      <c r="AB37" s="648"/>
      <c r="AC37" s="648"/>
      <c r="AD37" s="649"/>
      <c r="AG37" s="94"/>
      <c r="AH37" s="94"/>
      <c r="AI37" s="94"/>
      <c r="AJ37" s="94"/>
      <c r="AK37" s="94"/>
      <c r="AL37" s="94"/>
      <c r="AM37" s="94"/>
      <c r="AN37" s="94"/>
      <c r="AO37" s="94"/>
    </row>
    <row r="38" spans="1:41" ht="45" customHeight="1" x14ac:dyDescent="0.25">
      <c r="A38" s="635" t="s">
        <v>110</v>
      </c>
      <c r="B38" s="584">
        <v>0.05</v>
      </c>
      <c r="C38" s="224" t="s">
        <v>68</v>
      </c>
      <c r="D38" s="285">
        <v>0</v>
      </c>
      <c r="E38" s="285">
        <v>0.25</v>
      </c>
      <c r="F38" s="95">
        <v>0</v>
      </c>
      <c r="G38" s="95">
        <v>0</v>
      </c>
      <c r="H38" s="95">
        <v>0.25</v>
      </c>
      <c r="I38" s="95">
        <v>0</v>
      </c>
      <c r="J38" s="95">
        <v>0</v>
      </c>
      <c r="K38" s="95">
        <v>0.25</v>
      </c>
      <c r="L38" s="95">
        <v>0</v>
      </c>
      <c r="M38" s="95">
        <v>0</v>
      </c>
      <c r="N38" s="95">
        <v>0.25</v>
      </c>
      <c r="O38" s="95">
        <v>0</v>
      </c>
      <c r="P38" s="96">
        <f t="shared" ref="P38:P43" si="0">SUM(D38:O38)</f>
        <v>1</v>
      </c>
      <c r="Q38" s="637" t="s">
        <v>111</v>
      </c>
      <c r="R38" s="638"/>
      <c r="S38" s="638"/>
      <c r="T38" s="638"/>
      <c r="U38" s="638"/>
      <c r="V38" s="638"/>
      <c r="W38" s="638"/>
      <c r="X38" s="638"/>
      <c r="Y38" s="638"/>
      <c r="Z38" s="638"/>
      <c r="AA38" s="638"/>
      <c r="AB38" s="638"/>
      <c r="AC38" s="638"/>
      <c r="AD38" s="639"/>
      <c r="AE38" s="298"/>
      <c r="AG38" s="98"/>
      <c r="AH38" s="98"/>
      <c r="AI38" s="98"/>
      <c r="AJ38" s="98"/>
      <c r="AK38" s="98"/>
      <c r="AL38" s="98"/>
      <c r="AM38" s="98"/>
      <c r="AN38" s="98"/>
      <c r="AO38" s="98"/>
    </row>
    <row r="39" spans="1:41" ht="45" customHeight="1" x14ac:dyDescent="0.25">
      <c r="A39" s="636"/>
      <c r="B39" s="602"/>
      <c r="C39" s="225" t="s">
        <v>72</v>
      </c>
      <c r="D39" s="283">
        <v>0</v>
      </c>
      <c r="E39" s="283">
        <v>0.25</v>
      </c>
      <c r="F39" s="100">
        <v>0</v>
      </c>
      <c r="G39" s="100">
        <v>0</v>
      </c>
      <c r="H39" s="100">
        <v>0.23</v>
      </c>
      <c r="I39" s="100">
        <v>0.02</v>
      </c>
      <c r="J39" s="100"/>
      <c r="K39" s="100"/>
      <c r="L39" s="100"/>
      <c r="M39" s="100"/>
      <c r="N39" s="100"/>
      <c r="O39" s="100"/>
      <c r="P39" s="101">
        <f t="shared" si="0"/>
        <v>0.5</v>
      </c>
      <c r="Q39" s="640"/>
      <c r="R39" s="641"/>
      <c r="S39" s="641"/>
      <c r="T39" s="641"/>
      <c r="U39" s="641"/>
      <c r="V39" s="641"/>
      <c r="W39" s="641"/>
      <c r="X39" s="641"/>
      <c r="Y39" s="641"/>
      <c r="Z39" s="641"/>
      <c r="AA39" s="641"/>
      <c r="AB39" s="641"/>
      <c r="AC39" s="641"/>
      <c r="AD39" s="642"/>
      <c r="AE39" s="298"/>
    </row>
    <row r="40" spans="1:41" ht="67.5" customHeight="1" x14ac:dyDescent="0.25">
      <c r="A40" s="635" t="s">
        <v>112</v>
      </c>
      <c r="B40" s="584">
        <v>0.05</v>
      </c>
      <c r="C40" s="226" t="s">
        <v>68</v>
      </c>
      <c r="D40" s="286">
        <v>0</v>
      </c>
      <c r="E40" s="286">
        <v>0.17</v>
      </c>
      <c r="F40" s="103">
        <v>0</v>
      </c>
      <c r="G40" s="103">
        <v>0.16600000000000001</v>
      </c>
      <c r="H40" s="103">
        <v>0</v>
      </c>
      <c r="I40" s="103">
        <v>0.16600000000000001</v>
      </c>
      <c r="J40" s="103">
        <v>0</v>
      </c>
      <c r="K40" s="103">
        <v>0.16600000000000001</v>
      </c>
      <c r="L40" s="103">
        <v>0</v>
      </c>
      <c r="M40" s="103">
        <v>0.16600000000000001</v>
      </c>
      <c r="N40" s="103">
        <v>0</v>
      </c>
      <c r="O40" s="103">
        <v>0.16600000000000001</v>
      </c>
      <c r="P40" s="101">
        <f t="shared" si="0"/>
        <v>1</v>
      </c>
      <c r="Q40" s="637" t="s">
        <v>569</v>
      </c>
      <c r="R40" s="638"/>
      <c r="S40" s="638"/>
      <c r="T40" s="638"/>
      <c r="U40" s="638"/>
      <c r="V40" s="638"/>
      <c r="W40" s="638"/>
      <c r="X40" s="638"/>
      <c r="Y40" s="638"/>
      <c r="Z40" s="638"/>
      <c r="AA40" s="638"/>
      <c r="AB40" s="638"/>
      <c r="AC40" s="638"/>
      <c r="AD40" s="639"/>
      <c r="AE40" s="97"/>
    </row>
    <row r="41" spans="1:41" ht="45" customHeight="1" x14ac:dyDescent="0.25">
      <c r="A41" s="636"/>
      <c r="B41" s="602"/>
      <c r="C41" s="225" t="s">
        <v>72</v>
      </c>
      <c r="D41" s="283">
        <v>0</v>
      </c>
      <c r="E41" s="283">
        <v>0.17</v>
      </c>
      <c r="F41" s="296">
        <v>0.17</v>
      </c>
      <c r="G41" s="296">
        <v>0.16600000000000001</v>
      </c>
      <c r="H41" s="296">
        <v>0.1</v>
      </c>
      <c r="I41" s="296">
        <v>7.0000000000000007E-2</v>
      </c>
      <c r="J41" s="100"/>
      <c r="K41" s="100"/>
      <c r="L41" s="104"/>
      <c r="M41" s="104"/>
      <c r="N41" s="104"/>
      <c r="O41" s="104"/>
      <c r="P41" s="101">
        <f t="shared" si="0"/>
        <v>0.67599999999999993</v>
      </c>
      <c r="Q41" s="640"/>
      <c r="R41" s="641"/>
      <c r="S41" s="641"/>
      <c r="T41" s="641"/>
      <c r="U41" s="641"/>
      <c r="V41" s="641"/>
      <c r="W41" s="641"/>
      <c r="X41" s="641"/>
      <c r="Y41" s="641"/>
      <c r="Z41" s="641"/>
      <c r="AA41" s="641"/>
      <c r="AB41" s="641"/>
      <c r="AC41" s="641"/>
      <c r="AD41" s="642"/>
      <c r="AE41" s="97"/>
    </row>
    <row r="42" spans="1:41" ht="67.5" customHeight="1" x14ac:dyDescent="0.25">
      <c r="A42" s="627" t="s">
        <v>113</v>
      </c>
      <c r="B42" s="601">
        <v>0.05</v>
      </c>
      <c r="C42" s="102" t="s">
        <v>68</v>
      </c>
      <c r="D42" s="286">
        <v>0</v>
      </c>
      <c r="E42" s="286">
        <v>0</v>
      </c>
      <c r="F42" s="103">
        <v>0.5</v>
      </c>
      <c r="G42" s="103">
        <v>0</v>
      </c>
      <c r="H42" s="103">
        <v>0</v>
      </c>
      <c r="I42" s="103">
        <v>0</v>
      </c>
      <c r="J42" s="103">
        <v>0</v>
      </c>
      <c r="K42" s="103">
        <v>0</v>
      </c>
      <c r="L42" s="103">
        <v>0.5</v>
      </c>
      <c r="M42" s="103">
        <v>0</v>
      </c>
      <c r="N42" s="103">
        <v>0</v>
      </c>
      <c r="O42" s="103">
        <v>0</v>
      </c>
      <c r="P42" s="101">
        <f t="shared" si="0"/>
        <v>1</v>
      </c>
      <c r="Q42" s="629" t="s">
        <v>114</v>
      </c>
      <c r="R42" s="630"/>
      <c r="S42" s="630"/>
      <c r="T42" s="630"/>
      <c r="U42" s="630"/>
      <c r="V42" s="630"/>
      <c r="W42" s="630"/>
      <c r="X42" s="630"/>
      <c r="Y42" s="630"/>
      <c r="Z42" s="630"/>
      <c r="AA42" s="630"/>
      <c r="AB42" s="630"/>
      <c r="AC42" s="630"/>
      <c r="AD42" s="631"/>
      <c r="AE42" s="97"/>
    </row>
    <row r="43" spans="1:41" ht="45" customHeight="1" thickBot="1" x14ac:dyDescent="0.3">
      <c r="A43" s="628"/>
      <c r="B43" s="585"/>
      <c r="C43" s="91" t="s">
        <v>72</v>
      </c>
      <c r="D43" s="284">
        <v>0</v>
      </c>
      <c r="E43" s="284">
        <v>0.1</v>
      </c>
      <c r="F43" s="105">
        <v>0.4</v>
      </c>
      <c r="G43" s="105">
        <v>0</v>
      </c>
      <c r="H43" s="105">
        <v>0.25</v>
      </c>
      <c r="I43" s="105">
        <v>0.02</v>
      </c>
      <c r="J43" s="105"/>
      <c r="K43" s="105"/>
      <c r="L43" s="106"/>
      <c r="M43" s="106"/>
      <c r="N43" s="106"/>
      <c r="O43" s="106"/>
      <c r="P43" s="107">
        <f t="shared" si="0"/>
        <v>0.77</v>
      </c>
      <c r="Q43" s="632"/>
      <c r="R43" s="633"/>
      <c r="S43" s="633"/>
      <c r="T43" s="633"/>
      <c r="U43" s="633"/>
      <c r="V43" s="633"/>
      <c r="W43" s="633"/>
      <c r="X43" s="633"/>
      <c r="Y43" s="633"/>
      <c r="Z43" s="633"/>
      <c r="AA43" s="633"/>
      <c r="AB43" s="633"/>
      <c r="AC43" s="633"/>
      <c r="AD43" s="634"/>
      <c r="AE43" s="97"/>
    </row>
    <row r="44" spans="1:41" x14ac:dyDescent="0.25">
      <c r="A44" s="50" t="s">
        <v>95</v>
      </c>
    </row>
  </sheetData>
  <mergeCells count="80">
    <mergeCell ref="A1:A4"/>
    <mergeCell ref="B1:AA1"/>
    <mergeCell ref="O7:P7"/>
    <mergeCell ref="M8:N8"/>
    <mergeCell ref="O8:P8"/>
    <mergeCell ref="AB1:AD1"/>
    <mergeCell ref="B2:AA2"/>
    <mergeCell ref="AB2:AD2"/>
    <mergeCell ref="B3:AA4"/>
    <mergeCell ref="AB3:AD3"/>
    <mergeCell ref="AB4:AD4"/>
    <mergeCell ref="A11:B13"/>
    <mergeCell ref="C11:AD13"/>
    <mergeCell ref="A7:B9"/>
    <mergeCell ref="C7:C9"/>
    <mergeCell ref="D7:H9"/>
    <mergeCell ref="I7:J9"/>
    <mergeCell ref="K7:L9"/>
    <mergeCell ref="M7:N7"/>
    <mergeCell ref="M9:N9"/>
    <mergeCell ref="O9:P9"/>
    <mergeCell ref="AA15:AD15"/>
    <mergeCell ref="C16:AB16"/>
    <mergeCell ref="A17:B17"/>
    <mergeCell ref="C17:Q17"/>
    <mergeCell ref="R17:V17"/>
    <mergeCell ref="W17:X17"/>
    <mergeCell ref="Y17:AB17"/>
    <mergeCell ref="AC17:AD17"/>
    <mergeCell ref="A15:B15"/>
    <mergeCell ref="C15:K15"/>
    <mergeCell ref="L15:Q15"/>
    <mergeCell ref="R15:X15"/>
    <mergeCell ref="Y15:Z15"/>
    <mergeCell ref="A19:AD19"/>
    <mergeCell ref="C20:P20"/>
    <mergeCell ref="Q20:AD20"/>
    <mergeCell ref="A22:B22"/>
    <mergeCell ref="A23:B23"/>
    <mergeCell ref="A24:B24"/>
    <mergeCell ref="A25:B25"/>
    <mergeCell ref="A27:AD27"/>
    <mergeCell ref="A28:A29"/>
    <mergeCell ref="B28:C29"/>
    <mergeCell ref="D28:O28"/>
    <mergeCell ref="P28:P29"/>
    <mergeCell ref="Q28:AD29"/>
    <mergeCell ref="B30:C30"/>
    <mergeCell ref="Q30:AD30"/>
    <mergeCell ref="A31:AD31"/>
    <mergeCell ref="A32:A33"/>
    <mergeCell ref="B32:B33"/>
    <mergeCell ref="C32:C33"/>
    <mergeCell ref="D32:P32"/>
    <mergeCell ref="Q32:AD32"/>
    <mergeCell ref="Q33:S33"/>
    <mergeCell ref="T33:V33"/>
    <mergeCell ref="W33:Z33"/>
    <mergeCell ref="AA33:AD33"/>
    <mergeCell ref="A34:A35"/>
    <mergeCell ref="B34:B35"/>
    <mergeCell ref="Q34:S35"/>
    <mergeCell ref="T34:V35"/>
    <mergeCell ref="W34:Z35"/>
    <mergeCell ref="AF22:AM25"/>
    <mergeCell ref="A42:A43"/>
    <mergeCell ref="B42:B43"/>
    <mergeCell ref="Q42:AD43"/>
    <mergeCell ref="A38:A39"/>
    <mergeCell ref="B38:B39"/>
    <mergeCell ref="Q38:AD39"/>
    <mergeCell ref="A40:A41"/>
    <mergeCell ref="B40:B41"/>
    <mergeCell ref="Q40:AD41"/>
    <mergeCell ref="AA34:AD35"/>
    <mergeCell ref="A36:A37"/>
    <mergeCell ref="B36:B37"/>
    <mergeCell ref="C36:P36"/>
    <mergeCell ref="Q36:AD36"/>
    <mergeCell ref="Q37:AD37"/>
  </mergeCells>
  <dataValidations count="3">
    <dataValidation type="list" allowBlank="1" showInputMessage="1" showErrorMessage="1" sqref="C7:C9" xr:uid="{9FE6E30C-ED7B-42B8-9790-219D8B2A6708}">
      <formula1>$C$21:$N$21</formula1>
    </dataValidation>
    <dataValidation type="textLength" operator="lessThanOrEqual" allowBlank="1" showInputMessage="1" showErrorMessage="1" errorTitle="Máximo 2.000 caracteres" error="Máximo 2.000 caracteres" promptTitle="2.000 caracteres" sqref="Q30:AD30" xr:uid="{00000000-0002-0000-0100-000001000000}">
      <formula1>2000</formula1>
    </dataValidation>
    <dataValidation type="textLength" operator="lessThanOrEqual" allowBlank="1" showInputMessage="1" showErrorMessage="1" errorTitle="Máximo 2.000 caracteres" error="Máximo 2.000 caracteres" sqref="Q38:AD43 Q34 W34 AA34" xr:uid="{00000000-0002-0000-0100-000002000000}">
      <formula1>2000</formula1>
    </dataValidation>
  </dataValidations>
  <pageMargins left="0.25" right="0.25" top="0.75" bottom="0.75" header="0.3" footer="0.3"/>
  <pageSetup scale="20" orientation="landscape"/>
  <customProperties>
    <customPr name="_pios_id" r:id="rId1"/>
  </customProperties>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7" tint="0.39997558519241921"/>
    <pageSetUpPr fitToPage="1"/>
  </sheetPr>
  <dimension ref="A1:BA98"/>
  <sheetViews>
    <sheetView showGridLines="0" topLeftCell="P33" zoomScale="60" zoomScaleNormal="60" workbookViewId="0">
      <selection activeCell="Q33" sqref="Q33:S33"/>
    </sheetView>
  </sheetViews>
  <sheetFormatPr baseColWidth="10" defaultColWidth="10.85546875" defaultRowHeight="15" x14ac:dyDescent="0.25"/>
  <cols>
    <col min="1" max="1" width="38.42578125" style="50" customWidth="1"/>
    <col min="2" max="2" width="15.42578125" style="50" customWidth="1"/>
    <col min="3" max="14" width="20.7109375" style="50" customWidth="1"/>
    <col min="15" max="15" width="21.42578125" style="50" customWidth="1"/>
    <col min="16" max="16" width="18.140625" style="50" customWidth="1"/>
    <col min="17" max="17" width="20.28515625" style="50" customWidth="1"/>
    <col min="18" max="27" width="18.140625" style="50" customWidth="1"/>
    <col min="28" max="28" width="22.7109375" style="50" customWidth="1"/>
    <col min="29" max="29" width="19" style="50" customWidth="1"/>
    <col min="30" max="30" width="19.42578125" style="50" customWidth="1"/>
    <col min="31" max="31" width="6.28515625" style="50" bestFit="1" customWidth="1"/>
    <col min="32" max="32" width="22.85546875" style="50" customWidth="1"/>
    <col min="33" max="33" width="18.42578125" style="50" bestFit="1" customWidth="1"/>
    <col min="34" max="34" width="8.42578125" style="50" customWidth="1"/>
    <col min="35" max="35" width="18.42578125" style="50" bestFit="1" customWidth="1"/>
    <col min="36" max="36" width="5.7109375" style="50" customWidth="1"/>
    <col min="37" max="37" width="18.42578125" style="50" bestFit="1" customWidth="1"/>
    <col min="38" max="38" width="4.7109375" style="50" customWidth="1"/>
    <col min="39" max="39" width="23" style="50" bestFit="1" customWidth="1"/>
    <col min="40" max="40" width="10.85546875" style="50"/>
    <col min="41" max="41" width="18.42578125" style="50" bestFit="1" customWidth="1"/>
    <col min="42" max="42" width="16.140625" style="50" customWidth="1"/>
    <col min="43" max="16384" width="10.85546875" style="50"/>
  </cols>
  <sheetData>
    <row r="1" spans="1:53" ht="32.25" customHeight="1" thickBot="1" x14ac:dyDescent="0.3">
      <c r="A1" s="443"/>
      <c r="B1" s="446" t="s">
        <v>0</v>
      </c>
      <c r="C1" s="447"/>
      <c r="D1" s="447"/>
      <c r="E1" s="447"/>
      <c r="F1" s="447"/>
      <c r="G1" s="447"/>
      <c r="H1" s="447"/>
      <c r="I1" s="447"/>
      <c r="J1" s="447"/>
      <c r="K1" s="447"/>
      <c r="L1" s="447"/>
      <c r="M1" s="447"/>
      <c r="N1" s="447"/>
      <c r="O1" s="447"/>
      <c r="P1" s="447"/>
      <c r="Q1" s="447"/>
      <c r="R1" s="447"/>
      <c r="S1" s="447"/>
      <c r="T1" s="447"/>
      <c r="U1" s="447"/>
      <c r="V1" s="447"/>
      <c r="W1" s="447"/>
      <c r="X1" s="447"/>
      <c r="Y1" s="447"/>
      <c r="Z1" s="447"/>
      <c r="AA1" s="448"/>
      <c r="AB1" s="449" t="s">
        <v>1</v>
      </c>
      <c r="AC1" s="450"/>
      <c r="AD1" s="451"/>
    </row>
    <row r="2" spans="1:53" ht="30.75" customHeight="1" thickBot="1" x14ac:dyDescent="0.3">
      <c r="A2" s="444"/>
      <c r="B2" s="446" t="s">
        <v>97</v>
      </c>
      <c r="C2" s="447"/>
      <c r="D2" s="447"/>
      <c r="E2" s="447"/>
      <c r="F2" s="447"/>
      <c r="G2" s="447"/>
      <c r="H2" s="447"/>
      <c r="I2" s="447"/>
      <c r="J2" s="447"/>
      <c r="K2" s="447"/>
      <c r="L2" s="447"/>
      <c r="M2" s="447"/>
      <c r="N2" s="447"/>
      <c r="O2" s="447"/>
      <c r="P2" s="447"/>
      <c r="Q2" s="447"/>
      <c r="R2" s="447"/>
      <c r="S2" s="447"/>
      <c r="T2" s="447"/>
      <c r="U2" s="447"/>
      <c r="V2" s="447"/>
      <c r="W2" s="447"/>
      <c r="X2" s="447"/>
      <c r="Y2" s="447"/>
      <c r="Z2" s="447"/>
      <c r="AA2" s="448"/>
      <c r="AB2" s="470" t="s">
        <v>3</v>
      </c>
      <c r="AC2" s="471"/>
      <c r="AD2" s="472"/>
    </row>
    <row r="3" spans="1:53" ht="24" customHeight="1" x14ac:dyDescent="0.25">
      <c r="A3" s="444"/>
      <c r="B3" s="473" t="s">
        <v>4</v>
      </c>
      <c r="C3" s="474"/>
      <c r="D3" s="474"/>
      <c r="E3" s="474"/>
      <c r="F3" s="474"/>
      <c r="G3" s="474"/>
      <c r="H3" s="474"/>
      <c r="I3" s="474"/>
      <c r="J3" s="474"/>
      <c r="K3" s="474"/>
      <c r="L3" s="474"/>
      <c r="M3" s="474"/>
      <c r="N3" s="474"/>
      <c r="O3" s="474"/>
      <c r="P3" s="474"/>
      <c r="Q3" s="474"/>
      <c r="R3" s="474"/>
      <c r="S3" s="474"/>
      <c r="T3" s="474"/>
      <c r="U3" s="474"/>
      <c r="V3" s="474"/>
      <c r="W3" s="474"/>
      <c r="X3" s="474"/>
      <c r="Y3" s="474"/>
      <c r="Z3" s="474"/>
      <c r="AA3" s="475"/>
      <c r="AB3" s="470" t="s">
        <v>5</v>
      </c>
      <c r="AC3" s="471"/>
      <c r="AD3" s="472"/>
    </row>
    <row r="4" spans="1:53" ht="21.95" customHeight="1" thickBot="1" x14ac:dyDescent="0.3">
      <c r="A4" s="445"/>
      <c r="B4" s="476"/>
      <c r="C4" s="477"/>
      <c r="D4" s="477"/>
      <c r="E4" s="477"/>
      <c r="F4" s="477"/>
      <c r="G4" s="477"/>
      <c r="H4" s="477"/>
      <c r="I4" s="477"/>
      <c r="J4" s="477"/>
      <c r="K4" s="477"/>
      <c r="L4" s="477"/>
      <c r="M4" s="477"/>
      <c r="N4" s="477"/>
      <c r="O4" s="477"/>
      <c r="P4" s="477"/>
      <c r="Q4" s="477"/>
      <c r="R4" s="477"/>
      <c r="S4" s="477"/>
      <c r="T4" s="477"/>
      <c r="U4" s="477"/>
      <c r="V4" s="477"/>
      <c r="W4" s="477"/>
      <c r="X4" s="477"/>
      <c r="Y4" s="477"/>
      <c r="Z4" s="477"/>
      <c r="AA4" s="478"/>
      <c r="AB4" s="479" t="s">
        <v>6</v>
      </c>
      <c r="AC4" s="480"/>
      <c r="AD4" s="481"/>
    </row>
    <row r="5" spans="1:53" ht="9" customHeight="1" thickBot="1" x14ac:dyDescent="0.3">
      <c r="A5" s="51"/>
      <c r="B5" s="202"/>
      <c r="C5" s="203"/>
      <c r="D5" s="54"/>
      <c r="E5" s="54"/>
      <c r="F5" s="54"/>
      <c r="G5" s="54"/>
      <c r="H5" s="54"/>
      <c r="I5" s="54"/>
      <c r="J5" s="54"/>
      <c r="K5" s="54"/>
      <c r="L5" s="54"/>
      <c r="M5" s="54"/>
      <c r="N5" s="54"/>
      <c r="O5" s="54"/>
      <c r="P5" s="54"/>
      <c r="Q5" s="54"/>
      <c r="R5" s="54"/>
      <c r="S5" s="54"/>
      <c r="T5" s="54"/>
      <c r="U5" s="54"/>
      <c r="V5" s="54"/>
      <c r="W5" s="54"/>
      <c r="X5" s="54"/>
      <c r="Y5" s="54"/>
      <c r="Z5" s="55"/>
      <c r="AA5" s="54"/>
      <c r="AB5" s="56"/>
      <c r="AC5" s="57"/>
      <c r="AD5" s="58"/>
    </row>
    <row r="6" spans="1:53" ht="9" customHeight="1" x14ac:dyDescent="0.25">
      <c r="A6" s="59"/>
      <c r="B6" s="54"/>
      <c r="C6" s="54"/>
      <c r="D6" s="54"/>
      <c r="E6" s="54"/>
      <c r="F6" s="54"/>
      <c r="G6" s="54"/>
      <c r="H6" s="54"/>
      <c r="I6" s="54"/>
      <c r="J6" s="54"/>
      <c r="K6" s="54"/>
      <c r="L6" s="54"/>
      <c r="M6" s="54"/>
      <c r="N6" s="54"/>
      <c r="O6" s="54"/>
      <c r="P6" s="54"/>
      <c r="Q6" s="54"/>
      <c r="R6" s="54"/>
      <c r="S6" s="54"/>
      <c r="T6" s="54"/>
      <c r="U6" s="54"/>
      <c r="V6" s="54"/>
      <c r="W6" s="54"/>
      <c r="X6" s="54"/>
      <c r="Y6" s="54"/>
      <c r="Z6" s="55"/>
      <c r="AA6" s="54"/>
      <c r="AB6" s="54"/>
      <c r="AC6" s="60"/>
      <c r="AD6" s="61"/>
    </row>
    <row r="7" spans="1:53" ht="15" customHeight="1" x14ac:dyDescent="0.25">
      <c r="A7" s="464" t="s">
        <v>7</v>
      </c>
      <c r="B7" s="465"/>
      <c r="C7" s="500" t="s">
        <v>8</v>
      </c>
      <c r="D7" s="464" t="s">
        <v>9</v>
      </c>
      <c r="E7" s="482"/>
      <c r="F7" s="482"/>
      <c r="G7" s="482"/>
      <c r="H7" s="465"/>
      <c r="I7" s="485">
        <v>45113</v>
      </c>
      <c r="J7" s="486"/>
      <c r="K7" s="464" t="s">
        <v>10</v>
      </c>
      <c r="L7" s="465"/>
      <c r="M7" s="456" t="s">
        <v>98</v>
      </c>
      <c r="N7" s="457"/>
      <c r="O7" s="458"/>
      <c r="P7" s="459"/>
      <c r="Q7" s="54"/>
      <c r="R7" s="54"/>
      <c r="S7" s="54"/>
      <c r="T7" s="54"/>
      <c r="U7" s="54"/>
      <c r="V7" s="54"/>
      <c r="W7" s="54"/>
      <c r="X7" s="54"/>
      <c r="Y7" s="54"/>
      <c r="Z7" s="55"/>
      <c r="AA7" s="54"/>
      <c r="AB7" s="54"/>
      <c r="AC7" s="60"/>
      <c r="AD7" s="61"/>
    </row>
    <row r="8" spans="1:53" ht="15" customHeight="1" x14ac:dyDescent="0.25">
      <c r="A8" s="466"/>
      <c r="B8" s="467"/>
      <c r="C8" s="501"/>
      <c r="D8" s="466"/>
      <c r="E8" s="483"/>
      <c r="F8" s="483"/>
      <c r="G8" s="483"/>
      <c r="H8" s="467"/>
      <c r="I8" s="487"/>
      <c r="J8" s="488"/>
      <c r="K8" s="466"/>
      <c r="L8" s="467"/>
      <c r="M8" s="460" t="s">
        <v>99</v>
      </c>
      <c r="N8" s="461"/>
      <c r="O8" s="462" t="s">
        <v>14</v>
      </c>
      <c r="P8" s="463"/>
      <c r="Q8" s="54"/>
      <c r="R8" s="54"/>
      <c r="S8" s="54"/>
      <c r="T8" s="54"/>
      <c r="U8" s="54"/>
      <c r="V8" s="54"/>
      <c r="W8" s="54"/>
      <c r="X8" s="54"/>
      <c r="Y8" s="54"/>
      <c r="Z8" s="55"/>
      <c r="AA8" s="54"/>
      <c r="AB8" s="54"/>
      <c r="AC8" s="60"/>
      <c r="AD8" s="61"/>
    </row>
    <row r="9" spans="1:53" ht="15.75" customHeight="1" thickBot="1" x14ac:dyDescent="0.3">
      <c r="A9" s="468"/>
      <c r="B9" s="469"/>
      <c r="C9" s="502"/>
      <c r="D9" s="468"/>
      <c r="E9" s="484"/>
      <c r="F9" s="484"/>
      <c r="G9" s="484"/>
      <c r="H9" s="469"/>
      <c r="I9" s="489"/>
      <c r="J9" s="490"/>
      <c r="K9" s="468"/>
      <c r="L9" s="469"/>
      <c r="M9" s="452" t="s">
        <v>13</v>
      </c>
      <c r="N9" s="453"/>
      <c r="O9" s="454" t="s">
        <v>14</v>
      </c>
      <c r="P9" s="455"/>
      <c r="Q9" s="54"/>
      <c r="R9" s="54"/>
      <c r="S9" s="54"/>
      <c r="T9" s="54"/>
      <c r="U9" s="54"/>
      <c r="V9" s="54"/>
      <c r="W9" s="54"/>
      <c r="X9" s="54"/>
      <c r="Y9" s="54"/>
      <c r="Z9" s="55"/>
      <c r="AA9" s="54"/>
      <c r="AB9" s="54"/>
      <c r="AC9" s="60"/>
      <c r="AD9" s="61"/>
    </row>
    <row r="10" spans="1:53" ht="15" customHeight="1" x14ac:dyDescent="0.25">
      <c r="A10" s="169"/>
      <c r="B10" s="170"/>
      <c r="C10" s="170"/>
      <c r="D10" s="65"/>
      <c r="E10" s="65"/>
      <c r="F10" s="65"/>
      <c r="G10" s="65"/>
      <c r="H10" s="65"/>
      <c r="I10" s="166"/>
      <c r="J10" s="166"/>
      <c r="K10" s="65"/>
      <c r="L10" s="65"/>
      <c r="M10" s="167"/>
      <c r="N10" s="167"/>
      <c r="O10" s="168"/>
      <c r="P10" s="168"/>
      <c r="Q10" s="170"/>
      <c r="R10" s="170"/>
      <c r="S10" s="170"/>
      <c r="T10" s="170"/>
      <c r="U10" s="170"/>
      <c r="V10" s="170"/>
      <c r="W10" s="170"/>
      <c r="X10" s="170"/>
      <c r="Y10" s="170"/>
      <c r="Z10" s="171"/>
      <c r="AA10" s="170"/>
      <c r="AB10" s="170"/>
      <c r="AC10" s="172"/>
      <c r="AD10" s="173"/>
    </row>
    <row r="11" spans="1:53" ht="15" customHeight="1" x14ac:dyDescent="0.25">
      <c r="A11" s="464" t="s">
        <v>15</v>
      </c>
      <c r="B11" s="465"/>
      <c r="C11" s="491" t="s">
        <v>16</v>
      </c>
      <c r="D11" s="492"/>
      <c r="E11" s="492"/>
      <c r="F11" s="492"/>
      <c r="G11" s="492"/>
      <c r="H11" s="492"/>
      <c r="I11" s="492"/>
      <c r="J11" s="492"/>
      <c r="K11" s="492"/>
      <c r="L11" s="492"/>
      <c r="M11" s="492"/>
      <c r="N11" s="492"/>
      <c r="O11" s="492"/>
      <c r="P11" s="492"/>
      <c r="Q11" s="492"/>
      <c r="R11" s="492"/>
      <c r="S11" s="492"/>
      <c r="T11" s="492"/>
      <c r="U11" s="492"/>
      <c r="V11" s="492"/>
      <c r="W11" s="492"/>
      <c r="X11" s="492"/>
      <c r="Y11" s="492"/>
      <c r="Z11" s="492"/>
      <c r="AA11" s="492"/>
      <c r="AB11" s="492"/>
      <c r="AC11" s="492"/>
      <c r="AD11" s="493"/>
      <c r="BA11" s="327"/>
    </row>
    <row r="12" spans="1:53" ht="15" customHeight="1" x14ac:dyDescent="0.25">
      <c r="A12" s="466"/>
      <c r="B12" s="467"/>
      <c r="C12" s="494"/>
      <c r="D12" s="495"/>
      <c r="E12" s="495"/>
      <c r="F12" s="495"/>
      <c r="G12" s="495"/>
      <c r="H12" s="495"/>
      <c r="I12" s="495"/>
      <c r="J12" s="495"/>
      <c r="K12" s="495"/>
      <c r="L12" s="495"/>
      <c r="M12" s="495"/>
      <c r="N12" s="495"/>
      <c r="O12" s="495"/>
      <c r="P12" s="495"/>
      <c r="Q12" s="495"/>
      <c r="R12" s="495"/>
      <c r="S12" s="495"/>
      <c r="T12" s="495"/>
      <c r="U12" s="495"/>
      <c r="V12" s="495"/>
      <c r="W12" s="495"/>
      <c r="X12" s="495"/>
      <c r="Y12" s="495"/>
      <c r="Z12" s="495"/>
      <c r="AA12" s="495"/>
      <c r="AB12" s="495"/>
      <c r="AC12" s="495"/>
      <c r="AD12" s="496"/>
      <c r="BA12" s="327"/>
    </row>
    <row r="13" spans="1:53" ht="15" customHeight="1" thickBot="1" x14ac:dyDescent="0.3">
      <c r="A13" s="468"/>
      <c r="B13" s="469"/>
      <c r="C13" s="497"/>
      <c r="D13" s="498"/>
      <c r="E13" s="498"/>
      <c r="F13" s="498"/>
      <c r="G13" s="498"/>
      <c r="H13" s="498"/>
      <c r="I13" s="498"/>
      <c r="J13" s="498"/>
      <c r="K13" s="498"/>
      <c r="L13" s="498"/>
      <c r="M13" s="498"/>
      <c r="N13" s="498"/>
      <c r="O13" s="498"/>
      <c r="P13" s="498"/>
      <c r="Q13" s="498"/>
      <c r="R13" s="498"/>
      <c r="S13" s="498"/>
      <c r="T13" s="498"/>
      <c r="U13" s="498"/>
      <c r="V13" s="498"/>
      <c r="W13" s="498"/>
      <c r="X13" s="498"/>
      <c r="Y13" s="498"/>
      <c r="Z13" s="498"/>
      <c r="AA13" s="498"/>
      <c r="AB13" s="498"/>
      <c r="AC13" s="498"/>
      <c r="AD13" s="499"/>
      <c r="BA13" s="327"/>
    </row>
    <row r="14" spans="1:53" ht="9" customHeight="1" thickBot="1" x14ac:dyDescent="0.3">
      <c r="A14" s="67"/>
      <c r="B14" s="68"/>
      <c r="C14" s="69"/>
      <c r="D14" s="69"/>
      <c r="E14" s="69"/>
      <c r="F14" s="69"/>
      <c r="G14" s="69"/>
      <c r="H14" s="69"/>
      <c r="I14" s="69"/>
      <c r="J14" s="69"/>
      <c r="K14" s="69"/>
      <c r="L14" s="69"/>
      <c r="M14" s="70"/>
      <c r="N14" s="70"/>
      <c r="O14" s="70"/>
      <c r="P14" s="70"/>
      <c r="Q14" s="70"/>
      <c r="R14" s="71"/>
      <c r="S14" s="71"/>
      <c r="T14" s="71"/>
      <c r="U14" s="71"/>
      <c r="V14" s="71"/>
      <c r="W14" s="71"/>
      <c r="X14" s="71"/>
      <c r="Y14" s="65"/>
      <c r="Z14" s="65"/>
      <c r="AA14" s="65"/>
      <c r="AB14" s="65"/>
      <c r="AC14" s="65"/>
      <c r="AD14" s="66"/>
      <c r="BA14" s="327"/>
    </row>
    <row r="15" spans="1:53" ht="39" customHeight="1" thickBot="1" x14ac:dyDescent="0.3">
      <c r="A15" s="528" t="s">
        <v>17</v>
      </c>
      <c r="B15" s="529"/>
      <c r="C15" s="538" t="s">
        <v>18</v>
      </c>
      <c r="D15" s="539"/>
      <c r="E15" s="539"/>
      <c r="F15" s="539"/>
      <c r="G15" s="539"/>
      <c r="H15" s="539"/>
      <c r="I15" s="539"/>
      <c r="J15" s="539"/>
      <c r="K15" s="540"/>
      <c r="L15" s="503" t="s">
        <v>19</v>
      </c>
      <c r="M15" s="504"/>
      <c r="N15" s="504"/>
      <c r="O15" s="504"/>
      <c r="P15" s="504"/>
      <c r="Q15" s="505"/>
      <c r="R15" s="533" t="s">
        <v>20</v>
      </c>
      <c r="S15" s="534"/>
      <c r="T15" s="534"/>
      <c r="U15" s="534"/>
      <c r="V15" s="534"/>
      <c r="W15" s="534"/>
      <c r="X15" s="535"/>
      <c r="Y15" s="503" t="s">
        <v>21</v>
      </c>
      <c r="Z15" s="505"/>
      <c r="AA15" s="524" t="s">
        <v>22</v>
      </c>
      <c r="AB15" s="525"/>
      <c r="AC15" s="525"/>
      <c r="AD15" s="526"/>
      <c r="BA15" s="327"/>
    </row>
    <row r="16" spans="1:53" ht="105" customHeight="1" thickBot="1" x14ac:dyDescent="0.3">
      <c r="A16" s="59"/>
      <c r="B16" s="54"/>
      <c r="C16" s="527"/>
      <c r="D16" s="527"/>
      <c r="E16" s="527"/>
      <c r="F16" s="527"/>
      <c r="G16" s="527"/>
      <c r="H16" s="527"/>
      <c r="I16" s="527"/>
      <c r="J16" s="527"/>
      <c r="K16" s="527"/>
      <c r="L16" s="527"/>
      <c r="M16" s="527"/>
      <c r="N16" s="527"/>
      <c r="O16" s="527"/>
      <c r="P16" s="527"/>
      <c r="Q16" s="527"/>
      <c r="R16" s="527"/>
      <c r="S16" s="527"/>
      <c r="T16" s="527"/>
      <c r="U16" s="527"/>
      <c r="V16" s="527"/>
      <c r="W16" s="527"/>
      <c r="X16" s="527"/>
      <c r="Y16" s="527"/>
      <c r="Z16" s="527"/>
      <c r="AA16" s="527"/>
      <c r="AB16" s="527"/>
      <c r="AC16" s="73"/>
      <c r="AD16" s="74"/>
      <c r="AX16" s="388" t="s">
        <v>23</v>
      </c>
      <c r="BA16" s="327"/>
    </row>
    <row r="17" spans="1:53" s="76" customFormat="1" ht="37.5" customHeight="1" thickBot="1" x14ac:dyDescent="0.3">
      <c r="A17" s="528" t="s">
        <v>24</v>
      </c>
      <c r="B17" s="529"/>
      <c r="C17" s="530" t="s">
        <v>115</v>
      </c>
      <c r="D17" s="531"/>
      <c r="E17" s="531"/>
      <c r="F17" s="531"/>
      <c r="G17" s="531"/>
      <c r="H17" s="531"/>
      <c r="I17" s="531"/>
      <c r="J17" s="531"/>
      <c r="K17" s="531"/>
      <c r="L17" s="531"/>
      <c r="M17" s="531"/>
      <c r="N17" s="531"/>
      <c r="O17" s="531"/>
      <c r="P17" s="531"/>
      <c r="Q17" s="532"/>
      <c r="R17" s="503" t="s">
        <v>26</v>
      </c>
      <c r="S17" s="504"/>
      <c r="T17" s="504"/>
      <c r="U17" s="504"/>
      <c r="V17" s="505"/>
      <c r="W17" s="691">
        <v>0.25</v>
      </c>
      <c r="X17" s="692"/>
      <c r="Y17" s="504" t="s">
        <v>27</v>
      </c>
      <c r="Z17" s="504"/>
      <c r="AA17" s="504"/>
      <c r="AB17" s="505"/>
      <c r="AC17" s="514">
        <v>0.15</v>
      </c>
      <c r="AD17" s="515"/>
      <c r="AX17" s="387"/>
      <c r="BA17" s="328"/>
    </row>
    <row r="18" spans="1:53" ht="16.5" customHeight="1" thickBot="1" x14ac:dyDescent="0.3">
      <c r="A18" s="77"/>
      <c r="B18" s="78"/>
      <c r="C18" s="78"/>
      <c r="D18" s="78"/>
      <c r="E18" s="78"/>
      <c r="F18" s="78"/>
      <c r="G18" s="78"/>
      <c r="H18" s="78"/>
      <c r="I18" s="78"/>
      <c r="J18" s="78"/>
      <c r="K18" s="78"/>
      <c r="L18" s="78"/>
      <c r="M18" s="78"/>
      <c r="N18" s="78"/>
      <c r="O18" s="78"/>
      <c r="P18" s="78"/>
      <c r="Q18" s="78"/>
      <c r="R18" s="78"/>
      <c r="S18" s="78"/>
      <c r="T18" s="78"/>
      <c r="U18" s="78"/>
      <c r="V18" s="78"/>
      <c r="W18" s="78"/>
      <c r="X18" s="78"/>
      <c r="Y18" s="78"/>
      <c r="Z18" s="78"/>
      <c r="AA18" s="78"/>
      <c r="AB18" s="78"/>
      <c r="AC18" s="78"/>
      <c r="AD18" s="79"/>
      <c r="BA18" s="327"/>
    </row>
    <row r="19" spans="1:53" ht="32.1" customHeight="1" thickBot="1" x14ac:dyDescent="0.3">
      <c r="A19" s="503" t="s">
        <v>28</v>
      </c>
      <c r="B19" s="504"/>
      <c r="C19" s="504"/>
      <c r="D19" s="504"/>
      <c r="E19" s="504"/>
      <c r="F19" s="504"/>
      <c r="G19" s="504"/>
      <c r="H19" s="504"/>
      <c r="I19" s="504"/>
      <c r="J19" s="504"/>
      <c r="K19" s="504"/>
      <c r="L19" s="504"/>
      <c r="M19" s="504"/>
      <c r="N19" s="504"/>
      <c r="O19" s="504"/>
      <c r="P19" s="504"/>
      <c r="Q19" s="504"/>
      <c r="R19" s="504"/>
      <c r="S19" s="504"/>
      <c r="T19" s="504"/>
      <c r="U19" s="504"/>
      <c r="V19" s="504"/>
      <c r="W19" s="504"/>
      <c r="X19" s="504"/>
      <c r="Y19" s="504"/>
      <c r="Z19" s="504"/>
      <c r="AA19" s="504"/>
      <c r="AB19" s="504"/>
      <c r="AC19" s="504"/>
      <c r="AD19" s="505"/>
      <c r="AE19" s="83"/>
      <c r="AF19" s="83"/>
      <c r="BA19" s="327"/>
    </row>
    <row r="20" spans="1:53" ht="32.1" customHeight="1" thickBot="1" x14ac:dyDescent="0.3">
      <c r="A20" s="82"/>
      <c r="B20" s="60"/>
      <c r="C20" s="509" t="s">
        <v>29</v>
      </c>
      <c r="D20" s="510"/>
      <c r="E20" s="510"/>
      <c r="F20" s="510"/>
      <c r="G20" s="510"/>
      <c r="H20" s="510"/>
      <c r="I20" s="510"/>
      <c r="J20" s="510"/>
      <c r="K20" s="510"/>
      <c r="L20" s="510"/>
      <c r="M20" s="510"/>
      <c r="N20" s="510"/>
      <c r="O20" s="510"/>
      <c r="P20" s="511"/>
      <c r="Q20" s="506" t="s">
        <v>30</v>
      </c>
      <c r="R20" s="507"/>
      <c r="S20" s="507"/>
      <c r="T20" s="507"/>
      <c r="U20" s="507"/>
      <c r="V20" s="507"/>
      <c r="W20" s="507"/>
      <c r="X20" s="507"/>
      <c r="Y20" s="507"/>
      <c r="Z20" s="507"/>
      <c r="AA20" s="507"/>
      <c r="AB20" s="507"/>
      <c r="AC20" s="507"/>
      <c r="AD20" s="508"/>
      <c r="AE20" s="83"/>
      <c r="AF20" s="83"/>
      <c r="BA20" s="327"/>
    </row>
    <row r="21" spans="1:53" ht="32.1" customHeight="1" thickBot="1" x14ac:dyDescent="0.3">
      <c r="A21" s="59"/>
      <c r="B21" s="54"/>
      <c r="C21" s="353" t="s">
        <v>31</v>
      </c>
      <c r="D21" s="352" t="s">
        <v>32</v>
      </c>
      <c r="E21" s="352" t="s">
        <v>33</v>
      </c>
      <c r="F21" s="352" t="s">
        <v>34</v>
      </c>
      <c r="G21" s="352" t="s">
        <v>35</v>
      </c>
      <c r="H21" s="352" t="s">
        <v>8</v>
      </c>
      <c r="I21" s="352" t="s">
        <v>36</v>
      </c>
      <c r="J21" s="352" t="s">
        <v>37</v>
      </c>
      <c r="K21" s="352" t="s">
        <v>38</v>
      </c>
      <c r="L21" s="352" t="s">
        <v>39</v>
      </c>
      <c r="M21" s="352" t="s">
        <v>40</v>
      </c>
      <c r="N21" s="352" t="s">
        <v>41</v>
      </c>
      <c r="O21" s="352" t="s">
        <v>42</v>
      </c>
      <c r="P21" s="354" t="s">
        <v>43</v>
      </c>
      <c r="Q21" s="353" t="s">
        <v>31</v>
      </c>
      <c r="R21" s="352" t="s">
        <v>32</v>
      </c>
      <c r="S21" s="352" t="s">
        <v>33</v>
      </c>
      <c r="T21" s="352" t="s">
        <v>34</v>
      </c>
      <c r="U21" s="352" t="s">
        <v>35</v>
      </c>
      <c r="V21" s="352" t="s">
        <v>8</v>
      </c>
      <c r="W21" s="352" t="s">
        <v>36</v>
      </c>
      <c r="X21" s="352" t="s">
        <v>37</v>
      </c>
      <c r="Y21" s="352" t="s">
        <v>38</v>
      </c>
      <c r="Z21" s="352" t="s">
        <v>39</v>
      </c>
      <c r="AA21" s="352" t="s">
        <v>40</v>
      </c>
      <c r="AB21" s="352" t="s">
        <v>41</v>
      </c>
      <c r="AC21" s="352" t="s">
        <v>42</v>
      </c>
      <c r="AD21" s="354" t="s">
        <v>43</v>
      </c>
      <c r="AE21" s="3"/>
      <c r="AF21" s="3"/>
      <c r="BA21" s="327"/>
    </row>
    <row r="22" spans="1:53" ht="32.1" customHeight="1" x14ac:dyDescent="0.25">
      <c r="A22" s="512" t="s">
        <v>101</v>
      </c>
      <c r="B22" s="513"/>
      <c r="C22" s="355"/>
      <c r="D22" s="356"/>
      <c r="E22" s="356"/>
      <c r="F22" s="356"/>
      <c r="G22" s="356"/>
      <c r="H22" s="356"/>
      <c r="I22" s="356"/>
      <c r="J22" s="356"/>
      <c r="K22" s="356"/>
      <c r="L22" s="356"/>
      <c r="M22" s="356"/>
      <c r="N22" s="356"/>
      <c r="O22" s="356">
        <f>SUM(C22:N22)</f>
        <v>0</v>
      </c>
      <c r="P22" s="431"/>
      <c r="Q22" s="361">
        <v>2721220256</v>
      </c>
      <c r="R22" s="356"/>
      <c r="S22" s="356">
        <f>19186926+10126938+6986000</f>
        <v>36299864</v>
      </c>
      <c r="T22" s="356">
        <f>35000000+22500000+24639441</f>
        <v>82139441</v>
      </c>
      <c r="U22" s="356"/>
      <c r="V22" s="356">
        <f>2139478+39142026-89234435</f>
        <v>-47952931</v>
      </c>
      <c r="W22" s="356">
        <v>11893445</v>
      </c>
      <c r="X22" s="356"/>
      <c r="Y22" s="356"/>
      <c r="Z22" s="356"/>
      <c r="AA22" s="356"/>
      <c r="AB22" s="356"/>
      <c r="AC22" s="429">
        <f>SUM(Q22:AB22)</f>
        <v>2803600075</v>
      </c>
      <c r="AD22" s="357"/>
      <c r="AE22" s="3"/>
      <c r="AF22" s="442" t="s">
        <v>116</v>
      </c>
      <c r="AG22" s="442"/>
      <c r="AH22" s="442"/>
      <c r="AI22" s="442"/>
      <c r="AJ22" s="442"/>
      <c r="AK22" s="442"/>
      <c r="AL22" s="442"/>
      <c r="AM22" s="442"/>
    </row>
    <row r="23" spans="1:53" ht="32.1" customHeight="1" x14ac:dyDescent="0.25">
      <c r="A23" s="520" t="s">
        <v>47</v>
      </c>
      <c r="B23" s="521"/>
      <c r="C23" s="175"/>
      <c r="D23" s="174"/>
      <c r="E23" s="174"/>
      <c r="F23" s="174"/>
      <c r="G23" s="174"/>
      <c r="H23" s="174"/>
      <c r="I23" s="174"/>
      <c r="J23" s="174"/>
      <c r="K23" s="174"/>
      <c r="L23" s="174"/>
      <c r="M23" s="174"/>
      <c r="N23" s="174"/>
      <c r="O23" s="174">
        <f>SUM(C23:N23)</f>
        <v>0</v>
      </c>
      <c r="P23" s="432"/>
      <c r="Q23" s="359">
        <v>1095524494</v>
      </c>
      <c r="R23" s="174">
        <v>1268876251</v>
      </c>
      <c r="S23" s="174">
        <v>167072463</v>
      </c>
      <c r="T23" s="174">
        <v>-18748320</v>
      </c>
      <c r="U23" s="174">
        <v>51615203</v>
      </c>
      <c r="V23" s="174">
        <v>73453791</v>
      </c>
      <c r="W23" s="174"/>
      <c r="X23" s="174"/>
      <c r="Y23" s="174"/>
      <c r="Z23" s="174"/>
      <c r="AA23" s="174"/>
      <c r="AB23" s="174"/>
      <c r="AC23" s="430">
        <f>SUM(Q23:AB23)</f>
        <v>2637793882</v>
      </c>
      <c r="AD23" s="182">
        <f>+AC23/AC22</f>
        <v>0.94085954181607023</v>
      </c>
      <c r="AE23" s="3"/>
      <c r="AF23" s="442"/>
      <c r="AG23" s="442"/>
      <c r="AH23" s="442"/>
      <c r="AI23" s="442"/>
      <c r="AJ23" s="442"/>
      <c r="AK23" s="442"/>
      <c r="AL23" s="442"/>
      <c r="AM23" s="442"/>
    </row>
    <row r="24" spans="1:53" ht="32.1" customHeight="1" x14ac:dyDescent="0.25">
      <c r="A24" s="520" t="s">
        <v>103</v>
      </c>
      <c r="B24" s="521"/>
      <c r="C24" s="175">
        <f>25110243+698600+1646343+2010000+1804187+22062331</f>
        <v>53331704</v>
      </c>
      <c r="D24" s="174">
        <f>1749516+3375000+698600+1646343+2400000+500000+3750000+461423+1+735420+1420164+309000+1081500+735420+772500+772500+432600+475860+5148623</f>
        <v>26464470</v>
      </c>
      <c r="E24" s="174">
        <f>698600+1646343+2400000+500000+4956875</f>
        <v>10201818</v>
      </c>
      <c r="F24" s="174">
        <f>698600+1646343+2387790+500000+5038625</f>
        <v>10271358</v>
      </c>
      <c r="G24" s="174">
        <f>548900+1646343</f>
        <v>2195243</v>
      </c>
      <c r="H24" s="174">
        <f>1646343-120167</f>
        <v>1526176</v>
      </c>
      <c r="I24" s="174">
        <v>1049769</v>
      </c>
      <c r="J24" s="174"/>
      <c r="K24" s="174"/>
      <c r="L24" s="174"/>
      <c r="M24" s="174"/>
      <c r="N24" s="174">
        <v>3719997</v>
      </c>
      <c r="O24" s="213">
        <f>SUM(C24:N24)</f>
        <v>108760535</v>
      </c>
      <c r="P24" s="360"/>
      <c r="Q24" s="359"/>
      <c r="R24" s="174">
        <v>111139916</v>
      </c>
      <c r="S24" s="174">
        <v>224170940</v>
      </c>
      <c r="T24" s="174">
        <f>229320940+1918693+1646343+776223</f>
        <v>233662199</v>
      </c>
      <c r="U24" s="174">
        <f>229320940+1918693+3888889+2500000+1646343+24639441+776223</f>
        <v>264690529</v>
      </c>
      <c r="V24" s="174">
        <f>229320940+1918693+3888889+2500000+1646343+776222-89234435</f>
        <v>150816652</v>
      </c>
      <c r="W24" s="174">
        <f>229320940+1918693+2139478+3888889+2500000+741130+13047342+776222</f>
        <v>254332694</v>
      </c>
      <c r="X24" s="174">
        <f>244770940+1918693+3888889+2500000+741130+11893445+776222</f>
        <v>266489319</v>
      </c>
      <c r="Y24" s="174">
        <f>244770940+1918693+3888889+2500000+741130+13047342+776222</f>
        <v>267643216</v>
      </c>
      <c r="Z24" s="174">
        <f>244770940+1918692+3888889+2500000+741130+776222</f>
        <v>254595873</v>
      </c>
      <c r="AA24" s="174">
        <f>244770940+1918692+3888889+2500000+741130+13047342+776222</f>
        <v>267643215</v>
      </c>
      <c r="AB24" s="174">
        <f>489541880+3837384+7777777+5000000+1482259+776222</f>
        <v>508415522</v>
      </c>
      <c r="AC24" s="213">
        <f>SUM(Q24:AB24)</f>
        <v>2803600075</v>
      </c>
      <c r="AD24" s="182"/>
      <c r="AE24" s="3"/>
      <c r="AF24" s="442"/>
      <c r="AG24" s="442"/>
      <c r="AH24" s="442"/>
      <c r="AI24" s="442"/>
      <c r="AJ24" s="442"/>
      <c r="AK24" s="442"/>
      <c r="AL24" s="442"/>
      <c r="AM24" s="442"/>
    </row>
    <row r="25" spans="1:53" ht="32.1" customHeight="1" thickBot="1" x14ac:dyDescent="0.3">
      <c r="A25" s="522" t="s">
        <v>50</v>
      </c>
      <c r="B25" s="523"/>
      <c r="C25" s="358">
        <v>12332011</v>
      </c>
      <c r="D25" s="176">
        <v>39266779</v>
      </c>
      <c r="E25" s="176">
        <v>27153750</v>
      </c>
      <c r="F25" s="176">
        <v>11625441</v>
      </c>
      <c r="G25" s="176">
        <v>6967107</v>
      </c>
      <c r="H25" s="176">
        <v>3110643</v>
      </c>
      <c r="I25" s="176"/>
      <c r="J25" s="176"/>
      <c r="K25" s="176"/>
      <c r="L25" s="176"/>
      <c r="M25" s="176"/>
      <c r="N25" s="176"/>
      <c r="O25" s="176">
        <f>SUM(C25:N25)</f>
        <v>100455731</v>
      </c>
      <c r="P25" s="183">
        <f>+O25/O24</f>
        <v>0.92364138333817503</v>
      </c>
      <c r="Q25" s="362" t="s">
        <v>104</v>
      </c>
      <c r="R25" s="176">
        <v>18557067</v>
      </c>
      <c r="S25" s="176">
        <v>123898287</v>
      </c>
      <c r="T25" s="176">
        <v>234447104</v>
      </c>
      <c r="U25" s="176">
        <v>234493079</v>
      </c>
      <c r="V25" s="176">
        <v>251870794</v>
      </c>
      <c r="W25" s="176"/>
      <c r="X25" s="176"/>
      <c r="Y25" s="176"/>
      <c r="Z25" s="176"/>
      <c r="AA25" s="176"/>
      <c r="AB25" s="176"/>
      <c r="AC25" s="176">
        <f>SUM(Q25:AB25)</f>
        <v>863266331</v>
      </c>
      <c r="AD25" s="183">
        <f>+AC25/AC23</f>
        <v>0.32726830435494958</v>
      </c>
      <c r="AE25" s="3"/>
      <c r="AF25" s="442"/>
      <c r="AG25" s="442"/>
      <c r="AH25" s="442"/>
      <c r="AI25" s="442"/>
      <c r="AJ25" s="442"/>
      <c r="AK25" s="442"/>
      <c r="AL25" s="442"/>
      <c r="AM25" s="442"/>
    </row>
    <row r="26" spans="1:53" ht="32.1" customHeight="1" thickBot="1" x14ac:dyDescent="0.3">
      <c r="A26" s="59"/>
      <c r="B26" s="54"/>
      <c r="C26" s="80"/>
      <c r="D26" s="80"/>
      <c r="E26" s="80"/>
      <c r="F26" s="80"/>
      <c r="G26" s="80"/>
      <c r="H26" s="80"/>
      <c r="I26" s="80"/>
      <c r="J26" s="80"/>
      <c r="K26" s="80"/>
      <c r="L26" s="80"/>
      <c r="M26" s="80"/>
      <c r="N26" s="80"/>
      <c r="O26" s="80"/>
      <c r="P26" s="80"/>
      <c r="Q26" s="80"/>
      <c r="R26" s="80"/>
      <c r="S26" s="80"/>
      <c r="T26" s="80"/>
      <c r="U26" s="80"/>
      <c r="V26" s="80"/>
      <c r="W26" s="80"/>
      <c r="X26" s="80"/>
      <c r="Y26" s="80"/>
      <c r="Z26" s="80"/>
      <c r="AA26" s="80"/>
      <c r="AB26" s="80"/>
      <c r="AC26" s="60"/>
      <c r="AD26" s="173"/>
    </row>
    <row r="27" spans="1:53" ht="33.950000000000003" customHeight="1" x14ac:dyDescent="0.25">
      <c r="A27" s="516" t="s">
        <v>53</v>
      </c>
      <c r="B27" s="517"/>
      <c r="C27" s="518"/>
      <c r="D27" s="518"/>
      <c r="E27" s="518"/>
      <c r="F27" s="518"/>
      <c r="G27" s="518"/>
      <c r="H27" s="518"/>
      <c r="I27" s="518"/>
      <c r="J27" s="518"/>
      <c r="K27" s="518"/>
      <c r="L27" s="518"/>
      <c r="M27" s="518"/>
      <c r="N27" s="518"/>
      <c r="O27" s="518"/>
      <c r="P27" s="518"/>
      <c r="Q27" s="518"/>
      <c r="R27" s="518"/>
      <c r="S27" s="518"/>
      <c r="T27" s="518"/>
      <c r="U27" s="518"/>
      <c r="V27" s="518"/>
      <c r="W27" s="518"/>
      <c r="X27" s="518"/>
      <c r="Y27" s="518"/>
      <c r="Z27" s="518"/>
      <c r="AA27" s="518"/>
      <c r="AB27" s="518"/>
      <c r="AC27" s="518"/>
      <c r="AD27" s="519"/>
    </row>
    <row r="28" spans="1:53" ht="15" customHeight="1" x14ac:dyDescent="0.25">
      <c r="A28" s="541" t="s">
        <v>54</v>
      </c>
      <c r="B28" s="543" t="s">
        <v>55</v>
      </c>
      <c r="C28" s="544"/>
      <c r="D28" s="521" t="s">
        <v>56</v>
      </c>
      <c r="E28" s="547"/>
      <c r="F28" s="547"/>
      <c r="G28" s="547"/>
      <c r="H28" s="547"/>
      <c r="I28" s="547"/>
      <c r="J28" s="547"/>
      <c r="K28" s="547"/>
      <c r="L28" s="547"/>
      <c r="M28" s="547"/>
      <c r="N28" s="547"/>
      <c r="O28" s="548"/>
      <c r="P28" s="549" t="s">
        <v>42</v>
      </c>
      <c r="Q28" s="549" t="s">
        <v>57</v>
      </c>
      <c r="R28" s="549"/>
      <c r="S28" s="549"/>
      <c r="T28" s="549"/>
      <c r="U28" s="549"/>
      <c r="V28" s="549"/>
      <c r="W28" s="549"/>
      <c r="X28" s="549"/>
      <c r="Y28" s="549"/>
      <c r="Z28" s="549"/>
      <c r="AA28" s="549"/>
      <c r="AB28" s="549"/>
      <c r="AC28" s="549"/>
      <c r="AD28" s="550"/>
    </row>
    <row r="29" spans="1:53" ht="27" customHeight="1" x14ac:dyDescent="0.25">
      <c r="A29" s="542"/>
      <c r="B29" s="545"/>
      <c r="C29" s="546"/>
      <c r="D29" s="88" t="s">
        <v>31</v>
      </c>
      <c r="E29" s="88" t="s">
        <v>32</v>
      </c>
      <c r="F29" s="88" t="s">
        <v>33</v>
      </c>
      <c r="G29" s="88" t="s">
        <v>34</v>
      </c>
      <c r="H29" s="88" t="s">
        <v>35</v>
      </c>
      <c r="I29" s="88" t="s">
        <v>8</v>
      </c>
      <c r="J29" s="88" t="s">
        <v>36</v>
      </c>
      <c r="K29" s="88" t="s">
        <v>37</v>
      </c>
      <c r="L29" s="88" t="s">
        <v>38</v>
      </c>
      <c r="M29" s="88" t="s">
        <v>39</v>
      </c>
      <c r="N29" s="88" t="s">
        <v>40</v>
      </c>
      <c r="O29" s="88" t="s">
        <v>41</v>
      </c>
      <c r="P29" s="548"/>
      <c r="Q29" s="549"/>
      <c r="R29" s="549"/>
      <c r="S29" s="549"/>
      <c r="T29" s="549"/>
      <c r="U29" s="549"/>
      <c r="V29" s="549"/>
      <c r="W29" s="549"/>
      <c r="X29" s="549"/>
      <c r="Y29" s="549"/>
      <c r="Z29" s="549"/>
      <c r="AA29" s="549"/>
      <c r="AB29" s="549"/>
      <c r="AC29" s="549"/>
      <c r="AD29" s="550"/>
    </row>
    <row r="30" spans="1:53" ht="68.25" customHeight="1" thickBot="1" x14ac:dyDescent="0.3">
      <c r="A30" s="85" t="s">
        <v>117</v>
      </c>
      <c r="B30" s="551"/>
      <c r="C30" s="552"/>
      <c r="D30" s="89"/>
      <c r="E30" s="89"/>
      <c r="F30" s="89"/>
      <c r="G30" s="89"/>
      <c r="H30" s="89"/>
      <c r="I30" s="89"/>
      <c r="J30" s="89"/>
      <c r="K30" s="89"/>
      <c r="L30" s="89"/>
      <c r="M30" s="89"/>
      <c r="N30" s="89"/>
      <c r="O30" s="89"/>
      <c r="P30" s="86">
        <f>SUM(D30:O30)</f>
        <v>0</v>
      </c>
      <c r="Q30" s="553"/>
      <c r="R30" s="553"/>
      <c r="S30" s="553"/>
      <c r="T30" s="553"/>
      <c r="U30" s="553"/>
      <c r="V30" s="553"/>
      <c r="W30" s="553"/>
      <c r="X30" s="553"/>
      <c r="Y30" s="553"/>
      <c r="Z30" s="553"/>
      <c r="AA30" s="553"/>
      <c r="AB30" s="553"/>
      <c r="AC30" s="553"/>
      <c r="AD30" s="554"/>
    </row>
    <row r="31" spans="1:53" ht="45" customHeight="1" thickBot="1" x14ac:dyDescent="0.3">
      <c r="A31" s="555" t="s">
        <v>59</v>
      </c>
      <c r="B31" s="556"/>
      <c r="C31" s="556"/>
      <c r="D31" s="556"/>
      <c r="E31" s="556"/>
      <c r="F31" s="556"/>
      <c r="G31" s="556"/>
      <c r="H31" s="556"/>
      <c r="I31" s="556"/>
      <c r="J31" s="556"/>
      <c r="K31" s="556"/>
      <c r="L31" s="556"/>
      <c r="M31" s="556"/>
      <c r="N31" s="556"/>
      <c r="O31" s="556"/>
      <c r="P31" s="556"/>
      <c r="Q31" s="556"/>
      <c r="R31" s="556"/>
      <c r="S31" s="556"/>
      <c r="T31" s="556"/>
      <c r="U31" s="556"/>
      <c r="V31" s="556"/>
      <c r="W31" s="556"/>
      <c r="X31" s="556"/>
      <c r="Y31" s="556"/>
      <c r="Z31" s="556"/>
      <c r="AA31" s="556"/>
      <c r="AB31" s="556"/>
      <c r="AC31" s="556"/>
      <c r="AD31" s="557"/>
    </row>
    <row r="32" spans="1:53" ht="23.1" customHeight="1" x14ac:dyDescent="0.25">
      <c r="A32" s="512" t="s">
        <v>60</v>
      </c>
      <c r="B32" s="558" t="s">
        <v>61</v>
      </c>
      <c r="C32" s="559" t="s">
        <v>55</v>
      </c>
      <c r="D32" s="561" t="s">
        <v>62</v>
      </c>
      <c r="E32" s="558"/>
      <c r="F32" s="558"/>
      <c r="G32" s="558"/>
      <c r="H32" s="558"/>
      <c r="I32" s="558"/>
      <c r="J32" s="558"/>
      <c r="K32" s="558"/>
      <c r="L32" s="558"/>
      <c r="M32" s="558"/>
      <c r="N32" s="558"/>
      <c r="O32" s="558"/>
      <c r="P32" s="513"/>
      <c r="Q32" s="512" t="s">
        <v>63</v>
      </c>
      <c r="R32" s="558"/>
      <c r="S32" s="558"/>
      <c r="T32" s="558"/>
      <c r="U32" s="558"/>
      <c r="V32" s="558"/>
      <c r="W32" s="558"/>
      <c r="X32" s="558"/>
      <c r="Y32" s="558"/>
      <c r="Z32" s="558"/>
      <c r="AA32" s="558"/>
      <c r="AB32" s="558"/>
      <c r="AC32" s="558"/>
      <c r="AD32" s="559"/>
      <c r="AG32" s="87"/>
      <c r="AH32" s="87"/>
      <c r="AI32" s="87"/>
      <c r="AJ32" s="87"/>
      <c r="AK32" s="87"/>
      <c r="AL32" s="87"/>
      <c r="AM32" s="87"/>
      <c r="AN32" s="87"/>
      <c r="AO32" s="87"/>
    </row>
    <row r="33" spans="1:41" ht="27" customHeight="1" thickBot="1" x14ac:dyDescent="0.3">
      <c r="A33" s="520"/>
      <c r="B33" s="549"/>
      <c r="C33" s="560"/>
      <c r="D33" s="274" t="s">
        <v>31</v>
      </c>
      <c r="E33" s="265" t="s">
        <v>32</v>
      </c>
      <c r="F33" s="265" t="s">
        <v>33</v>
      </c>
      <c r="G33" s="265" t="s">
        <v>34</v>
      </c>
      <c r="H33" s="265" t="s">
        <v>35</v>
      </c>
      <c r="I33" s="265" t="s">
        <v>8</v>
      </c>
      <c r="J33" s="265" t="s">
        <v>36</v>
      </c>
      <c r="K33" s="265" t="s">
        <v>37</v>
      </c>
      <c r="L33" s="265" t="s">
        <v>38</v>
      </c>
      <c r="M33" s="265" t="s">
        <v>39</v>
      </c>
      <c r="N33" s="265" t="s">
        <v>40</v>
      </c>
      <c r="O33" s="265" t="s">
        <v>41</v>
      </c>
      <c r="P33" s="350" t="s">
        <v>42</v>
      </c>
      <c r="Q33" s="681" t="s">
        <v>64</v>
      </c>
      <c r="R33" s="688"/>
      <c r="S33" s="688"/>
      <c r="T33" s="688" t="s">
        <v>65</v>
      </c>
      <c r="U33" s="688"/>
      <c r="V33" s="688"/>
      <c r="W33" s="689" t="s">
        <v>106</v>
      </c>
      <c r="X33" s="507"/>
      <c r="Y33" s="507"/>
      <c r="Z33" s="690"/>
      <c r="AA33" s="689" t="s">
        <v>67</v>
      </c>
      <c r="AB33" s="507"/>
      <c r="AC33" s="507"/>
      <c r="AD33" s="508"/>
      <c r="AG33" s="87"/>
      <c r="AH33" s="87"/>
      <c r="AI33" s="87"/>
      <c r="AJ33" s="87"/>
      <c r="AK33" s="87"/>
      <c r="AL33" s="87"/>
      <c r="AM33" s="87"/>
      <c r="AN33" s="87"/>
      <c r="AO33" s="87"/>
    </row>
    <row r="34" spans="1:41" ht="93" customHeight="1" x14ac:dyDescent="0.25">
      <c r="A34" s="684" t="s">
        <v>117</v>
      </c>
      <c r="B34" s="565">
        <v>0.15</v>
      </c>
      <c r="C34" s="276" t="s">
        <v>68</v>
      </c>
      <c r="D34" s="271">
        <f>D69</f>
        <v>0</v>
      </c>
      <c r="E34" s="272">
        <f t="shared" ref="E34:O34" si="0">E69</f>
        <v>3.2549383554408687E-2</v>
      </c>
      <c r="F34" s="272">
        <f t="shared" si="0"/>
        <v>3.2205698160472043E-2</v>
      </c>
      <c r="G34" s="272">
        <f t="shared" si="0"/>
        <v>3.2205698160472043E-2</v>
      </c>
      <c r="H34" s="272">
        <f t="shared" si="0"/>
        <v>1.5539031493805366E-2</v>
      </c>
      <c r="I34" s="272">
        <f t="shared" si="0"/>
        <v>1.5539031493805366E-2</v>
      </c>
      <c r="J34" s="272">
        <f t="shared" si="0"/>
        <v>3.2205698160472043E-2</v>
      </c>
      <c r="K34" s="272">
        <f t="shared" si="0"/>
        <v>1.5539031493805366E-2</v>
      </c>
      <c r="L34" s="272">
        <f t="shared" si="0"/>
        <v>3.2205698160472043E-2</v>
      </c>
      <c r="M34" s="272">
        <f t="shared" si="0"/>
        <v>1.5539031493805366E-2</v>
      </c>
      <c r="N34" s="272">
        <f t="shared" si="0"/>
        <v>1.5539031493805366E-2</v>
      </c>
      <c r="O34" s="273">
        <f t="shared" si="0"/>
        <v>1.0932666334676386E-2</v>
      </c>
      <c r="P34" s="293">
        <f>SUM(D34:O34)</f>
        <v>0.25000000000000006</v>
      </c>
      <c r="Q34" s="686" t="s">
        <v>118</v>
      </c>
      <c r="R34" s="679"/>
      <c r="S34" s="679"/>
      <c r="T34" s="687" t="s">
        <v>570</v>
      </c>
      <c r="U34" s="687"/>
      <c r="V34" s="687"/>
      <c r="W34" s="679" t="s">
        <v>566</v>
      </c>
      <c r="X34" s="679"/>
      <c r="Y34" s="679"/>
      <c r="Z34" s="679"/>
      <c r="AA34" s="679" t="s">
        <v>119</v>
      </c>
      <c r="AB34" s="679"/>
      <c r="AC34" s="679"/>
      <c r="AD34" s="680"/>
      <c r="AG34" s="87"/>
      <c r="AH34" s="87"/>
      <c r="AI34" s="87"/>
      <c r="AJ34" s="87"/>
      <c r="AK34" s="87"/>
      <c r="AL34" s="87"/>
      <c r="AM34" s="87"/>
      <c r="AN34" s="87"/>
      <c r="AO34" s="87"/>
    </row>
    <row r="35" spans="1:41" ht="93" customHeight="1" thickBot="1" x14ac:dyDescent="0.3">
      <c r="A35" s="685"/>
      <c r="B35" s="477"/>
      <c r="C35" s="270" t="s">
        <v>72</v>
      </c>
      <c r="D35" s="269">
        <f>D66</f>
        <v>0</v>
      </c>
      <c r="E35" s="259">
        <f t="shared" ref="E35:O35" si="1">E66</f>
        <v>3.2549383554408687E-2</v>
      </c>
      <c r="F35" s="259">
        <f t="shared" si="1"/>
        <v>3.2205698160472043E-2</v>
      </c>
      <c r="G35" s="259">
        <f t="shared" si="1"/>
        <v>2.3872364827138701E-2</v>
      </c>
      <c r="H35" s="259">
        <f t="shared" si="1"/>
        <v>3.2205698160472043E-2</v>
      </c>
      <c r="I35" s="259">
        <f t="shared" si="1"/>
        <v>3.2205698160472043E-2</v>
      </c>
      <c r="J35" s="259">
        <f t="shared" si="1"/>
        <v>0</v>
      </c>
      <c r="K35" s="259">
        <f t="shared" si="1"/>
        <v>0</v>
      </c>
      <c r="L35" s="259">
        <f t="shared" si="1"/>
        <v>0</v>
      </c>
      <c r="M35" s="259">
        <f t="shared" si="1"/>
        <v>0</v>
      </c>
      <c r="N35" s="259">
        <f t="shared" si="1"/>
        <v>0</v>
      </c>
      <c r="O35" s="260">
        <f t="shared" si="1"/>
        <v>0</v>
      </c>
      <c r="P35" s="294">
        <f>SUM(D35:O35)</f>
        <v>0.15303884286296351</v>
      </c>
      <c r="Q35" s="686"/>
      <c r="R35" s="679"/>
      <c r="S35" s="679"/>
      <c r="T35" s="687"/>
      <c r="U35" s="687"/>
      <c r="V35" s="687"/>
      <c r="W35" s="679"/>
      <c r="X35" s="679"/>
      <c r="Y35" s="679"/>
      <c r="Z35" s="679"/>
      <c r="AA35" s="679"/>
      <c r="AB35" s="679"/>
      <c r="AC35" s="679"/>
      <c r="AD35" s="680"/>
      <c r="AE35" s="49"/>
      <c r="AG35" s="87"/>
      <c r="AH35" s="87"/>
      <c r="AI35" s="87"/>
      <c r="AJ35" s="87"/>
      <c r="AK35" s="87"/>
      <c r="AL35" s="87"/>
      <c r="AM35" s="87"/>
      <c r="AN35" s="87"/>
      <c r="AO35" s="87"/>
    </row>
    <row r="36" spans="1:41" ht="26.1" customHeight="1" x14ac:dyDescent="0.25">
      <c r="A36" s="592" t="s">
        <v>73</v>
      </c>
      <c r="B36" s="682" t="s">
        <v>74</v>
      </c>
      <c r="C36" s="546" t="s">
        <v>75</v>
      </c>
      <c r="D36" s="558"/>
      <c r="E36" s="558"/>
      <c r="F36" s="558"/>
      <c r="G36" s="558"/>
      <c r="H36" s="558"/>
      <c r="I36" s="558"/>
      <c r="J36" s="558"/>
      <c r="K36" s="558"/>
      <c r="L36" s="558"/>
      <c r="M36" s="558"/>
      <c r="N36" s="558"/>
      <c r="O36" s="558"/>
      <c r="P36" s="513"/>
      <c r="Q36" s="542" t="s">
        <v>76</v>
      </c>
      <c r="R36" s="562"/>
      <c r="S36" s="562"/>
      <c r="T36" s="562"/>
      <c r="U36" s="562"/>
      <c r="V36" s="562"/>
      <c r="W36" s="562"/>
      <c r="X36" s="562"/>
      <c r="Y36" s="562"/>
      <c r="Z36" s="562"/>
      <c r="AA36" s="562"/>
      <c r="AB36" s="562"/>
      <c r="AC36" s="562"/>
      <c r="AD36" s="563"/>
      <c r="AG36" s="87"/>
      <c r="AH36" s="87"/>
      <c r="AI36" s="87"/>
      <c r="AJ36" s="87"/>
      <c r="AK36" s="87"/>
      <c r="AL36" s="87"/>
      <c r="AM36" s="87"/>
      <c r="AN36" s="87"/>
      <c r="AO36" s="87"/>
    </row>
    <row r="37" spans="1:41" ht="26.1" customHeight="1" thickBot="1" x14ac:dyDescent="0.3">
      <c r="A37" s="681"/>
      <c r="B37" s="683"/>
      <c r="C37" s="348" t="s">
        <v>77</v>
      </c>
      <c r="D37" s="351" t="s">
        <v>78</v>
      </c>
      <c r="E37" s="351" t="s">
        <v>79</v>
      </c>
      <c r="F37" s="351" t="s">
        <v>80</v>
      </c>
      <c r="G37" s="351" t="s">
        <v>81</v>
      </c>
      <c r="H37" s="351" t="s">
        <v>82</v>
      </c>
      <c r="I37" s="351" t="s">
        <v>83</v>
      </c>
      <c r="J37" s="351" t="s">
        <v>84</v>
      </c>
      <c r="K37" s="351" t="s">
        <v>85</v>
      </c>
      <c r="L37" s="351" t="s">
        <v>86</v>
      </c>
      <c r="M37" s="351" t="s">
        <v>87</v>
      </c>
      <c r="N37" s="351" t="s">
        <v>88</v>
      </c>
      <c r="O37" s="351" t="s">
        <v>89</v>
      </c>
      <c r="P37" s="347" t="s">
        <v>90</v>
      </c>
      <c r="Q37" s="597" t="s">
        <v>91</v>
      </c>
      <c r="R37" s="598"/>
      <c r="S37" s="598"/>
      <c r="T37" s="598"/>
      <c r="U37" s="598"/>
      <c r="V37" s="598"/>
      <c r="W37" s="598"/>
      <c r="X37" s="598"/>
      <c r="Y37" s="598"/>
      <c r="Z37" s="598"/>
      <c r="AA37" s="598"/>
      <c r="AB37" s="598"/>
      <c r="AC37" s="598"/>
      <c r="AD37" s="599"/>
      <c r="AG37" s="94"/>
      <c r="AH37" s="94"/>
      <c r="AI37" s="94"/>
      <c r="AJ37" s="94"/>
      <c r="AK37" s="94"/>
      <c r="AL37" s="94"/>
      <c r="AM37" s="94"/>
      <c r="AN37" s="94"/>
      <c r="AO37" s="94"/>
    </row>
    <row r="38" spans="1:41" ht="35.25" customHeight="1" x14ac:dyDescent="0.25">
      <c r="A38" s="667" t="s">
        <v>120</v>
      </c>
      <c r="B38" s="669">
        <v>0.05</v>
      </c>
      <c r="C38" s="364" t="s">
        <v>68</v>
      </c>
      <c r="D38" s="365">
        <v>0</v>
      </c>
      <c r="E38" s="365">
        <v>0.1</v>
      </c>
      <c r="F38" s="366">
        <v>9.5000000000000001E-2</v>
      </c>
      <c r="G38" s="366">
        <v>9.5000000000000001E-2</v>
      </c>
      <c r="H38" s="367">
        <v>9.5000000000000001E-2</v>
      </c>
      <c r="I38" s="367">
        <v>9.5000000000000001E-2</v>
      </c>
      <c r="J38" s="367">
        <v>9.5000000000000001E-2</v>
      </c>
      <c r="K38" s="367">
        <v>9.5000000000000001E-2</v>
      </c>
      <c r="L38" s="367">
        <v>9.5000000000000001E-2</v>
      </c>
      <c r="M38" s="367">
        <v>9.5000000000000001E-2</v>
      </c>
      <c r="N38" s="367">
        <v>9.5000000000000001E-2</v>
      </c>
      <c r="O38" s="367">
        <v>0.04</v>
      </c>
      <c r="P38" s="370">
        <f t="shared" ref="P38:P43" si="2">SUM(D38:O38)</f>
        <v>0.99499999999999988</v>
      </c>
      <c r="Q38" s="670" t="s">
        <v>564</v>
      </c>
      <c r="R38" s="671"/>
      <c r="S38" s="671"/>
      <c r="T38" s="671"/>
      <c r="U38" s="671"/>
      <c r="V38" s="671"/>
      <c r="W38" s="671"/>
      <c r="X38" s="671"/>
      <c r="Y38" s="671"/>
      <c r="Z38" s="671"/>
      <c r="AA38" s="671"/>
      <c r="AB38" s="671"/>
      <c r="AC38" s="671"/>
      <c r="AD38" s="672"/>
      <c r="AE38" s="97"/>
      <c r="AG38" s="98"/>
      <c r="AH38" s="98"/>
      <c r="AI38" s="98"/>
      <c r="AJ38" s="98"/>
      <c r="AK38" s="98"/>
      <c r="AL38" s="98"/>
      <c r="AM38" s="98"/>
      <c r="AN38" s="98"/>
      <c r="AO38" s="98"/>
    </row>
    <row r="39" spans="1:41" ht="35.25" customHeight="1" x14ac:dyDescent="0.25">
      <c r="A39" s="668"/>
      <c r="B39" s="602"/>
      <c r="C39" s="99" t="s">
        <v>72</v>
      </c>
      <c r="D39" s="287"/>
      <c r="E39" s="283">
        <v>0.1</v>
      </c>
      <c r="F39" s="283">
        <v>9.5000000000000001E-2</v>
      </c>
      <c r="G39" s="283">
        <v>9.5000000000000001E-2</v>
      </c>
      <c r="H39" s="283">
        <v>9.5000000000000001E-2</v>
      </c>
      <c r="I39" s="283">
        <v>9.5000000000000001E-2</v>
      </c>
      <c r="J39" s="283"/>
      <c r="K39" s="283"/>
      <c r="L39" s="283"/>
      <c r="M39" s="283"/>
      <c r="N39" s="283"/>
      <c r="O39" s="283"/>
      <c r="P39" s="101">
        <f t="shared" si="2"/>
        <v>0.48</v>
      </c>
      <c r="Q39" s="673"/>
      <c r="R39" s="674"/>
      <c r="S39" s="674"/>
      <c r="T39" s="674"/>
      <c r="U39" s="674"/>
      <c r="V39" s="674"/>
      <c r="W39" s="674"/>
      <c r="X39" s="674"/>
      <c r="Y39" s="674"/>
      <c r="Z39" s="674"/>
      <c r="AA39" s="674"/>
      <c r="AB39" s="674"/>
      <c r="AC39" s="674"/>
      <c r="AD39" s="675"/>
      <c r="AE39" s="97"/>
    </row>
    <row r="40" spans="1:41" ht="35.25" customHeight="1" x14ac:dyDescent="0.25">
      <c r="A40" s="659" t="s">
        <v>121</v>
      </c>
      <c r="B40" s="584">
        <v>0.05</v>
      </c>
      <c r="C40" s="102" t="s">
        <v>68</v>
      </c>
      <c r="D40" s="288">
        <v>0</v>
      </c>
      <c r="E40" s="288">
        <v>0.2</v>
      </c>
      <c r="F40" s="299">
        <v>0.2</v>
      </c>
      <c r="G40" s="299">
        <v>0.2</v>
      </c>
      <c r="H40" s="220">
        <v>0</v>
      </c>
      <c r="I40" s="220">
        <v>0</v>
      </c>
      <c r="J40" s="220">
        <v>0.2</v>
      </c>
      <c r="K40" s="220">
        <v>0</v>
      </c>
      <c r="L40" s="220">
        <v>0.2</v>
      </c>
      <c r="M40" s="220">
        <v>0</v>
      </c>
      <c r="N40" s="220">
        <v>0</v>
      </c>
      <c r="O40" s="220">
        <v>0</v>
      </c>
      <c r="P40" s="101">
        <f>SUM(D40:O40)</f>
        <v>1</v>
      </c>
      <c r="Q40" s="676" t="s">
        <v>565</v>
      </c>
      <c r="R40" s="677"/>
      <c r="S40" s="677"/>
      <c r="T40" s="677"/>
      <c r="U40" s="677"/>
      <c r="V40" s="677"/>
      <c r="W40" s="677"/>
      <c r="X40" s="677"/>
      <c r="Y40" s="677"/>
      <c r="Z40" s="677"/>
      <c r="AA40" s="677"/>
      <c r="AB40" s="677"/>
      <c r="AC40" s="677"/>
      <c r="AD40" s="678"/>
      <c r="AE40" s="97"/>
    </row>
    <row r="41" spans="1:41" ht="35.25" customHeight="1" x14ac:dyDescent="0.25">
      <c r="A41" s="668"/>
      <c r="B41" s="602"/>
      <c r="C41" s="99" t="s">
        <v>72</v>
      </c>
      <c r="D41" s="287"/>
      <c r="E41" s="283">
        <v>0.2</v>
      </c>
      <c r="F41" s="283">
        <v>0.2</v>
      </c>
      <c r="G41" s="283">
        <v>0.1</v>
      </c>
      <c r="H41" s="283">
        <v>0.2</v>
      </c>
      <c r="I41" s="283">
        <v>0.2</v>
      </c>
      <c r="J41" s="100"/>
      <c r="K41" s="100"/>
      <c r="L41" s="100"/>
      <c r="M41" s="100"/>
      <c r="N41" s="100"/>
      <c r="O41" s="100"/>
      <c r="P41" s="101">
        <f t="shared" si="2"/>
        <v>0.89999999999999991</v>
      </c>
      <c r="Q41" s="673"/>
      <c r="R41" s="674"/>
      <c r="S41" s="674"/>
      <c r="T41" s="674"/>
      <c r="U41" s="674"/>
      <c r="V41" s="674"/>
      <c r="W41" s="674"/>
      <c r="X41" s="674"/>
      <c r="Y41" s="674"/>
      <c r="Z41" s="674"/>
      <c r="AA41" s="674"/>
      <c r="AB41" s="674"/>
      <c r="AC41" s="674"/>
      <c r="AD41" s="675"/>
      <c r="AE41" s="97"/>
    </row>
    <row r="42" spans="1:41" ht="35.25" customHeight="1" x14ac:dyDescent="0.25">
      <c r="A42" s="659" t="s">
        <v>122</v>
      </c>
      <c r="B42" s="584">
        <v>0.05</v>
      </c>
      <c r="C42" s="102" t="s">
        <v>68</v>
      </c>
      <c r="D42" s="288">
        <v>0</v>
      </c>
      <c r="E42" s="288">
        <v>0.09</v>
      </c>
      <c r="F42" s="299">
        <v>9.0899999999999995E-2</v>
      </c>
      <c r="G42" s="299">
        <v>9.0899999999999995E-2</v>
      </c>
      <c r="H42" s="220">
        <v>9.0899999999999995E-2</v>
      </c>
      <c r="I42" s="220">
        <v>9.0899999999999995E-2</v>
      </c>
      <c r="J42" s="220">
        <v>9.0899999999999995E-2</v>
      </c>
      <c r="K42" s="220">
        <v>9.0899999999999995E-2</v>
      </c>
      <c r="L42" s="220">
        <v>9.0899999999999995E-2</v>
      </c>
      <c r="M42" s="220">
        <v>9.0899999999999995E-2</v>
      </c>
      <c r="N42" s="220">
        <v>9.0899999999999995E-2</v>
      </c>
      <c r="O42" s="220">
        <v>9.0899999999999995E-2</v>
      </c>
      <c r="P42" s="101">
        <f>SUM(D42:O42)</f>
        <v>0.99899999999999989</v>
      </c>
      <c r="Q42" s="661" t="s">
        <v>571</v>
      </c>
      <c r="R42" s="662"/>
      <c r="S42" s="662"/>
      <c r="T42" s="662"/>
      <c r="U42" s="662"/>
      <c r="V42" s="662"/>
      <c r="W42" s="662"/>
      <c r="X42" s="662"/>
      <c r="Y42" s="662"/>
      <c r="Z42" s="662"/>
      <c r="AA42" s="662"/>
      <c r="AB42" s="662"/>
      <c r="AC42" s="662"/>
      <c r="AD42" s="663"/>
      <c r="AE42" s="97"/>
    </row>
    <row r="43" spans="1:41" ht="35.25" customHeight="1" thickBot="1" x14ac:dyDescent="0.3">
      <c r="A43" s="660"/>
      <c r="B43" s="585"/>
      <c r="C43" s="91" t="s">
        <v>72</v>
      </c>
      <c r="D43" s="291"/>
      <c r="E43" s="284">
        <v>0.09</v>
      </c>
      <c r="F43" s="284">
        <v>9.0899999999999995E-2</v>
      </c>
      <c r="G43" s="284">
        <v>9.0899999999999995E-2</v>
      </c>
      <c r="H43" s="284">
        <v>9.0899999999999995E-2</v>
      </c>
      <c r="I43" s="284">
        <v>9.0899999999999995E-2</v>
      </c>
      <c r="J43" s="105"/>
      <c r="K43" s="105"/>
      <c r="L43" s="105"/>
      <c r="M43" s="105"/>
      <c r="N43" s="105"/>
      <c r="O43" s="105"/>
      <c r="P43" s="107">
        <f t="shared" si="2"/>
        <v>0.45359999999999995</v>
      </c>
      <c r="Q43" s="664"/>
      <c r="R43" s="665"/>
      <c r="S43" s="665"/>
      <c r="T43" s="665"/>
      <c r="U43" s="665"/>
      <c r="V43" s="665"/>
      <c r="W43" s="665"/>
      <c r="X43" s="665"/>
      <c r="Y43" s="665"/>
      <c r="Z43" s="665"/>
      <c r="AA43" s="665"/>
      <c r="AB43" s="665"/>
      <c r="AC43" s="665"/>
      <c r="AD43" s="666"/>
      <c r="AE43" s="97"/>
    </row>
    <row r="44" spans="1:41" x14ac:dyDescent="0.25">
      <c r="A44" s="50" t="s">
        <v>95</v>
      </c>
    </row>
    <row r="55" spans="1:30" x14ac:dyDescent="0.25">
      <c r="A55" s="613" t="s">
        <v>96</v>
      </c>
      <c r="B55" s="615" t="s">
        <v>74</v>
      </c>
      <c r="C55" s="617" t="s">
        <v>75</v>
      </c>
      <c r="D55" s="618"/>
      <c r="E55" s="618"/>
      <c r="F55" s="618"/>
      <c r="G55" s="618"/>
      <c r="H55" s="618"/>
      <c r="I55" s="618"/>
      <c r="J55" s="618"/>
      <c r="K55" s="618"/>
      <c r="L55" s="618"/>
      <c r="M55" s="618"/>
      <c r="N55" s="618"/>
      <c r="O55" s="618"/>
      <c r="P55" s="619"/>
      <c r="Q55" s="228"/>
      <c r="R55" s="228"/>
      <c r="S55" s="229"/>
      <c r="T55" s="229"/>
      <c r="U55" s="229"/>
      <c r="V55" s="229"/>
      <c r="W55" s="229"/>
      <c r="X55" s="229"/>
      <c r="Y55" s="229"/>
      <c r="Z55" s="229"/>
      <c r="AA55" s="229"/>
      <c r="AB55" s="229"/>
      <c r="AC55" s="229"/>
      <c r="AD55" s="229"/>
    </row>
    <row r="56" spans="1:30" ht="21" x14ac:dyDescent="0.25">
      <c r="A56" s="614"/>
      <c r="B56" s="616"/>
      <c r="C56" s="230" t="s">
        <v>77</v>
      </c>
      <c r="D56" s="230" t="s">
        <v>78</v>
      </c>
      <c r="E56" s="230" t="s">
        <v>79</v>
      </c>
      <c r="F56" s="230" t="s">
        <v>80</v>
      </c>
      <c r="G56" s="230" t="s">
        <v>81</v>
      </c>
      <c r="H56" s="230" t="s">
        <v>82</v>
      </c>
      <c r="I56" s="230" t="s">
        <v>83</v>
      </c>
      <c r="J56" s="230" t="s">
        <v>84</v>
      </c>
      <c r="K56" s="230" t="s">
        <v>85</v>
      </c>
      <c r="L56" s="230" t="s">
        <v>86</v>
      </c>
      <c r="M56" s="230" t="s">
        <v>87</v>
      </c>
      <c r="N56" s="230" t="s">
        <v>88</v>
      </c>
      <c r="O56" s="230" t="s">
        <v>89</v>
      </c>
      <c r="P56" s="230" t="s">
        <v>90</v>
      </c>
      <c r="Q56" s="228"/>
      <c r="R56" s="228"/>
      <c r="S56" s="229"/>
      <c r="T56" s="229"/>
      <c r="U56" s="229"/>
      <c r="V56" s="229"/>
      <c r="W56" s="229"/>
      <c r="X56" s="229"/>
      <c r="Y56" s="229"/>
      <c r="Z56" s="229"/>
      <c r="AA56" s="229"/>
      <c r="AB56" s="229"/>
      <c r="AC56" s="229"/>
      <c r="AD56" s="229"/>
    </row>
    <row r="57" spans="1:30" x14ac:dyDescent="0.25">
      <c r="A57" s="620" t="str">
        <f>A38</f>
        <v xml:space="preserve">6. Implementar actividades de difusión del programa de Sistema de Cuidado con ciudadanía y actores territoriales </v>
      </c>
      <c r="B57" s="622">
        <f>B38</f>
        <v>0.05</v>
      </c>
      <c r="C57" s="231" t="s">
        <v>68</v>
      </c>
      <c r="D57" s="232">
        <f>D38*$B$38/$P$38</f>
        <v>0</v>
      </c>
      <c r="E57" s="232">
        <f t="shared" ref="D57:O58" si="3">E38*$B$38/$P$38</f>
        <v>5.0251256281407053E-3</v>
      </c>
      <c r="F57" s="232">
        <f t="shared" si="3"/>
        <v>4.7738693467336696E-3</v>
      </c>
      <c r="G57" s="232">
        <f t="shared" si="3"/>
        <v>4.7738693467336696E-3</v>
      </c>
      <c r="H57" s="232">
        <f t="shared" si="3"/>
        <v>4.7738693467336696E-3</v>
      </c>
      <c r="I57" s="232">
        <f t="shared" si="3"/>
        <v>4.7738693467336696E-3</v>
      </c>
      <c r="J57" s="232">
        <f t="shared" si="3"/>
        <v>4.7738693467336696E-3</v>
      </c>
      <c r="K57" s="232">
        <f t="shared" si="3"/>
        <v>4.7738693467336696E-3</v>
      </c>
      <c r="L57" s="232">
        <f t="shared" si="3"/>
        <v>4.7738693467336696E-3</v>
      </c>
      <c r="M57" s="232">
        <f t="shared" si="3"/>
        <v>4.7738693467336696E-3</v>
      </c>
      <c r="N57" s="232">
        <f t="shared" si="3"/>
        <v>4.7738693467336696E-3</v>
      </c>
      <c r="O57" s="232">
        <f t="shared" si="3"/>
        <v>2.0100502512562816E-3</v>
      </c>
      <c r="P57" s="233">
        <f t="shared" ref="P57:P62" si="4">SUM(D57:O57)</f>
        <v>5.000000000000001E-2</v>
      </c>
      <c r="Q57" s="234">
        <v>0.05</v>
      </c>
      <c r="R57" s="235">
        <f t="shared" ref="R57:R65" si="5">+P57-Q57</f>
        <v>0</v>
      </c>
      <c r="S57" s="229"/>
      <c r="T57" s="229"/>
      <c r="U57" s="229"/>
      <c r="V57" s="229"/>
      <c r="W57" s="229"/>
      <c r="X57" s="229"/>
      <c r="Y57" s="229"/>
      <c r="Z57" s="229"/>
      <c r="AA57" s="229"/>
      <c r="AB57" s="229"/>
      <c r="AC57" s="229"/>
      <c r="AD57" s="229"/>
    </row>
    <row r="58" spans="1:30" x14ac:dyDescent="0.25">
      <c r="A58" s="621"/>
      <c r="B58" s="623"/>
      <c r="C58" s="236" t="s">
        <v>72</v>
      </c>
      <c r="D58" s="237">
        <f t="shared" si="3"/>
        <v>0</v>
      </c>
      <c r="E58" s="237">
        <f t="shared" si="3"/>
        <v>5.0251256281407053E-3</v>
      </c>
      <c r="F58" s="237">
        <f t="shared" si="3"/>
        <v>4.7738693467336696E-3</v>
      </c>
      <c r="G58" s="237">
        <f t="shared" si="3"/>
        <v>4.7738693467336696E-3</v>
      </c>
      <c r="H58" s="237">
        <f t="shared" si="3"/>
        <v>4.7738693467336696E-3</v>
      </c>
      <c r="I58" s="237">
        <f t="shared" si="3"/>
        <v>4.7738693467336696E-3</v>
      </c>
      <c r="J58" s="237">
        <f t="shared" si="3"/>
        <v>0</v>
      </c>
      <c r="K58" s="237">
        <f t="shared" si="3"/>
        <v>0</v>
      </c>
      <c r="L58" s="237">
        <f t="shared" si="3"/>
        <v>0</v>
      </c>
      <c r="M58" s="237">
        <f t="shared" si="3"/>
        <v>0</v>
      </c>
      <c r="N58" s="237">
        <f t="shared" si="3"/>
        <v>0</v>
      </c>
      <c r="O58" s="237">
        <f t="shared" si="3"/>
        <v>0</v>
      </c>
      <c r="P58" s="238">
        <f t="shared" si="4"/>
        <v>2.4120603015075383E-2</v>
      </c>
      <c r="Q58" s="239">
        <f>+P58</f>
        <v>2.4120603015075383E-2</v>
      </c>
      <c r="R58" s="235">
        <f t="shared" si="5"/>
        <v>0</v>
      </c>
      <c r="S58" s="229"/>
      <c r="T58" s="229"/>
      <c r="U58" s="229"/>
      <c r="V58" s="229"/>
      <c r="W58" s="229"/>
      <c r="X58" s="229"/>
      <c r="Y58" s="229"/>
      <c r="Z58" s="229"/>
      <c r="AA58" s="229"/>
      <c r="AB58" s="229"/>
      <c r="AC58" s="229"/>
      <c r="AD58" s="229"/>
    </row>
    <row r="59" spans="1:30" x14ac:dyDescent="0.25">
      <c r="A59" s="620" t="str">
        <f>A40</f>
        <v>7. Articular las acciones intersectoriales para la puesta en operación de cinco (5) manzanas del cuidado</v>
      </c>
      <c r="B59" s="625">
        <f>B40</f>
        <v>0.05</v>
      </c>
      <c r="C59" s="231" t="s">
        <v>68</v>
      </c>
      <c r="D59" s="232">
        <f t="shared" ref="D59:O60" si="6">D40*$B$40/$P$40</f>
        <v>0</v>
      </c>
      <c r="E59" s="232">
        <f t="shared" si="6"/>
        <v>1.0000000000000002E-2</v>
      </c>
      <c r="F59" s="232">
        <f t="shared" si="6"/>
        <v>1.0000000000000002E-2</v>
      </c>
      <c r="G59" s="232">
        <f t="shared" si="6"/>
        <v>1.0000000000000002E-2</v>
      </c>
      <c r="H59" s="232">
        <f t="shared" si="6"/>
        <v>0</v>
      </c>
      <c r="I59" s="232">
        <f t="shared" si="6"/>
        <v>0</v>
      </c>
      <c r="J59" s="232">
        <f t="shared" si="6"/>
        <v>1.0000000000000002E-2</v>
      </c>
      <c r="K59" s="232">
        <f t="shared" si="6"/>
        <v>0</v>
      </c>
      <c r="L59" s="232">
        <f t="shared" si="6"/>
        <v>1.0000000000000002E-2</v>
      </c>
      <c r="M59" s="232">
        <f t="shared" si="6"/>
        <v>0</v>
      </c>
      <c r="N59" s="232">
        <f t="shared" si="6"/>
        <v>0</v>
      </c>
      <c r="O59" s="232">
        <f t="shared" si="6"/>
        <v>0</v>
      </c>
      <c r="P59" s="233">
        <f t="shared" si="4"/>
        <v>5.000000000000001E-2</v>
      </c>
      <c r="Q59" s="234">
        <v>2.5000000000000001E-2</v>
      </c>
      <c r="R59" s="235">
        <f t="shared" si="5"/>
        <v>2.5000000000000008E-2</v>
      </c>
      <c r="S59" s="229"/>
      <c r="T59" s="229"/>
      <c r="U59" s="229"/>
      <c r="V59" s="229"/>
      <c r="W59" s="229"/>
      <c r="X59" s="229"/>
      <c r="Y59" s="229"/>
      <c r="Z59" s="229"/>
      <c r="AA59" s="229"/>
      <c r="AB59" s="229"/>
      <c r="AC59" s="229"/>
      <c r="AD59" s="229"/>
    </row>
    <row r="60" spans="1:30" x14ac:dyDescent="0.25">
      <c r="A60" s="624"/>
      <c r="B60" s="626"/>
      <c r="C60" s="236" t="s">
        <v>72</v>
      </c>
      <c r="D60" s="237">
        <f t="shared" si="6"/>
        <v>0</v>
      </c>
      <c r="E60" s="237">
        <f t="shared" si="6"/>
        <v>1.0000000000000002E-2</v>
      </c>
      <c r="F60" s="237">
        <f t="shared" si="6"/>
        <v>1.0000000000000002E-2</v>
      </c>
      <c r="G60" s="237">
        <f t="shared" si="6"/>
        <v>5.000000000000001E-3</v>
      </c>
      <c r="H60" s="237">
        <f t="shared" si="6"/>
        <v>1.0000000000000002E-2</v>
      </c>
      <c r="I60" s="237">
        <f t="shared" si="6"/>
        <v>1.0000000000000002E-2</v>
      </c>
      <c r="J60" s="237">
        <f t="shared" si="6"/>
        <v>0</v>
      </c>
      <c r="K60" s="237">
        <f t="shared" si="6"/>
        <v>0</v>
      </c>
      <c r="L60" s="237">
        <f t="shared" si="6"/>
        <v>0</v>
      </c>
      <c r="M60" s="237">
        <f t="shared" si="6"/>
        <v>0</v>
      </c>
      <c r="N60" s="237">
        <f t="shared" si="6"/>
        <v>0</v>
      </c>
      <c r="O60" s="237">
        <f t="shared" si="6"/>
        <v>0</v>
      </c>
      <c r="P60" s="238">
        <f t="shared" si="4"/>
        <v>4.5000000000000005E-2</v>
      </c>
      <c r="Q60" s="239">
        <f>+P60</f>
        <v>4.5000000000000005E-2</v>
      </c>
      <c r="R60" s="235">
        <f t="shared" si="5"/>
        <v>0</v>
      </c>
      <c r="S60" s="229"/>
      <c r="T60" s="229"/>
      <c r="U60" s="229"/>
      <c r="V60" s="229"/>
      <c r="W60" s="229"/>
      <c r="X60" s="229"/>
      <c r="Y60" s="229"/>
      <c r="Z60" s="229"/>
      <c r="AA60" s="229"/>
      <c r="AB60" s="229"/>
      <c r="AC60" s="229"/>
      <c r="AD60" s="229"/>
    </row>
    <row r="61" spans="1:30" x14ac:dyDescent="0.25">
      <c r="A61" s="620" t="str">
        <f>A42</f>
        <v>8. Convocar y gestionar las sesiones de las Mesas Locales de las Manzanas del Cuidado que se encuentran en funcionamiento</v>
      </c>
      <c r="B61" s="625">
        <f>B42</f>
        <v>0.05</v>
      </c>
      <c r="C61" s="231" t="s">
        <v>68</v>
      </c>
      <c r="D61" s="232">
        <f t="shared" ref="D61:O62" si="7">D42*$B$42/$P$42</f>
        <v>0</v>
      </c>
      <c r="E61" s="232">
        <f t="shared" si="7"/>
        <v>4.5045045045045045E-3</v>
      </c>
      <c r="F61" s="232">
        <f t="shared" si="7"/>
        <v>4.5495495495495499E-3</v>
      </c>
      <c r="G61" s="232">
        <f t="shared" si="7"/>
        <v>4.5495495495495499E-3</v>
      </c>
      <c r="H61" s="232">
        <f t="shared" si="7"/>
        <v>4.5495495495495499E-3</v>
      </c>
      <c r="I61" s="232">
        <f t="shared" si="7"/>
        <v>4.5495495495495499E-3</v>
      </c>
      <c r="J61" s="232">
        <f t="shared" si="7"/>
        <v>4.5495495495495499E-3</v>
      </c>
      <c r="K61" s="232">
        <f t="shared" si="7"/>
        <v>4.5495495495495499E-3</v>
      </c>
      <c r="L61" s="232">
        <f t="shared" si="7"/>
        <v>4.5495495495495499E-3</v>
      </c>
      <c r="M61" s="232">
        <f t="shared" si="7"/>
        <v>4.5495495495495499E-3</v>
      </c>
      <c r="N61" s="232">
        <f t="shared" si="7"/>
        <v>4.5495495495495499E-3</v>
      </c>
      <c r="O61" s="232">
        <f t="shared" si="7"/>
        <v>4.5495495495495499E-3</v>
      </c>
      <c r="P61" s="233">
        <f t="shared" si="4"/>
        <v>5.0000000000000017E-2</v>
      </c>
      <c r="Q61" s="234">
        <v>2.5000000000000001E-2</v>
      </c>
      <c r="R61" s="235">
        <f t="shared" si="5"/>
        <v>2.5000000000000015E-2</v>
      </c>
      <c r="S61" s="229"/>
      <c r="T61" s="229"/>
      <c r="U61" s="229"/>
      <c r="V61" s="229"/>
      <c r="W61" s="229"/>
      <c r="X61" s="229"/>
      <c r="Y61" s="229"/>
      <c r="Z61" s="229"/>
      <c r="AA61" s="229"/>
      <c r="AB61" s="229"/>
      <c r="AC61" s="229"/>
      <c r="AD61" s="229"/>
    </row>
    <row r="62" spans="1:30" x14ac:dyDescent="0.25">
      <c r="A62" s="624"/>
      <c r="B62" s="626"/>
      <c r="C62" s="236" t="s">
        <v>72</v>
      </c>
      <c r="D62" s="237">
        <f t="shared" si="7"/>
        <v>0</v>
      </c>
      <c r="E62" s="237">
        <f t="shared" si="7"/>
        <v>4.5045045045045045E-3</v>
      </c>
      <c r="F62" s="237">
        <f t="shared" si="7"/>
        <v>4.5495495495495499E-3</v>
      </c>
      <c r="G62" s="237">
        <f t="shared" si="7"/>
        <v>4.5495495495495499E-3</v>
      </c>
      <c r="H62" s="237">
        <f t="shared" si="7"/>
        <v>4.5495495495495499E-3</v>
      </c>
      <c r="I62" s="237">
        <f t="shared" si="7"/>
        <v>4.5495495495495499E-3</v>
      </c>
      <c r="J62" s="237">
        <f t="shared" si="7"/>
        <v>0</v>
      </c>
      <c r="K62" s="237">
        <f t="shared" si="7"/>
        <v>0</v>
      </c>
      <c r="L62" s="237">
        <f t="shared" si="7"/>
        <v>0</v>
      </c>
      <c r="M62" s="237">
        <f t="shared" si="7"/>
        <v>0</v>
      </c>
      <c r="N62" s="237">
        <f t="shared" si="7"/>
        <v>0</v>
      </c>
      <c r="O62" s="237">
        <f t="shared" si="7"/>
        <v>0</v>
      </c>
      <c r="P62" s="238">
        <f t="shared" si="4"/>
        <v>2.2702702702702707E-2</v>
      </c>
      <c r="Q62" s="239">
        <f>+P62</f>
        <v>2.2702702702702707E-2</v>
      </c>
      <c r="R62" s="235">
        <f t="shared" si="5"/>
        <v>0</v>
      </c>
      <c r="S62" s="229"/>
      <c r="T62" s="229"/>
      <c r="U62" s="229"/>
      <c r="V62" s="229"/>
      <c r="W62" s="229"/>
      <c r="X62" s="229"/>
      <c r="Y62" s="229"/>
      <c r="Z62" s="229"/>
      <c r="AA62" s="229"/>
      <c r="AB62" s="229"/>
      <c r="AC62" s="229"/>
      <c r="AD62" s="229"/>
    </row>
    <row r="63" spans="1:30" x14ac:dyDescent="0.25">
      <c r="A63" s="241"/>
      <c r="B63" s="242"/>
      <c r="C63" s="243"/>
      <c r="D63" s="232"/>
      <c r="E63" s="232"/>
      <c r="F63" s="232"/>
      <c r="G63" s="232"/>
      <c r="H63" s="232"/>
      <c r="I63" s="232"/>
      <c r="J63" s="232"/>
      <c r="K63" s="232"/>
      <c r="L63" s="232"/>
      <c r="M63" s="232"/>
      <c r="N63" s="232"/>
      <c r="O63" s="232"/>
      <c r="P63" s="244"/>
      <c r="Q63" s="234"/>
      <c r="R63" s="235"/>
      <c r="S63" s="229"/>
      <c r="T63" s="229"/>
      <c r="U63" s="229"/>
      <c r="V63" s="229"/>
      <c r="W63" s="229"/>
      <c r="X63" s="229"/>
      <c r="Y63" s="229"/>
      <c r="Z63" s="229"/>
      <c r="AA63" s="229"/>
      <c r="AB63" s="229"/>
      <c r="AC63" s="229"/>
      <c r="AD63" s="229"/>
    </row>
    <row r="64" spans="1:30" x14ac:dyDescent="0.25">
      <c r="A64" s="245"/>
      <c r="B64" s="246"/>
      <c r="C64" s="243"/>
      <c r="D64" s="247"/>
      <c r="E64" s="247"/>
      <c r="F64" s="247"/>
      <c r="G64" s="247"/>
      <c r="H64" s="247"/>
      <c r="I64" s="247"/>
      <c r="J64" s="247"/>
      <c r="K64" s="247"/>
      <c r="L64" s="247"/>
      <c r="M64" s="247"/>
      <c r="N64" s="247"/>
      <c r="O64" s="247"/>
      <c r="P64" s="244"/>
      <c r="Q64" s="239"/>
      <c r="R64" s="235"/>
      <c r="S64" s="229"/>
      <c r="T64" s="229"/>
      <c r="U64" s="229"/>
      <c r="V64" s="229"/>
      <c r="W64" s="229"/>
      <c r="X64" s="229"/>
      <c r="Y64" s="229"/>
      <c r="Z64" s="229"/>
      <c r="AA64" s="229"/>
      <c r="AB64" s="229"/>
      <c r="AC64" s="229"/>
      <c r="AD64" s="229"/>
    </row>
    <row r="65" spans="1:30" x14ac:dyDescent="0.25">
      <c r="A65" s="228"/>
      <c r="B65" s="248"/>
      <c r="C65" s="249"/>
      <c r="D65" s="250">
        <f>D58+D60+D62</f>
        <v>0</v>
      </c>
      <c r="E65" s="250">
        <f t="shared" ref="E65:O65" si="8">E58+E60+E62</f>
        <v>1.952963013264521E-2</v>
      </c>
      <c r="F65" s="250">
        <f t="shared" si="8"/>
        <v>1.9323418896283223E-2</v>
      </c>
      <c r="G65" s="250">
        <f t="shared" si="8"/>
        <v>1.432341889628322E-2</v>
      </c>
      <c r="H65" s="250">
        <f t="shared" si="8"/>
        <v>1.9323418896283223E-2</v>
      </c>
      <c r="I65" s="250">
        <f t="shared" si="8"/>
        <v>1.9323418896283223E-2</v>
      </c>
      <c r="J65" s="250">
        <f t="shared" si="8"/>
        <v>0</v>
      </c>
      <c r="K65" s="250">
        <f t="shared" si="8"/>
        <v>0</v>
      </c>
      <c r="L65" s="250">
        <f t="shared" si="8"/>
        <v>0</v>
      </c>
      <c r="M65" s="250">
        <f t="shared" si="8"/>
        <v>0</v>
      </c>
      <c r="N65" s="250">
        <f t="shared" si="8"/>
        <v>0</v>
      </c>
      <c r="O65" s="250">
        <f t="shared" si="8"/>
        <v>0</v>
      </c>
      <c r="P65" s="250">
        <f>P58+P60+P62</f>
        <v>9.1823305717778095E-2</v>
      </c>
      <c r="Q65" s="228"/>
      <c r="R65" s="235">
        <f t="shared" si="5"/>
        <v>9.1823305717778095E-2</v>
      </c>
      <c r="S65" s="229"/>
      <c r="T65" s="229"/>
      <c r="U65" s="229"/>
      <c r="V65" s="229"/>
      <c r="W65" s="229"/>
      <c r="X65" s="229"/>
      <c r="Y65" s="229"/>
      <c r="Z65" s="229"/>
      <c r="AA65" s="229"/>
      <c r="AB65" s="229"/>
      <c r="AC65" s="229"/>
      <c r="AD65" s="229"/>
    </row>
    <row r="66" spans="1:30" x14ac:dyDescent="0.25">
      <c r="A66" s="228"/>
      <c r="B66" s="251"/>
      <c r="C66" s="252" t="s">
        <v>72</v>
      </c>
      <c r="D66" s="253">
        <f>D65*$W$17/$B$34</f>
        <v>0</v>
      </c>
      <c r="E66" s="253">
        <f t="shared" ref="E66:O66" si="9">E65*$W$17/$B$34</f>
        <v>3.2549383554408687E-2</v>
      </c>
      <c r="F66" s="253">
        <f t="shared" si="9"/>
        <v>3.2205698160472043E-2</v>
      </c>
      <c r="G66" s="253">
        <f t="shared" si="9"/>
        <v>2.3872364827138701E-2</v>
      </c>
      <c r="H66" s="253">
        <f t="shared" si="9"/>
        <v>3.2205698160472043E-2</v>
      </c>
      <c r="I66" s="253">
        <f t="shared" si="9"/>
        <v>3.2205698160472043E-2</v>
      </c>
      <c r="J66" s="253">
        <f t="shared" si="9"/>
        <v>0</v>
      </c>
      <c r="K66" s="253">
        <f t="shared" si="9"/>
        <v>0</v>
      </c>
      <c r="L66" s="253">
        <f t="shared" si="9"/>
        <v>0</v>
      </c>
      <c r="M66" s="253">
        <f t="shared" si="9"/>
        <v>0</v>
      </c>
      <c r="N66" s="253">
        <f t="shared" si="9"/>
        <v>0</v>
      </c>
      <c r="O66" s="253">
        <f t="shared" si="9"/>
        <v>0</v>
      </c>
      <c r="P66" s="254">
        <f>SUM(D66:O66)</f>
        <v>0.15303884286296351</v>
      </c>
      <c r="Q66" s="255"/>
      <c r="R66" s="228"/>
      <c r="S66" s="229"/>
      <c r="T66" s="229"/>
      <c r="U66" s="229"/>
      <c r="V66" s="229"/>
      <c r="W66" s="229"/>
      <c r="X66" s="229"/>
      <c r="Y66" s="229"/>
      <c r="Z66" s="229"/>
      <c r="AA66" s="229"/>
      <c r="AB66" s="229"/>
      <c r="AC66" s="229"/>
      <c r="AD66" s="229"/>
    </row>
    <row r="67" spans="1:30" x14ac:dyDescent="0.25">
      <c r="A67" s="255"/>
      <c r="B67" s="256"/>
      <c r="C67" s="256"/>
      <c r="D67" s="256"/>
      <c r="E67" s="256"/>
      <c r="F67" s="256"/>
      <c r="G67" s="256"/>
      <c r="H67" s="256"/>
      <c r="I67" s="256"/>
      <c r="J67" s="256"/>
      <c r="K67" s="256"/>
      <c r="L67" s="256"/>
      <c r="M67" s="256"/>
      <c r="N67" s="256"/>
      <c r="O67" s="256"/>
      <c r="P67" s="256"/>
      <c r="Q67" s="255"/>
      <c r="R67" s="255"/>
      <c r="S67" s="229"/>
      <c r="T67" s="229"/>
      <c r="U67" s="229"/>
      <c r="V67" s="229"/>
      <c r="W67" s="229"/>
      <c r="X67" s="229"/>
      <c r="Y67" s="229"/>
      <c r="Z67" s="229"/>
      <c r="AA67" s="229"/>
      <c r="AB67" s="229"/>
      <c r="AC67" s="229"/>
      <c r="AD67" s="229"/>
    </row>
    <row r="68" spans="1:30" x14ac:dyDescent="0.25">
      <c r="A68" s="234"/>
      <c r="B68" s="108"/>
      <c r="C68" s="108"/>
      <c r="D68" s="250">
        <f t="shared" ref="D68:P68" si="10">+D57+D59+D61</f>
        <v>0</v>
      </c>
      <c r="E68" s="250">
        <f t="shared" si="10"/>
        <v>1.952963013264521E-2</v>
      </c>
      <c r="F68" s="250">
        <f t="shared" si="10"/>
        <v>1.9323418896283223E-2</v>
      </c>
      <c r="G68" s="250">
        <f t="shared" si="10"/>
        <v>1.9323418896283223E-2</v>
      </c>
      <c r="H68" s="250">
        <f t="shared" si="10"/>
        <v>9.3234188962832195E-3</v>
      </c>
      <c r="I68" s="250">
        <f t="shared" si="10"/>
        <v>9.3234188962832195E-3</v>
      </c>
      <c r="J68" s="250">
        <f t="shared" si="10"/>
        <v>1.9323418896283223E-2</v>
      </c>
      <c r="K68" s="250">
        <f t="shared" si="10"/>
        <v>9.3234188962832195E-3</v>
      </c>
      <c r="L68" s="250">
        <f t="shared" si="10"/>
        <v>1.9323418896283223E-2</v>
      </c>
      <c r="M68" s="250">
        <f t="shared" si="10"/>
        <v>9.3234188962832195E-3</v>
      </c>
      <c r="N68" s="250">
        <f t="shared" si="10"/>
        <v>9.3234188962832195E-3</v>
      </c>
      <c r="O68" s="250">
        <f t="shared" si="10"/>
        <v>6.5595998008058315E-3</v>
      </c>
      <c r="P68" s="250">
        <f t="shared" si="10"/>
        <v>0.15000000000000002</v>
      </c>
      <c r="Q68" s="234"/>
      <c r="R68" s="234"/>
      <c r="S68" s="229"/>
      <c r="T68" s="229"/>
      <c r="U68" s="229"/>
      <c r="V68" s="229"/>
      <c r="W68" s="229"/>
      <c r="X68" s="229"/>
      <c r="Y68" s="229"/>
      <c r="Z68" s="229"/>
      <c r="AA68" s="229"/>
      <c r="AB68" s="229"/>
      <c r="AC68" s="229"/>
      <c r="AD68" s="229"/>
    </row>
    <row r="69" spans="1:30" x14ac:dyDescent="0.25">
      <c r="A69" s="234"/>
      <c r="B69" s="108"/>
      <c r="C69" s="252" t="s">
        <v>68</v>
      </c>
      <c r="D69" s="253">
        <f t="shared" ref="D69:O69" si="11">D68*$W$17/$B$34</f>
        <v>0</v>
      </c>
      <c r="E69" s="253">
        <f t="shared" si="11"/>
        <v>3.2549383554408687E-2</v>
      </c>
      <c r="F69" s="253">
        <f t="shared" si="11"/>
        <v>3.2205698160472043E-2</v>
      </c>
      <c r="G69" s="253">
        <f t="shared" si="11"/>
        <v>3.2205698160472043E-2</v>
      </c>
      <c r="H69" s="253">
        <f t="shared" si="11"/>
        <v>1.5539031493805366E-2</v>
      </c>
      <c r="I69" s="253">
        <f t="shared" si="11"/>
        <v>1.5539031493805366E-2</v>
      </c>
      <c r="J69" s="253">
        <f t="shared" si="11"/>
        <v>3.2205698160472043E-2</v>
      </c>
      <c r="K69" s="253">
        <f t="shared" si="11"/>
        <v>1.5539031493805366E-2</v>
      </c>
      <c r="L69" s="253">
        <f t="shared" si="11"/>
        <v>3.2205698160472043E-2</v>
      </c>
      <c r="M69" s="253">
        <f t="shared" si="11"/>
        <v>1.5539031493805366E-2</v>
      </c>
      <c r="N69" s="253">
        <f t="shared" si="11"/>
        <v>1.5539031493805366E-2</v>
      </c>
      <c r="O69" s="253">
        <f t="shared" si="11"/>
        <v>1.0932666334676386E-2</v>
      </c>
      <c r="P69" s="254">
        <f>SUM(D69:O69)</f>
        <v>0.25000000000000006</v>
      </c>
      <c r="Q69" s="234"/>
      <c r="R69" s="234"/>
      <c r="S69" s="229"/>
      <c r="T69" s="229"/>
      <c r="U69" s="229"/>
      <c r="V69" s="229"/>
      <c r="W69" s="229"/>
      <c r="X69" s="229"/>
      <c r="Y69" s="229"/>
      <c r="Z69" s="229"/>
      <c r="AA69" s="229"/>
      <c r="AB69" s="229"/>
      <c r="AC69" s="229"/>
      <c r="AD69" s="229"/>
    </row>
    <row r="70" spans="1:30" x14ac:dyDescent="0.25">
      <c r="A70" s="229"/>
      <c r="Q70" s="229"/>
      <c r="R70" s="229"/>
      <c r="S70" s="229"/>
      <c r="T70" s="229"/>
      <c r="U70" s="229"/>
      <c r="V70" s="229"/>
      <c r="W70" s="229"/>
      <c r="X70" s="229"/>
      <c r="Y70" s="229"/>
      <c r="Z70" s="229"/>
      <c r="AA70" s="229"/>
      <c r="AB70" s="229"/>
      <c r="AC70" s="229"/>
      <c r="AD70" s="229"/>
    </row>
    <row r="71" spans="1:30" x14ac:dyDescent="0.25">
      <c r="A71" s="229"/>
      <c r="Q71" s="229"/>
      <c r="R71" s="229"/>
      <c r="S71" s="229"/>
      <c r="T71" s="229"/>
      <c r="U71" s="229"/>
      <c r="V71" s="229"/>
      <c r="W71" s="229"/>
      <c r="X71" s="229"/>
      <c r="Y71" s="229"/>
      <c r="Z71" s="229"/>
      <c r="AA71" s="229"/>
      <c r="AB71" s="229"/>
      <c r="AC71" s="229"/>
      <c r="AD71" s="229"/>
    </row>
    <row r="72" spans="1:30" x14ac:dyDescent="0.25">
      <c r="A72" s="229"/>
      <c r="Q72" s="229"/>
      <c r="R72" s="229"/>
      <c r="S72" s="229"/>
      <c r="T72" s="229"/>
      <c r="U72" s="229"/>
      <c r="V72" s="229"/>
      <c r="W72" s="229"/>
      <c r="X72" s="229"/>
      <c r="Y72" s="229"/>
      <c r="Z72" s="229"/>
      <c r="AA72" s="229"/>
      <c r="AB72" s="229"/>
      <c r="AC72" s="229"/>
      <c r="AD72" s="229"/>
    </row>
    <row r="73" spans="1:30" x14ac:dyDescent="0.25">
      <c r="A73" s="229"/>
      <c r="Q73" s="229"/>
      <c r="R73" s="229"/>
      <c r="S73" s="229"/>
      <c r="T73" s="229"/>
      <c r="U73" s="229"/>
      <c r="V73" s="229"/>
      <c r="W73" s="229"/>
      <c r="X73" s="229"/>
      <c r="Y73" s="229"/>
      <c r="Z73" s="229"/>
      <c r="AA73" s="229"/>
      <c r="AB73" s="229"/>
      <c r="AC73" s="229"/>
      <c r="AD73" s="229"/>
    </row>
    <row r="74" spans="1:30" x14ac:dyDescent="0.25">
      <c r="A74" s="229"/>
      <c r="Q74" s="229"/>
      <c r="R74" s="229"/>
      <c r="S74" s="229"/>
      <c r="T74" s="229"/>
      <c r="U74" s="229"/>
      <c r="V74" s="229"/>
      <c r="W74" s="229"/>
      <c r="X74" s="229"/>
      <c r="Y74" s="229"/>
      <c r="Z74" s="229"/>
      <c r="AA74" s="229"/>
      <c r="AB74" s="229"/>
      <c r="AC74" s="229"/>
      <c r="AD74" s="229"/>
    </row>
    <row r="75" spans="1:30" x14ac:dyDescent="0.25">
      <c r="A75" s="229"/>
      <c r="Q75" s="229"/>
      <c r="R75" s="229"/>
      <c r="S75" s="229"/>
      <c r="T75" s="229"/>
      <c r="U75" s="229"/>
      <c r="V75" s="229"/>
      <c r="W75" s="229"/>
      <c r="X75" s="229"/>
      <c r="Y75" s="229"/>
      <c r="Z75" s="229"/>
      <c r="AA75" s="229"/>
      <c r="AB75" s="229"/>
      <c r="AC75" s="229"/>
      <c r="AD75" s="229"/>
    </row>
    <row r="76" spans="1:30" x14ac:dyDescent="0.25">
      <c r="A76" s="229"/>
      <c r="Q76" s="229"/>
      <c r="R76" s="229"/>
      <c r="S76" s="229"/>
      <c r="T76" s="229"/>
      <c r="U76" s="229"/>
      <c r="V76" s="229"/>
      <c r="W76" s="229"/>
      <c r="X76" s="229"/>
      <c r="Y76" s="229"/>
      <c r="Z76" s="229"/>
      <c r="AA76" s="229"/>
      <c r="AB76" s="229"/>
      <c r="AC76" s="229"/>
      <c r="AD76" s="229"/>
    </row>
    <row r="77" spans="1:30" x14ac:dyDescent="0.25">
      <c r="A77" s="229"/>
      <c r="Q77" s="229"/>
      <c r="R77" s="229"/>
      <c r="S77" s="229"/>
      <c r="T77" s="229"/>
      <c r="U77" s="229"/>
      <c r="V77" s="229"/>
      <c r="W77" s="229"/>
      <c r="X77" s="229"/>
      <c r="Y77" s="229"/>
      <c r="Z77" s="229"/>
      <c r="AA77" s="229"/>
      <c r="AB77" s="229"/>
      <c r="AC77" s="229"/>
      <c r="AD77" s="229"/>
    </row>
    <row r="78" spans="1:30" x14ac:dyDescent="0.25">
      <c r="A78" s="229"/>
      <c r="Q78" s="229"/>
      <c r="R78" s="229"/>
      <c r="S78" s="229"/>
      <c r="T78" s="229"/>
      <c r="U78" s="229"/>
      <c r="V78" s="229"/>
      <c r="W78" s="229"/>
      <c r="X78" s="229"/>
      <c r="Y78" s="229"/>
      <c r="Z78" s="229"/>
      <c r="AA78" s="229"/>
      <c r="AB78" s="229"/>
      <c r="AC78" s="229"/>
      <c r="AD78" s="229"/>
    </row>
    <row r="79" spans="1:30" x14ac:dyDescent="0.25">
      <c r="A79" s="229"/>
      <c r="Q79" s="229"/>
      <c r="R79" s="229"/>
      <c r="S79" s="229"/>
      <c r="T79" s="229"/>
      <c r="U79" s="229"/>
      <c r="V79" s="229"/>
      <c r="W79" s="229"/>
      <c r="X79" s="229"/>
      <c r="Y79" s="229"/>
      <c r="Z79" s="229"/>
      <c r="AA79" s="229"/>
      <c r="AB79" s="229"/>
      <c r="AC79" s="229"/>
      <c r="AD79" s="229"/>
    </row>
    <row r="80" spans="1:30" x14ac:dyDescent="0.25">
      <c r="A80" s="229"/>
      <c r="Q80" s="229"/>
      <c r="R80" s="229"/>
      <c r="S80" s="229"/>
      <c r="T80" s="229"/>
      <c r="U80" s="229"/>
      <c r="V80" s="229"/>
      <c r="W80" s="229"/>
      <c r="X80" s="229"/>
      <c r="Y80" s="229"/>
      <c r="Z80" s="229"/>
      <c r="AA80" s="229"/>
      <c r="AB80" s="229"/>
      <c r="AC80" s="229"/>
      <c r="AD80" s="229"/>
    </row>
    <row r="81" spans="1:30" x14ac:dyDescent="0.25">
      <c r="A81" s="229"/>
      <c r="Q81" s="229"/>
      <c r="R81" s="229"/>
      <c r="S81" s="229"/>
      <c r="T81" s="229"/>
      <c r="U81" s="229"/>
      <c r="V81" s="229"/>
      <c r="W81" s="229"/>
      <c r="X81" s="229"/>
      <c r="Y81" s="229"/>
      <c r="Z81" s="229"/>
      <c r="AA81" s="229"/>
      <c r="AB81" s="229"/>
      <c r="AC81" s="229"/>
      <c r="AD81" s="229"/>
    </row>
    <row r="82" spans="1:30" x14ac:dyDescent="0.25">
      <c r="A82" s="229"/>
      <c r="Q82" s="229"/>
      <c r="R82" s="229"/>
      <c r="S82" s="229"/>
      <c r="T82" s="229"/>
      <c r="U82" s="229"/>
      <c r="V82" s="229"/>
      <c r="W82" s="229"/>
      <c r="X82" s="229"/>
      <c r="Y82" s="229"/>
      <c r="Z82" s="229"/>
      <c r="AA82" s="229"/>
      <c r="AB82" s="229"/>
      <c r="AC82" s="229"/>
      <c r="AD82" s="229"/>
    </row>
    <row r="83" spans="1:30" x14ac:dyDescent="0.25">
      <c r="A83" s="229"/>
      <c r="Q83" s="229"/>
      <c r="R83" s="229"/>
      <c r="S83" s="229"/>
      <c r="T83" s="229"/>
      <c r="U83" s="229"/>
      <c r="V83" s="229"/>
      <c r="W83" s="229"/>
      <c r="X83" s="229"/>
      <c r="Y83" s="229"/>
      <c r="Z83" s="229"/>
      <c r="AA83" s="229"/>
      <c r="AB83" s="229"/>
      <c r="AC83" s="229"/>
      <c r="AD83" s="229"/>
    </row>
    <row r="84" spans="1:30" x14ac:dyDescent="0.25">
      <c r="A84" s="229"/>
      <c r="Q84" s="229"/>
      <c r="R84" s="229"/>
      <c r="S84" s="229"/>
      <c r="T84" s="229"/>
      <c r="U84" s="229"/>
      <c r="V84" s="229"/>
      <c r="W84" s="229"/>
      <c r="X84" s="229"/>
      <c r="Y84" s="229"/>
      <c r="Z84" s="229"/>
      <c r="AA84" s="229"/>
      <c r="AB84" s="229"/>
      <c r="AC84" s="229"/>
      <c r="AD84" s="229"/>
    </row>
    <row r="85" spans="1:30" x14ac:dyDescent="0.25">
      <c r="A85" s="229"/>
      <c r="Q85" s="229"/>
      <c r="R85" s="229"/>
      <c r="S85" s="229"/>
      <c r="T85" s="229"/>
      <c r="U85" s="229"/>
      <c r="V85" s="229"/>
      <c r="W85" s="229"/>
      <c r="X85" s="229"/>
      <c r="Y85" s="229"/>
      <c r="Z85" s="229"/>
      <c r="AA85" s="229"/>
      <c r="AB85" s="229"/>
      <c r="AC85" s="229"/>
      <c r="AD85" s="229"/>
    </row>
    <row r="86" spans="1:30" x14ac:dyDescent="0.25">
      <c r="A86" s="229"/>
      <c r="Q86" s="229"/>
      <c r="R86" s="229"/>
      <c r="S86" s="229"/>
      <c r="T86" s="229"/>
      <c r="U86" s="229"/>
      <c r="V86" s="229"/>
      <c r="W86" s="229"/>
      <c r="X86" s="229"/>
      <c r="Y86" s="229"/>
      <c r="Z86" s="229"/>
      <c r="AA86" s="229"/>
      <c r="AB86" s="229"/>
      <c r="AC86" s="229"/>
      <c r="AD86" s="229"/>
    </row>
    <row r="87" spans="1:30" x14ac:dyDescent="0.25">
      <c r="A87" s="229"/>
      <c r="Q87" s="229"/>
      <c r="R87" s="229"/>
      <c r="S87" s="229"/>
      <c r="T87" s="229"/>
      <c r="U87" s="229"/>
      <c r="V87" s="229"/>
      <c r="W87" s="229"/>
      <c r="X87" s="229"/>
      <c r="Y87" s="229"/>
      <c r="Z87" s="229"/>
      <c r="AA87" s="229"/>
      <c r="AB87" s="229"/>
      <c r="AC87" s="229"/>
      <c r="AD87" s="229"/>
    </row>
    <row r="88" spans="1:30" x14ac:dyDescent="0.25">
      <c r="A88" s="229"/>
      <c r="Q88" s="229"/>
      <c r="R88" s="229"/>
      <c r="S88" s="229"/>
      <c r="T88" s="229"/>
      <c r="U88" s="229"/>
      <c r="V88" s="229"/>
      <c r="W88" s="229"/>
      <c r="X88" s="229"/>
      <c r="Y88" s="229"/>
      <c r="Z88" s="229"/>
      <c r="AA88" s="229"/>
      <c r="AB88" s="229"/>
      <c r="AC88" s="229"/>
      <c r="AD88" s="229"/>
    </row>
    <row r="89" spans="1:30" x14ac:dyDescent="0.25">
      <c r="A89" s="229"/>
      <c r="Q89" s="229"/>
      <c r="R89" s="229"/>
      <c r="S89" s="229"/>
      <c r="T89" s="229"/>
      <c r="U89" s="229"/>
      <c r="V89" s="229"/>
      <c r="W89" s="229"/>
      <c r="X89" s="229"/>
      <c r="Y89" s="229"/>
      <c r="Z89" s="229"/>
      <c r="AA89" s="229"/>
      <c r="AB89" s="229"/>
      <c r="AC89" s="229"/>
      <c r="AD89" s="229"/>
    </row>
    <row r="90" spans="1:30" x14ac:dyDescent="0.25">
      <c r="A90" s="229"/>
      <c r="Q90" s="229"/>
      <c r="R90" s="229"/>
      <c r="S90" s="229"/>
      <c r="T90" s="229"/>
      <c r="U90" s="229"/>
      <c r="V90" s="229"/>
      <c r="W90" s="229"/>
      <c r="X90" s="229"/>
      <c r="Y90" s="229"/>
      <c r="Z90" s="229"/>
      <c r="AA90" s="229"/>
      <c r="AB90" s="229"/>
      <c r="AC90" s="229"/>
      <c r="AD90" s="229"/>
    </row>
    <row r="91" spans="1:30" x14ac:dyDescent="0.25">
      <c r="A91" s="229"/>
      <c r="Q91" s="229"/>
      <c r="R91" s="229"/>
      <c r="S91" s="229"/>
      <c r="T91" s="229"/>
      <c r="U91" s="229"/>
      <c r="V91" s="229"/>
      <c r="W91" s="229"/>
      <c r="X91" s="229"/>
      <c r="Y91" s="229"/>
      <c r="Z91" s="229"/>
      <c r="AA91" s="229"/>
      <c r="AB91" s="229"/>
      <c r="AC91" s="229"/>
      <c r="AD91" s="229"/>
    </row>
    <row r="92" spans="1:30" x14ac:dyDescent="0.25">
      <c r="A92" s="229"/>
      <c r="Q92" s="229"/>
      <c r="R92" s="229"/>
      <c r="S92" s="229"/>
      <c r="T92" s="229"/>
      <c r="U92" s="229"/>
      <c r="V92" s="229"/>
      <c r="W92" s="229"/>
      <c r="X92" s="229"/>
      <c r="Y92" s="229"/>
      <c r="Z92" s="229"/>
      <c r="AA92" s="229"/>
      <c r="AB92" s="229"/>
      <c r="AC92" s="229"/>
      <c r="AD92" s="229"/>
    </row>
    <row r="93" spans="1:30" x14ac:dyDescent="0.25">
      <c r="A93" s="229"/>
      <c r="Q93" s="229"/>
      <c r="R93" s="229"/>
      <c r="S93" s="229"/>
      <c r="T93" s="229"/>
      <c r="U93" s="229"/>
      <c r="V93" s="229"/>
      <c r="W93" s="229"/>
      <c r="X93" s="229"/>
      <c r="Y93" s="229"/>
      <c r="Z93" s="229"/>
      <c r="AA93" s="229"/>
      <c r="AB93" s="229"/>
      <c r="AC93" s="229"/>
      <c r="AD93" s="229"/>
    </row>
    <row r="94" spans="1:30" x14ac:dyDescent="0.25">
      <c r="A94" s="229"/>
      <c r="Q94" s="229"/>
      <c r="R94" s="229"/>
      <c r="S94" s="229"/>
      <c r="T94" s="229"/>
      <c r="U94" s="229"/>
      <c r="V94" s="229"/>
      <c r="W94" s="229"/>
      <c r="X94" s="229"/>
      <c r="Y94" s="229"/>
      <c r="Z94" s="229"/>
      <c r="AA94" s="229"/>
      <c r="AB94" s="229"/>
      <c r="AC94" s="229"/>
      <c r="AD94" s="229"/>
    </row>
    <row r="95" spans="1:30" x14ac:dyDescent="0.25">
      <c r="A95" s="229"/>
      <c r="Q95" s="229"/>
      <c r="R95" s="229"/>
      <c r="S95" s="229"/>
      <c r="T95" s="229"/>
      <c r="U95" s="229"/>
      <c r="V95" s="229"/>
      <c r="W95" s="229"/>
      <c r="X95" s="229"/>
      <c r="Y95" s="229"/>
      <c r="Z95" s="229"/>
      <c r="AA95" s="229"/>
      <c r="AB95" s="229"/>
      <c r="AC95" s="229"/>
      <c r="AD95" s="229"/>
    </row>
    <row r="96" spans="1:30" x14ac:dyDescent="0.25">
      <c r="A96" s="229"/>
      <c r="Q96" s="229"/>
      <c r="R96" s="229"/>
      <c r="S96" s="229"/>
      <c r="T96" s="229"/>
      <c r="U96" s="229"/>
      <c r="V96" s="229"/>
      <c r="W96" s="229"/>
      <c r="X96" s="229"/>
      <c r="Y96" s="229"/>
      <c r="Z96" s="229"/>
      <c r="AA96" s="229"/>
      <c r="AB96" s="229"/>
      <c r="AC96" s="229"/>
      <c r="AD96" s="229"/>
    </row>
    <row r="97" spans="1:30" x14ac:dyDescent="0.25">
      <c r="A97" s="229"/>
      <c r="Q97" s="229"/>
      <c r="R97" s="229"/>
      <c r="S97" s="229"/>
      <c r="T97" s="229"/>
      <c r="U97" s="229"/>
      <c r="V97" s="229"/>
      <c r="W97" s="229"/>
      <c r="X97" s="229"/>
      <c r="Y97" s="229"/>
      <c r="Z97" s="229"/>
      <c r="AA97" s="229"/>
      <c r="AB97" s="229"/>
      <c r="AC97" s="229"/>
      <c r="AD97" s="229"/>
    </row>
    <row r="98" spans="1:30" x14ac:dyDescent="0.25">
      <c r="A98" s="229"/>
      <c r="Q98" s="229"/>
      <c r="R98" s="229"/>
      <c r="S98" s="229"/>
      <c r="T98" s="229"/>
      <c r="U98" s="229"/>
      <c r="V98" s="229"/>
      <c r="W98" s="229"/>
      <c r="X98" s="229"/>
      <c r="Y98" s="229"/>
      <c r="Z98" s="229"/>
      <c r="AA98" s="229"/>
      <c r="AB98" s="229"/>
      <c r="AC98" s="229"/>
      <c r="AD98" s="229"/>
    </row>
  </sheetData>
  <mergeCells count="89">
    <mergeCell ref="A61:A62"/>
    <mergeCell ref="B61:B62"/>
    <mergeCell ref="A55:A56"/>
    <mergeCell ref="B55:B56"/>
    <mergeCell ref="C55:P55"/>
    <mergeCell ref="A57:A58"/>
    <mergeCell ref="B57:B58"/>
    <mergeCell ref="A59:A60"/>
    <mergeCell ref="B59:B60"/>
    <mergeCell ref="A1:A4"/>
    <mergeCell ref="B1:AA1"/>
    <mergeCell ref="O7:P7"/>
    <mergeCell ref="M8:N8"/>
    <mergeCell ref="O8:P8"/>
    <mergeCell ref="AB1:AD1"/>
    <mergeCell ref="B2:AA2"/>
    <mergeCell ref="AB2:AD2"/>
    <mergeCell ref="B3:AA4"/>
    <mergeCell ref="AB3:AD3"/>
    <mergeCell ref="AB4:AD4"/>
    <mergeCell ref="A11:B13"/>
    <mergeCell ref="C11:AD13"/>
    <mergeCell ref="A7:B9"/>
    <mergeCell ref="C7:C9"/>
    <mergeCell ref="D7:H9"/>
    <mergeCell ref="I7:J9"/>
    <mergeCell ref="K7:L9"/>
    <mergeCell ref="M7:N7"/>
    <mergeCell ref="M9:N9"/>
    <mergeCell ref="O9:P9"/>
    <mergeCell ref="AA15:AD15"/>
    <mergeCell ref="C16:AB16"/>
    <mergeCell ref="A17:B17"/>
    <mergeCell ref="C17:Q17"/>
    <mergeCell ref="R17:V17"/>
    <mergeCell ref="W17:X17"/>
    <mergeCell ref="Y17:AB17"/>
    <mergeCell ref="AC17:AD17"/>
    <mergeCell ref="A15:B15"/>
    <mergeCell ref="C15:K15"/>
    <mergeCell ref="L15:Q15"/>
    <mergeCell ref="R15:X15"/>
    <mergeCell ref="Y15:Z15"/>
    <mergeCell ref="A19:AD19"/>
    <mergeCell ref="C20:P20"/>
    <mergeCell ref="Q20:AD20"/>
    <mergeCell ref="A22:B22"/>
    <mergeCell ref="A23:B23"/>
    <mergeCell ref="A24:B24"/>
    <mergeCell ref="A25:B25"/>
    <mergeCell ref="A27:AD27"/>
    <mergeCell ref="A28:A29"/>
    <mergeCell ref="B28:C29"/>
    <mergeCell ref="D28:O28"/>
    <mergeCell ref="P28:P29"/>
    <mergeCell ref="Q28:AD29"/>
    <mergeCell ref="B30:C30"/>
    <mergeCell ref="Q30:AD30"/>
    <mergeCell ref="A31:AD31"/>
    <mergeCell ref="A32:A33"/>
    <mergeCell ref="B32:B33"/>
    <mergeCell ref="C32:C33"/>
    <mergeCell ref="D32:P32"/>
    <mergeCell ref="Q32:AD32"/>
    <mergeCell ref="Q33:S33"/>
    <mergeCell ref="T33:V33"/>
    <mergeCell ref="W33:Z33"/>
    <mergeCell ref="AA33:AD33"/>
    <mergeCell ref="A34:A35"/>
    <mergeCell ref="B34:B35"/>
    <mergeCell ref="Q34:S35"/>
    <mergeCell ref="T34:V35"/>
    <mergeCell ref="W34:Z35"/>
    <mergeCell ref="AF22:AM25"/>
    <mergeCell ref="A42:A43"/>
    <mergeCell ref="B42:B43"/>
    <mergeCell ref="Q42:AD43"/>
    <mergeCell ref="A38:A39"/>
    <mergeCell ref="B38:B39"/>
    <mergeCell ref="Q38:AD39"/>
    <mergeCell ref="A40:A41"/>
    <mergeCell ref="B40:B41"/>
    <mergeCell ref="Q40:AD41"/>
    <mergeCell ref="AA34:AD35"/>
    <mergeCell ref="A36:A37"/>
    <mergeCell ref="B36:B37"/>
    <mergeCell ref="C36:P36"/>
    <mergeCell ref="Q36:AD36"/>
    <mergeCell ref="Q37:AD37"/>
  </mergeCells>
  <dataValidations count="2">
    <dataValidation type="list" allowBlank="1" showInputMessage="1" showErrorMessage="1" sqref="C7:C9" xr:uid="{8EBF0961-82AB-4C60-AF3C-01FD0AF1D5EB}">
      <formula1>$C$21:$N$21</formula1>
    </dataValidation>
    <dataValidation type="textLength" operator="lessThanOrEqual" allowBlank="1" showInputMessage="1" showErrorMessage="1" errorTitle="Máximo 2.000 caracteres" error="Máximo 2.000 caracteres" promptTitle="2.000 caracteres" sqref="Q30:AD30" xr:uid="{00000000-0002-0000-0200-000001000000}">
      <formula1>2000</formula1>
    </dataValidation>
  </dataValidations>
  <pageMargins left="0.25" right="0.25" top="0.75" bottom="0.75" header="0.3" footer="0.3"/>
  <pageSetup scale="20" orientation="landscape" r:id="rId1"/>
  <customProperties>
    <customPr name="_pios_id" r:id="rId2"/>
  </customProperties>
  <drawing r:id="rId3"/>
  <legacyDrawing r:id="rId4"/>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7" tint="0.39997558519241921"/>
    <pageSetUpPr fitToPage="1"/>
  </sheetPr>
  <dimension ref="A1:BA69"/>
  <sheetViews>
    <sheetView showGridLines="0" tabSelected="1" topLeftCell="P34" zoomScale="60" zoomScaleNormal="60" workbookViewId="0">
      <selection activeCell="T34" sqref="T34:V35"/>
    </sheetView>
  </sheetViews>
  <sheetFormatPr baseColWidth="10" defaultColWidth="10.85546875" defaultRowHeight="15" x14ac:dyDescent="0.25"/>
  <cols>
    <col min="1" max="1" width="38.42578125" style="50" customWidth="1"/>
    <col min="2" max="2" width="15.42578125" style="50" customWidth="1"/>
    <col min="3" max="14" width="20.7109375" style="50" customWidth="1"/>
    <col min="15" max="15" width="16.140625" style="50" customWidth="1"/>
    <col min="16" max="18" width="18.140625" style="50" customWidth="1"/>
    <col min="19" max="19" width="23.7109375" style="50" customWidth="1"/>
    <col min="20" max="22" width="27.140625" style="50" customWidth="1"/>
    <col min="23" max="27" width="18.140625" style="50" customWidth="1"/>
    <col min="28" max="28" width="22.7109375" style="50" customWidth="1"/>
    <col min="29" max="29" width="19" style="50" customWidth="1"/>
    <col min="30" max="30" width="19.42578125" style="50" customWidth="1"/>
    <col min="31" max="31" width="6.28515625" style="50" bestFit="1" customWidth="1"/>
    <col min="32" max="32" width="22.85546875" style="50" customWidth="1"/>
    <col min="33" max="33" width="18.42578125" style="50" bestFit="1" customWidth="1"/>
    <col min="34" max="34" width="8.42578125" style="50" customWidth="1"/>
    <col min="35" max="35" width="18.42578125" style="50" bestFit="1" customWidth="1"/>
    <col min="36" max="36" width="5.7109375" style="50" customWidth="1"/>
    <col min="37" max="37" width="18.42578125" style="50" bestFit="1" customWidth="1"/>
    <col min="38" max="38" width="4.7109375" style="50" customWidth="1"/>
    <col min="39" max="39" width="23" style="50" bestFit="1" customWidth="1"/>
    <col min="40" max="40" width="10.85546875" style="50"/>
    <col min="41" max="41" width="18.42578125" style="50" bestFit="1" customWidth="1"/>
    <col min="42" max="42" width="16.140625" style="50" customWidth="1"/>
    <col min="43" max="16384" width="10.85546875" style="50"/>
  </cols>
  <sheetData>
    <row r="1" spans="1:53" ht="32.25" customHeight="1" thickBot="1" x14ac:dyDescent="0.3">
      <c r="A1" s="443"/>
      <c r="B1" s="446" t="s">
        <v>0</v>
      </c>
      <c r="C1" s="447"/>
      <c r="D1" s="447"/>
      <c r="E1" s="447"/>
      <c r="F1" s="447"/>
      <c r="G1" s="447"/>
      <c r="H1" s="447"/>
      <c r="I1" s="447"/>
      <c r="J1" s="447"/>
      <c r="K1" s="447"/>
      <c r="L1" s="447"/>
      <c r="M1" s="447"/>
      <c r="N1" s="447"/>
      <c r="O1" s="447"/>
      <c r="P1" s="447"/>
      <c r="Q1" s="447"/>
      <c r="R1" s="447"/>
      <c r="S1" s="447"/>
      <c r="T1" s="447"/>
      <c r="U1" s="447"/>
      <c r="V1" s="447"/>
      <c r="W1" s="447"/>
      <c r="X1" s="447"/>
      <c r="Y1" s="447"/>
      <c r="Z1" s="447"/>
      <c r="AA1" s="448"/>
      <c r="AB1" s="449" t="s">
        <v>1</v>
      </c>
      <c r="AC1" s="450"/>
      <c r="AD1" s="451"/>
    </row>
    <row r="2" spans="1:53" ht="30.75" customHeight="1" thickBot="1" x14ac:dyDescent="0.3">
      <c r="A2" s="444"/>
      <c r="B2" s="446" t="s">
        <v>97</v>
      </c>
      <c r="C2" s="447"/>
      <c r="D2" s="447"/>
      <c r="E2" s="447"/>
      <c r="F2" s="447"/>
      <c r="G2" s="447"/>
      <c r="H2" s="447"/>
      <c r="I2" s="447"/>
      <c r="J2" s="447"/>
      <c r="K2" s="447"/>
      <c r="L2" s="447"/>
      <c r="M2" s="447"/>
      <c r="N2" s="447"/>
      <c r="O2" s="447"/>
      <c r="P2" s="447"/>
      <c r="Q2" s="447"/>
      <c r="R2" s="447"/>
      <c r="S2" s="447"/>
      <c r="T2" s="447"/>
      <c r="U2" s="447"/>
      <c r="V2" s="447"/>
      <c r="W2" s="447"/>
      <c r="X2" s="447"/>
      <c r="Y2" s="447"/>
      <c r="Z2" s="447"/>
      <c r="AA2" s="448"/>
      <c r="AB2" s="470" t="s">
        <v>3</v>
      </c>
      <c r="AC2" s="471"/>
      <c r="AD2" s="472"/>
    </row>
    <row r="3" spans="1:53" ht="24" customHeight="1" x14ac:dyDescent="0.25">
      <c r="A3" s="444"/>
      <c r="B3" s="473" t="s">
        <v>4</v>
      </c>
      <c r="C3" s="474"/>
      <c r="D3" s="474"/>
      <c r="E3" s="474"/>
      <c r="F3" s="474"/>
      <c r="G3" s="474"/>
      <c r="H3" s="474"/>
      <c r="I3" s="474"/>
      <c r="J3" s="474"/>
      <c r="K3" s="474"/>
      <c r="L3" s="474"/>
      <c r="M3" s="474"/>
      <c r="N3" s="474"/>
      <c r="O3" s="474"/>
      <c r="P3" s="474"/>
      <c r="Q3" s="474"/>
      <c r="R3" s="474"/>
      <c r="S3" s="474"/>
      <c r="T3" s="474"/>
      <c r="U3" s="474"/>
      <c r="V3" s="474"/>
      <c r="W3" s="474"/>
      <c r="X3" s="474"/>
      <c r="Y3" s="474"/>
      <c r="Z3" s="474"/>
      <c r="AA3" s="475"/>
      <c r="AB3" s="470" t="s">
        <v>5</v>
      </c>
      <c r="AC3" s="471"/>
      <c r="AD3" s="472"/>
    </row>
    <row r="4" spans="1:53" ht="21.95" customHeight="1" thickBot="1" x14ac:dyDescent="0.3">
      <c r="A4" s="445"/>
      <c r="B4" s="476"/>
      <c r="C4" s="477"/>
      <c r="D4" s="477"/>
      <c r="E4" s="477"/>
      <c r="F4" s="477"/>
      <c r="G4" s="477"/>
      <c r="H4" s="477"/>
      <c r="I4" s="477"/>
      <c r="J4" s="477"/>
      <c r="K4" s="477"/>
      <c r="L4" s="477"/>
      <c r="M4" s="477"/>
      <c r="N4" s="477"/>
      <c r="O4" s="477"/>
      <c r="P4" s="477"/>
      <c r="Q4" s="477"/>
      <c r="R4" s="477"/>
      <c r="S4" s="477"/>
      <c r="T4" s="477"/>
      <c r="U4" s="477"/>
      <c r="V4" s="477"/>
      <c r="W4" s="477"/>
      <c r="X4" s="477"/>
      <c r="Y4" s="477"/>
      <c r="Z4" s="477"/>
      <c r="AA4" s="478"/>
      <c r="AB4" s="479" t="s">
        <v>6</v>
      </c>
      <c r="AC4" s="480"/>
      <c r="AD4" s="481"/>
    </row>
    <row r="5" spans="1:53" ht="9" customHeight="1" thickBot="1" x14ac:dyDescent="0.3">
      <c r="A5" s="51"/>
      <c r="B5" s="202"/>
      <c r="C5" s="203"/>
      <c r="D5" s="54"/>
      <c r="E5" s="54"/>
      <c r="F5" s="54"/>
      <c r="G5" s="54"/>
      <c r="H5" s="54"/>
      <c r="I5" s="54"/>
      <c r="J5" s="54"/>
      <c r="K5" s="54"/>
      <c r="L5" s="54"/>
      <c r="M5" s="54"/>
      <c r="N5" s="54"/>
      <c r="O5" s="54"/>
      <c r="P5" s="54"/>
      <c r="Q5" s="54"/>
      <c r="R5" s="54"/>
      <c r="S5" s="54"/>
      <c r="T5" s="54"/>
      <c r="U5" s="54"/>
      <c r="V5" s="54"/>
      <c r="W5" s="54"/>
      <c r="X5" s="54"/>
      <c r="Y5" s="54"/>
      <c r="Z5" s="55"/>
      <c r="AA5" s="54"/>
      <c r="AB5" s="56"/>
      <c r="AC5" s="57"/>
      <c r="AD5" s="58"/>
    </row>
    <row r="6" spans="1:53" ht="9" customHeight="1" x14ac:dyDescent="0.25">
      <c r="A6" s="59"/>
      <c r="B6" s="54"/>
      <c r="C6" s="54"/>
      <c r="D6" s="54"/>
      <c r="E6" s="54"/>
      <c r="F6" s="54"/>
      <c r="G6" s="54"/>
      <c r="H6" s="54"/>
      <c r="I6" s="54"/>
      <c r="J6" s="54"/>
      <c r="K6" s="54"/>
      <c r="L6" s="54"/>
      <c r="M6" s="54"/>
      <c r="N6" s="54"/>
      <c r="O6" s="54"/>
      <c r="P6" s="54"/>
      <c r="Q6" s="54"/>
      <c r="R6" s="54"/>
      <c r="S6" s="54"/>
      <c r="T6" s="54"/>
      <c r="U6" s="54"/>
      <c r="V6" s="54"/>
      <c r="W6" s="54"/>
      <c r="X6" s="54"/>
      <c r="Y6" s="54"/>
      <c r="Z6" s="55"/>
      <c r="AA6" s="54"/>
      <c r="AB6" s="54"/>
      <c r="AC6" s="60"/>
      <c r="AD6" s="61"/>
    </row>
    <row r="7" spans="1:53" ht="15" customHeight="1" x14ac:dyDescent="0.25">
      <c r="A7" s="464" t="s">
        <v>7</v>
      </c>
      <c r="B7" s="465"/>
      <c r="C7" s="500" t="s">
        <v>8</v>
      </c>
      <c r="D7" s="464" t="s">
        <v>9</v>
      </c>
      <c r="E7" s="482"/>
      <c r="F7" s="482"/>
      <c r="G7" s="482"/>
      <c r="H7" s="465"/>
      <c r="I7" s="485">
        <v>45113</v>
      </c>
      <c r="J7" s="486"/>
      <c r="K7" s="464" t="s">
        <v>10</v>
      </c>
      <c r="L7" s="465"/>
      <c r="M7" s="456" t="s">
        <v>98</v>
      </c>
      <c r="N7" s="457"/>
      <c r="O7" s="458"/>
      <c r="P7" s="459"/>
      <c r="Q7" s="54"/>
      <c r="R7" s="54"/>
      <c r="S7" s="54"/>
      <c r="T7" s="54"/>
      <c r="U7" s="54"/>
      <c r="V7" s="54"/>
      <c r="W7" s="54"/>
      <c r="X7" s="54"/>
      <c r="Y7" s="54"/>
      <c r="Z7" s="55"/>
      <c r="AA7" s="54"/>
      <c r="AB7" s="54"/>
      <c r="AC7" s="60"/>
      <c r="AD7" s="61"/>
    </row>
    <row r="8" spans="1:53" ht="15" customHeight="1" x14ac:dyDescent="0.25">
      <c r="A8" s="466"/>
      <c r="B8" s="467"/>
      <c r="C8" s="501"/>
      <c r="D8" s="466"/>
      <c r="E8" s="483"/>
      <c r="F8" s="483"/>
      <c r="G8" s="483"/>
      <c r="H8" s="467"/>
      <c r="I8" s="487"/>
      <c r="J8" s="488"/>
      <c r="K8" s="466"/>
      <c r="L8" s="467"/>
      <c r="M8" s="460" t="s">
        <v>99</v>
      </c>
      <c r="N8" s="461"/>
      <c r="O8" s="462" t="s">
        <v>14</v>
      </c>
      <c r="P8" s="463"/>
      <c r="Q8" s="54"/>
      <c r="R8" s="54"/>
      <c r="S8" s="54"/>
      <c r="T8" s="54"/>
      <c r="U8" s="54"/>
      <c r="V8" s="54"/>
      <c r="W8" s="54"/>
      <c r="X8" s="54"/>
      <c r="Y8" s="54"/>
      <c r="Z8" s="55"/>
      <c r="AA8" s="54"/>
      <c r="AB8" s="54"/>
      <c r="AC8" s="60"/>
      <c r="AD8" s="61"/>
    </row>
    <row r="9" spans="1:53" ht="15.75" customHeight="1" thickBot="1" x14ac:dyDescent="0.3">
      <c r="A9" s="468"/>
      <c r="B9" s="469"/>
      <c r="C9" s="502"/>
      <c r="D9" s="468"/>
      <c r="E9" s="484"/>
      <c r="F9" s="484"/>
      <c r="G9" s="484"/>
      <c r="H9" s="469"/>
      <c r="I9" s="489"/>
      <c r="J9" s="490"/>
      <c r="K9" s="468"/>
      <c r="L9" s="469"/>
      <c r="M9" s="452" t="s">
        <v>13</v>
      </c>
      <c r="N9" s="453"/>
      <c r="O9" s="454" t="s">
        <v>14</v>
      </c>
      <c r="P9" s="455"/>
      <c r="Q9" s="54"/>
      <c r="R9" s="54"/>
      <c r="S9" s="54"/>
      <c r="T9" s="54"/>
      <c r="U9" s="54"/>
      <c r="V9" s="54"/>
      <c r="W9" s="54"/>
      <c r="X9" s="54"/>
      <c r="Y9" s="54"/>
      <c r="Z9" s="55"/>
      <c r="AA9" s="54"/>
      <c r="AB9" s="54"/>
      <c r="AC9" s="60"/>
      <c r="AD9" s="61"/>
    </row>
    <row r="10" spans="1:53" ht="15" customHeight="1" x14ac:dyDescent="0.25">
      <c r="A10" s="169"/>
      <c r="B10" s="170"/>
      <c r="C10" s="170"/>
      <c r="D10" s="65"/>
      <c r="E10" s="65"/>
      <c r="F10" s="65"/>
      <c r="G10" s="65"/>
      <c r="H10" s="65"/>
      <c r="I10" s="166"/>
      <c r="J10" s="166"/>
      <c r="K10" s="65"/>
      <c r="L10" s="65"/>
      <c r="M10" s="167"/>
      <c r="N10" s="167"/>
      <c r="O10" s="168"/>
      <c r="P10" s="168"/>
      <c r="Q10" s="170"/>
      <c r="R10" s="170"/>
      <c r="S10" s="170"/>
      <c r="T10" s="170"/>
      <c r="U10" s="170"/>
      <c r="V10" s="170"/>
      <c r="W10" s="170"/>
      <c r="X10" s="170"/>
      <c r="Y10" s="170"/>
      <c r="Z10" s="171"/>
      <c r="AA10" s="170"/>
      <c r="AB10" s="170"/>
      <c r="AC10" s="172"/>
      <c r="AD10" s="173"/>
    </row>
    <row r="11" spans="1:53" ht="15" customHeight="1" x14ac:dyDescent="0.25">
      <c r="A11" s="464" t="s">
        <v>15</v>
      </c>
      <c r="B11" s="465"/>
      <c r="C11" s="491" t="s">
        <v>16</v>
      </c>
      <c r="D11" s="492"/>
      <c r="E11" s="492"/>
      <c r="F11" s="492"/>
      <c r="G11" s="492"/>
      <c r="H11" s="492"/>
      <c r="I11" s="492"/>
      <c r="J11" s="492"/>
      <c r="K11" s="492"/>
      <c r="L11" s="492"/>
      <c r="M11" s="492"/>
      <c r="N11" s="492"/>
      <c r="O11" s="492"/>
      <c r="P11" s="492"/>
      <c r="Q11" s="492"/>
      <c r="R11" s="492"/>
      <c r="S11" s="492"/>
      <c r="T11" s="492"/>
      <c r="U11" s="492"/>
      <c r="V11" s="492"/>
      <c r="W11" s="492"/>
      <c r="X11" s="492"/>
      <c r="Y11" s="492"/>
      <c r="Z11" s="492"/>
      <c r="AA11" s="492"/>
      <c r="AB11" s="492"/>
      <c r="AC11" s="492"/>
      <c r="AD11" s="493"/>
      <c r="BA11" s="327"/>
    </row>
    <row r="12" spans="1:53" ht="15" customHeight="1" x14ac:dyDescent="0.25">
      <c r="A12" s="466"/>
      <c r="B12" s="467"/>
      <c r="C12" s="494"/>
      <c r="D12" s="495"/>
      <c r="E12" s="495"/>
      <c r="F12" s="495"/>
      <c r="G12" s="495"/>
      <c r="H12" s="495"/>
      <c r="I12" s="495"/>
      <c r="J12" s="495"/>
      <c r="K12" s="495"/>
      <c r="L12" s="495"/>
      <c r="M12" s="495"/>
      <c r="N12" s="495"/>
      <c r="O12" s="495"/>
      <c r="P12" s="495"/>
      <c r="Q12" s="495"/>
      <c r="R12" s="495"/>
      <c r="S12" s="495"/>
      <c r="T12" s="495"/>
      <c r="U12" s="495"/>
      <c r="V12" s="495"/>
      <c r="W12" s="495"/>
      <c r="X12" s="495"/>
      <c r="Y12" s="495"/>
      <c r="Z12" s="495"/>
      <c r="AA12" s="495"/>
      <c r="AB12" s="495"/>
      <c r="AC12" s="495"/>
      <c r="AD12" s="496"/>
      <c r="BA12" s="327"/>
    </row>
    <row r="13" spans="1:53" ht="15" customHeight="1" thickBot="1" x14ac:dyDescent="0.3">
      <c r="A13" s="468"/>
      <c r="B13" s="469"/>
      <c r="C13" s="497"/>
      <c r="D13" s="498"/>
      <c r="E13" s="498"/>
      <c r="F13" s="498"/>
      <c r="G13" s="498"/>
      <c r="H13" s="498"/>
      <c r="I13" s="498"/>
      <c r="J13" s="498"/>
      <c r="K13" s="498"/>
      <c r="L13" s="498"/>
      <c r="M13" s="498"/>
      <c r="N13" s="498"/>
      <c r="O13" s="498"/>
      <c r="P13" s="498"/>
      <c r="Q13" s="498"/>
      <c r="R13" s="498"/>
      <c r="S13" s="498"/>
      <c r="T13" s="498"/>
      <c r="U13" s="498"/>
      <c r="V13" s="498"/>
      <c r="W13" s="498"/>
      <c r="X13" s="498"/>
      <c r="Y13" s="498"/>
      <c r="Z13" s="498"/>
      <c r="AA13" s="498"/>
      <c r="AB13" s="498"/>
      <c r="AC13" s="498"/>
      <c r="AD13" s="499"/>
      <c r="BA13" s="327"/>
    </row>
    <row r="14" spans="1:53" ht="9" customHeight="1" thickBot="1" x14ac:dyDescent="0.3">
      <c r="A14" s="67"/>
      <c r="B14" s="68"/>
      <c r="C14" s="69"/>
      <c r="D14" s="69"/>
      <c r="E14" s="69"/>
      <c r="F14" s="69"/>
      <c r="G14" s="69"/>
      <c r="H14" s="69"/>
      <c r="I14" s="69"/>
      <c r="J14" s="69"/>
      <c r="K14" s="69"/>
      <c r="L14" s="69"/>
      <c r="M14" s="70"/>
      <c r="N14" s="70"/>
      <c r="O14" s="70"/>
      <c r="P14" s="70"/>
      <c r="Q14" s="70"/>
      <c r="R14" s="71"/>
      <c r="S14" s="71"/>
      <c r="T14" s="71"/>
      <c r="U14" s="71"/>
      <c r="V14" s="71"/>
      <c r="W14" s="71"/>
      <c r="X14" s="71"/>
      <c r="Y14" s="65"/>
      <c r="Z14" s="65"/>
      <c r="AA14" s="65"/>
      <c r="AB14" s="65"/>
      <c r="AC14" s="65"/>
      <c r="AD14" s="66"/>
      <c r="BA14" s="327"/>
    </row>
    <row r="15" spans="1:53" ht="39" customHeight="1" thickBot="1" x14ac:dyDescent="0.3">
      <c r="A15" s="528" t="s">
        <v>17</v>
      </c>
      <c r="B15" s="529"/>
      <c r="C15" s="538" t="s">
        <v>18</v>
      </c>
      <c r="D15" s="539"/>
      <c r="E15" s="539"/>
      <c r="F15" s="539"/>
      <c r="G15" s="539"/>
      <c r="H15" s="539"/>
      <c r="I15" s="539"/>
      <c r="J15" s="539"/>
      <c r="K15" s="540"/>
      <c r="L15" s="503" t="s">
        <v>19</v>
      </c>
      <c r="M15" s="504"/>
      <c r="N15" s="504"/>
      <c r="O15" s="504"/>
      <c r="P15" s="504"/>
      <c r="Q15" s="505"/>
      <c r="R15" s="533" t="s">
        <v>20</v>
      </c>
      <c r="S15" s="534"/>
      <c r="T15" s="534"/>
      <c r="U15" s="534"/>
      <c r="V15" s="534"/>
      <c r="W15" s="534"/>
      <c r="X15" s="535"/>
      <c r="Y15" s="503" t="s">
        <v>21</v>
      </c>
      <c r="Z15" s="505"/>
      <c r="AA15" s="524" t="s">
        <v>22</v>
      </c>
      <c r="AB15" s="525"/>
      <c r="AC15" s="525"/>
      <c r="AD15" s="526"/>
      <c r="BA15" s="327"/>
    </row>
    <row r="16" spans="1:53" ht="105" customHeight="1" thickBot="1" x14ac:dyDescent="0.3">
      <c r="A16" s="59"/>
      <c r="B16" s="54"/>
      <c r="C16" s="527"/>
      <c r="D16" s="527"/>
      <c r="E16" s="527"/>
      <c r="F16" s="527"/>
      <c r="G16" s="527"/>
      <c r="H16" s="527"/>
      <c r="I16" s="527"/>
      <c r="J16" s="527"/>
      <c r="K16" s="527"/>
      <c r="L16" s="527"/>
      <c r="M16" s="527"/>
      <c r="N16" s="527"/>
      <c r="O16" s="527"/>
      <c r="P16" s="527"/>
      <c r="Q16" s="527"/>
      <c r="R16" s="527"/>
      <c r="S16" s="527"/>
      <c r="T16" s="527"/>
      <c r="U16" s="527"/>
      <c r="V16" s="527"/>
      <c r="W16" s="527"/>
      <c r="X16" s="527"/>
      <c r="Y16" s="527"/>
      <c r="Z16" s="527"/>
      <c r="AA16" s="527"/>
      <c r="AB16" s="527"/>
      <c r="AC16" s="73"/>
      <c r="AD16" s="74"/>
      <c r="AX16" s="388" t="s">
        <v>23</v>
      </c>
      <c r="BA16" s="327"/>
    </row>
    <row r="17" spans="1:53" s="76" customFormat="1" ht="37.5" customHeight="1" thickBot="1" x14ac:dyDescent="0.3">
      <c r="A17" s="528" t="s">
        <v>24</v>
      </c>
      <c r="B17" s="529"/>
      <c r="C17" s="530" t="s">
        <v>123</v>
      </c>
      <c r="D17" s="531"/>
      <c r="E17" s="531"/>
      <c r="F17" s="531"/>
      <c r="G17" s="531"/>
      <c r="H17" s="531"/>
      <c r="I17" s="531"/>
      <c r="J17" s="531"/>
      <c r="K17" s="531"/>
      <c r="L17" s="531"/>
      <c r="M17" s="531"/>
      <c r="N17" s="531"/>
      <c r="O17" s="531"/>
      <c r="P17" s="531"/>
      <c r="Q17" s="532"/>
      <c r="R17" s="503" t="s">
        <v>26</v>
      </c>
      <c r="S17" s="504"/>
      <c r="T17" s="504"/>
      <c r="U17" s="504"/>
      <c r="V17" s="505"/>
      <c r="W17" s="691">
        <v>0.24</v>
      </c>
      <c r="X17" s="692"/>
      <c r="Y17" s="504" t="s">
        <v>27</v>
      </c>
      <c r="Z17" s="504"/>
      <c r="AA17" s="504"/>
      <c r="AB17" s="505"/>
      <c r="AC17" s="514">
        <v>0.15</v>
      </c>
      <c r="AD17" s="515"/>
      <c r="AX17" s="387"/>
      <c r="BA17" s="328"/>
    </row>
    <row r="18" spans="1:53" ht="16.5" customHeight="1" thickBot="1" x14ac:dyDescent="0.3">
      <c r="A18" s="77"/>
      <c r="B18" s="78"/>
      <c r="C18" s="78"/>
      <c r="D18" s="78"/>
      <c r="E18" s="78"/>
      <c r="F18" s="78"/>
      <c r="G18" s="78"/>
      <c r="H18" s="78"/>
      <c r="I18" s="78"/>
      <c r="J18" s="78"/>
      <c r="K18" s="78"/>
      <c r="L18" s="78"/>
      <c r="M18" s="78"/>
      <c r="N18" s="78"/>
      <c r="O18" s="78"/>
      <c r="P18" s="78"/>
      <c r="Q18" s="78"/>
      <c r="R18" s="78"/>
      <c r="S18" s="78"/>
      <c r="T18" s="78"/>
      <c r="U18" s="78"/>
      <c r="V18" s="78"/>
      <c r="W18" s="78"/>
      <c r="X18" s="78"/>
      <c r="Y18" s="78"/>
      <c r="Z18" s="78"/>
      <c r="AA18" s="78"/>
      <c r="AB18" s="78"/>
      <c r="AC18" s="78"/>
      <c r="AD18" s="79"/>
      <c r="BA18" s="327"/>
    </row>
    <row r="19" spans="1:53" ht="32.1" customHeight="1" thickBot="1" x14ac:dyDescent="0.3">
      <c r="A19" s="503" t="s">
        <v>28</v>
      </c>
      <c r="B19" s="504"/>
      <c r="C19" s="504"/>
      <c r="D19" s="504"/>
      <c r="E19" s="504"/>
      <c r="F19" s="504"/>
      <c r="G19" s="504"/>
      <c r="H19" s="504"/>
      <c r="I19" s="504"/>
      <c r="J19" s="504"/>
      <c r="K19" s="504"/>
      <c r="L19" s="504"/>
      <c r="M19" s="504"/>
      <c r="N19" s="504"/>
      <c r="O19" s="504"/>
      <c r="P19" s="504"/>
      <c r="Q19" s="504"/>
      <c r="R19" s="504"/>
      <c r="S19" s="504"/>
      <c r="T19" s="504"/>
      <c r="U19" s="504"/>
      <c r="V19" s="504"/>
      <c r="W19" s="504"/>
      <c r="X19" s="504"/>
      <c r="Y19" s="504"/>
      <c r="Z19" s="504"/>
      <c r="AA19" s="504"/>
      <c r="AB19" s="504"/>
      <c r="AC19" s="504"/>
      <c r="AD19" s="505"/>
      <c r="AE19" s="83"/>
      <c r="AF19" s="83"/>
      <c r="BA19" s="327"/>
    </row>
    <row r="20" spans="1:53" ht="32.1" customHeight="1" thickBot="1" x14ac:dyDescent="0.3">
      <c r="A20" s="82"/>
      <c r="B20" s="60"/>
      <c r="C20" s="509" t="s">
        <v>29</v>
      </c>
      <c r="D20" s="510"/>
      <c r="E20" s="510"/>
      <c r="F20" s="510"/>
      <c r="G20" s="510"/>
      <c r="H20" s="510"/>
      <c r="I20" s="510"/>
      <c r="J20" s="510"/>
      <c r="K20" s="510"/>
      <c r="L20" s="510"/>
      <c r="M20" s="510"/>
      <c r="N20" s="510"/>
      <c r="O20" s="510"/>
      <c r="P20" s="511"/>
      <c r="Q20" s="506" t="s">
        <v>30</v>
      </c>
      <c r="R20" s="507"/>
      <c r="S20" s="507"/>
      <c r="T20" s="507"/>
      <c r="U20" s="507"/>
      <c r="V20" s="507"/>
      <c r="W20" s="507"/>
      <c r="X20" s="507"/>
      <c r="Y20" s="507"/>
      <c r="Z20" s="507"/>
      <c r="AA20" s="507"/>
      <c r="AB20" s="507"/>
      <c r="AC20" s="507"/>
      <c r="AD20" s="508"/>
      <c r="AE20" s="83"/>
      <c r="AF20" s="83"/>
      <c r="BA20" s="327"/>
    </row>
    <row r="21" spans="1:53" ht="32.1" customHeight="1" thickBot="1" x14ac:dyDescent="0.3">
      <c r="A21" s="59"/>
      <c r="B21" s="54"/>
      <c r="C21" s="353" t="s">
        <v>31</v>
      </c>
      <c r="D21" s="352" t="s">
        <v>32</v>
      </c>
      <c r="E21" s="352" t="s">
        <v>33</v>
      </c>
      <c r="F21" s="352" t="s">
        <v>34</v>
      </c>
      <c r="G21" s="352" t="s">
        <v>35</v>
      </c>
      <c r="H21" s="352" t="s">
        <v>8</v>
      </c>
      <c r="I21" s="352" t="s">
        <v>36</v>
      </c>
      <c r="J21" s="352" t="s">
        <v>37</v>
      </c>
      <c r="K21" s="352" t="s">
        <v>38</v>
      </c>
      <c r="L21" s="352" t="s">
        <v>39</v>
      </c>
      <c r="M21" s="352" t="s">
        <v>40</v>
      </c>
      <c r="N21" s="352" t="s">
        <v>41</v>
      </c>
      <c r="O21" s="352" t="s">
        <v>42</v>
      </c>
      <c r="P21" s="354" t="s">
        <v>43</v>
      </c>
      <c r="Q21" s="353" t="s">
        <v>31</v>
      </c>
      <c r="R21" s="352" t="s">
        <v>32</v>
      </c>
      <c r="S21" s="352" t="s">
        <v>33</v>
      </c>
      <c r="T21" s="352" t="s">
        <v>34</v>
      </c>
      <c r="U21" s="352" t="s">
        <v>35</v>
      </c>
      <c r="V21" s="352" t="s">
        <v>8</v>
      </c>
      <c r="W21" s="352" t="s">
        <v>36</v>
      </c>
      <c r="X21" s="352" t="s">
        <v>37</v>
      </c>
      <c r="Y21" s="352" t="s">
        <v>38</v>
      </c>
      <c r="Z21" s="352" t="s">
        <v>39</v>
      </c>
      <c r="AA21" s="352" t="s">
        <v>40</v>
      </c>
      <c r="AB21" s="352" t="s">
        <v>41</v>
      </c>
      <c r="AC21" s="352" t="s">
        <v>42</v>
      </c>
      <c r="AD21" s="354" t="s">
        <v>43</v>
      </c>
      <c r="AE21" s="3"/>
      <c r="AF21" s="3"/>
      <c r="BA21" s="327"/>
    </row>
    <row r="22" spans="1:53" ht="32.1" customHeight="1" x14ac:dyDescent="0.25">
      <c r="A22" s="512" t="s">
        <v>101</v>
      </c>
      <c r="B22" s="513"/>
      <c r="C22" s="355"/>
      <c r="D22" s="356"/>
      <c r="E22" s="356"/>
      <c r="F22" s="356"/>
      <c r="G22" s="356"/>
      <c r="H22" s="356"/>
      <c r="I22" s="356"/>
      <c r="J22" s="356"/>
      <c r="K22" s="356"/>
      <c r="L22" s="356"/>
      <c r="M22" s="356"/>
      <c r="N22" s="356"/>
      <c r="O22" s="356">
        <f>SUM(C22:N22)</f>
        <v>0</v>
      </c>
      <c r="P22" s="433"/>
      <c r="Q22" s="355">
        <v>1788742712</v>
      </c>
      <c r="R22" s="356"/>
      <c r="S22" s="356">
        <f>19186926+10126937+6986000</f>
        <v>36299863</v>
      </c>
      <c r="T22" s="356">
        <f>35000000+21559511</f>
        <v>56559511</v>
      </c>
      <c r="U22" s="356"/>
      <c r="V22" s="356">
        <f>2139478+34249272-35249417</f>
        <v>1139333</v>
      </c>
      <c r="W22" s="356"/>
      <c r="X22" s="356"/>
      <c r="Y22" s="356"/>
      <c r="Z22" s="356"/>
      <c r="AA22" s="356"/>
      <c r="AB22" s="356"/>
      <c r="AC22" s="429">
        <f>SUM(Q22:AB22)</f>
        <v>1882741419</v>
      </c>
      <c r="AD22" s="357"/>
      <c r="AE22" s="3"/>
      <c r="AF22" s="442" t="s">
        <v>116</v>
      </c>
      <c r="AG22" s="442"/>
      <c r="AH22" s="442"/>
      <c r="AI22" s="442"/>
      <c r="AJ22" s="442"/>
      <c r="AK22" s="442"/>
      <c r="AL22" s="442"/>
      <c r="AM22" s="442"/>
    </row>
    <row r="23" spans="1:53" ht="32.1" customHeight="1" x14ac:dyDescent="0.25">
      <c r="A23" s="520" t="s">
        <v>47</v>
      </c>
      <c r="B23" s="521"/>
      <c r="C23" s="175"/>
      <c r="D23" s="174"/>
      <c r="E23" s="174"/>
      <c r="F23" s="174"/>
      <c r="G23" s="174"/>
      <c r="H23" s="174"/>
      <c r="I23" s="174"/>
      <c r="J23" s="174"/>
      <c r="K23" s="174"/>
      <c r="L23" s="174"/>
      <c r="M23" s="174"/>
      <c r="N23" s="174"/>
      <c r="O23" s="174">
        <f>SUM(C23:N23)</f>
        <v>0</v>
      </c>
      <c r="P23" s="434"/>
      <c r="Q23" s="175">
        <v>84263629</v>
      </c>
      <c r="R23" s="174">
        <v>1319717051</v>
      </c>
      <c r="S23" s="174">
        <v>198188775</v>
      </c>
      <c r="T23" s="174">
        <v>-33051211</v>
      </c>
      <c r="U23" s="174">
        <v>30963345</v>
      </c>
      <c r="V23" s="174">
        <v>40445825</v>
      </c>
      <c r="W23" s="174"/>
      <c r="X23" s="174"/>
      <c r="Y23" s="174"/>
      <c r="Z23" s="174"/>
      <c r="AA23" s="174"/>
      <c r="AB23" s="174"/>
      <c r="AC23" s="430">
        <f>SUM(Q23:AB23)</f>
        <v>1640527414</v>
      </c>
      <c r="AD23" s="182">
        <f>+AC23/AC22</f>
        <v>0.87135036040761793</v>
      </c>
      <c r="AE23" s="3"/>
      <c r="AF23" s="442"/>
      <c r="AG23" s="442"/>
      <c r="AH23" s="442"/>
      <c r="AI23" s="442"/>
      <c r="AJ23" s="442"/>
      <c r="AK23" s="442"/>
      <c r="AL23" s="442"/>
      <c r="AM23" s="442"/>
    </row>
    <row r="24" spans="1:53" ht="32.1" customHeight="1" x14ac:dyDescent="0.25">
      <c r="A24" s="520" t="s">
        <v>103</v>
      </c>
      <c r="B24" s="521"/>
      <c r="C24" s="175">
        <f>25110243+698600+1646344+1804187+19304533</f>
        <v>48563907</v>
      </c>
      <c r="D24" s="174">
        <f>1749516+3375000+698600+1646344+3750000+461423+840000+713790+713790+1545000+1545000+432600+475860+4505045</f>
        <v>22451968</v>
      </c>
      <c r="E24" s="174">
        <f>698600+1646344+4956875</f>
        <v>7301819</v>
      </c>
      <c r="F24" s="174">
        <f>698600+1646344+5038625</f>
        <v>7383569</v>
      </c>
      <c r="G24" s="174">
        <f>548900+1646344</f>
        <v>2195244</v>
      </c>
      <c r="H24" s="174">
        <f>1646344-840000</f>
        <v>806344</v>
      </c>
      <c r="I24" s="174">
        <v>1049770</v>
      </c>
      <c r="J24" s="174"/>
      <c r="K24" s="174"/>
      <c r="L24" s="174"/>
      <c r="M24" s="174"/>
      <c r="N24" s="174"/>
      <c r="O24" s="213">
        <f>SUM(C24:N24)</f>
        <v>89752621</v>
      </c>
      <c r="P24" s="178"/>
      <c r="Q24" s="175"/>
      <c r="R24" s="174">
        <v>76648064</v>
      </c>
      <c r="S24" s="174">
        <v>155644968</v>
      </c>
      <c r="T24" s="174">
        <f>155644968+1918693+1646342+776223</f>
        <v>159986226</v>
      </c>
      <c r="U24" s="174">
        <f>155644968+1918693+3888889+1646342+21559511+776223</f>
        <v>185434626</v>
      </c>
      <c r="V24" s="174">
        <f>155644968+1918693+3888889+1646342+776222-35249417</f>
        <v>128625697</v>
      </c>
      <c r="W24" s="174">
        <f>155644968+1918693+2139478+3888889+741130+11416424+776222</f>
        <v>176525804</v>
      </c>
      <c r="X24" s="174">
        <f>155644968+1918693+3888889+741130+776222</f>
        <v>162969902</v>
      </c>
      <c r="Y24" s="174">
        <f>155644968+1918693+3888889+741130+11416424+776222</f>
        <v>174386326</v>
      </c>
      <c r="Z24" s="174">
        <f>155644968+1918692+3888889+741130+776222</f>
        <v>162969901</v>
      </c>
      <c r="AA24" s="174">
        <f>155644968+1918692+3888889+741130+11416424+776222</f>
        <v>174386325</v>
      </c>
      <c r="AB24" s="174">
        <f>311289936+3837384+7777777+1482261+776222</f>
        <v>325163580</v>
      </c>
      <c r="AC24" s="213">
        <f>SUM(Q24:AB24)</f>
        <v>1882741419</v>
      </c>
      <c r="AD24" s="182"/>
      <c r="AE24" s="3"/>
      <c r="AF24" s="442"/>
      <c r="AG24" s="442"/>
      <c r="AH24" s="442"/>
      <c r="AI24" s="442"/>
      <c r="AJ24" s="442"/>
      <c r="AK24" s="442"/>
      <c r="AL24" s="442"/>
      <c r="AM24" s="442"/>
    </row>
    <row r="25" spans="1:53" ht="32.1" customHeight="1" thickBot="1" x14ac:dyDescent="0.3">
      <c r="A25" s="522" t="s">
        <v>50</v>
      </c>
      <c r="B25" s="523"/>
      <c r="C25" s="358">
        <v>9139172</v>
      </c>
      <c r="D25" s="176">
        <v>34332596</v>
      </c>
      <c r="E25" s="176">
        <v>24384979</v>
      </c>
      <c r="F25" s="176">
        <v>10889552</v>
      </c>
      <c r="G25" s="176">
        <v>4540188</v>
      </c>
      <c r="H25" s="176">
        <v>384894</v>
      </c>
      <c r="I25" s="176"/>
      <c r="J25" s="176"/>
      <c r="K25" s="176"/>
      <c r="L25" s="176"/>
      <c r="M25" s="176"/>
      <c r="N25" s="176"/>
      <c r="O25" s="176">
        <f>SUM(C25:N25)</f>
        <v>83671381</v>
      </c>
      <c r="P25" s="181">
        <f>+O25/O24</f>
        <v>0.93224442994260859</v>
      </c>
      <c r="Q25" s="358" t="s">
        <v>104</v>
      </c>
      <c r="R25" s="176">
        <v>944067</v>
      </c>
      <c r="S25" s="176">
        <v>49626360</v>
      </c>
      <c r="T25" s="176">
        <v>137705564</v>
      </c>
      <c r="U25" s="176">
        <v>153450831</v>
      </c>
      <c r="V25" s="176">
        <v>162705131</v>
      </c>
      <c r="W25" s="176"/>
      <c r="X25" s="176"/>
      <c r="Y25" s="176"/>
      <c r="Z25" s="176"/>
      <c r="AA25" s="176"/>
      <c r="AB25" s="176"/>
      <c r="AC25" s="176">
        <f>SUM(Q25:AB25)</f>
        <v>504431953</v>
      </c>
      <c r="AD25" s="183">
        <f>+AC25/AC23</f>
        <v>0.30748157494672623</v>
      </c>
      <c r="AE25" s="3"/>
      <c r="AF25" s="442"/>
      <c r="AG25" s="442"/>
      <c r="AH25" s="442"/>
      <c r="AI25" s="442"/>
      <c r="AJ25" s="442"/>
      <c r="AK25" s="442"/>
      <c r="AL25" s="442"/>
      <c r="AM25" s="442"/>
    </row>
    <row r="26" spans="1:53" ht="32.1" customHeight="1" thickBot="1" x14ac:dyDescent="0.3">
      <c r="A26" s="59"/>
      <c r="B26" s="54"/>
      <c r="C26" s="80"/>
      <c r="D26" s="80"/>
      <c r="E26" s="80"/>
      <c r="F26" s="80"/>
      <c r="G26" s="80"/>
      <c r="H26" s="80"/>
      <c r="I26" s="80"/>
      <c r="J26" s="80"/>
      <c r="K26" s="80"/>
      <c r="L26" s="80"/>
      <c r="M26" s="80"/>
      <c r="N26" s="80"/>
      <c r="O26" s="80"/>
      <c r="P26" s="80"/>
      <c r="Q26" s="80"/>
      <c r="R26" s="80"/>
      <c r="S26" s="80"/>
      <c r="T26" s="80"/>
      <c r="U26" s="80"/>
      <c r="V26" s="80"/>
      <c r="W26" s="80"/>
      <c r="X26" s="80"/>
      <c r="Y26" s="80"/>
      <c r="Z26" s="80"/>
      <c r="AA26" s="80"/>
      <c r="AB26" s="80"/>
      <c r="AC26" s="60"/>
      <c r="AD26" s="173"/>
    </row>
    <row r="27" spans="1:53" ht="33.950000000000003" customHeight="1" x14ac:dyDescent="0.25">
      <c r="A27" s="516" t="s">
        <v>53</v>
      </c>
      <c r="B27" s="517"/>
      <c r="C27" s="518"/>
      <c r="D27" s="518"/>
      <c r="E27" s="518"/>
      <c r="F27" s="518"/>
      <c r="G27" s="518"/>
      <c r="H27" s="518"/>
      <c r="I27" s="518"/>
      <c r="J27" s="518"/>
      <c r="K27" s="518"/>
      <c r="L27" s="518"/>
      <c r="M27" s="518"/>
      <c r="N27" s="518"/>
      <c r="O27" s="518"/>
      <c r="P27" s="518"/>
      <c r="Q27" s="518"/>
      <c r="R27" s="518"/>
      <c r="S27" s="518"/>
      <c r="T27" s="518"/>
      <c r="U27" s="518"/>
      <c r="V27" s="518"/>
      <c r="W27" s="518"/>
      <c r="X27" s="518"/>
      <c r="Y27" s="518"/>
      <c r="Z27" s="518"/>
      <c r="AA27" s="518"/>
      <c r="AB27" s="518"/>
      <c r="AC27" s="518"/>
      <c r="AD27" s="519"/>
    </row>
    <row r="28" spans="1:53" ht="15" customHeight="1" x14ac:dyDescent="0.25">
      <c r="A28" s="541" t="s">
        <v>54</v>
      </c>
      <c r="B28" s="543" t="s">
        <v>55</v>
      </c>
      <c r="C28" s="544"/>
      <c r="D28" s="521" t="s">
        <v>56</v>
      </c>
      <c r="E28" s="547"/>
      <c r="F28" s="547"/>
      <c r="G28" s="547"/>
      <c r="H28" s="547"/>
      <c r="I28" s="547"/>
      <c r="J28" s="547"/>
      <c r="K28" s="547"/>
      <c r="L28" s="547"/>
      <c r="M28" s="547"/>
      <c r="N28" s="547"/>
      <c r="O28" s="548"/>
      <c r="P28" s="549" t="s">
        <v>42</v>
      </c>
      <c r="Q28" s="549" t="s">
        <v>57</v>
      </c>
      <c r="R28" s="549"/>
      <c r="S28" s="549"/>
      <c r="T28" s="549"/>
      <c r="U28" s="549"/>
      <c r="V28" s="549"/>
      <c r="W28" s="549"/>
      <c r="X28" s="549"/>
      <c r="Y28" s="549"/>
      <c r="Z28" s="549"/>
      <c r="AA28" s="549"/>
      <c r="AB28" s="549"/>
      <c r="AC28" s="549"/>
      <c r="AD28" s="550"/>
    </row>
    <row r="29" spans="1:53" ht="27" customHeight="1" x14ac:dyDescent="0.25">
      <c r="A29" s="542"/>
      <c r="B29" s="545"/>
      <c r="C29" s="546"/>
      <c r="D29" s="88" t="s">
        <v>31</v>
      </c>
      <c r="E29" s="88" t="s">
        <v>32</v>
      </c>
      <c r="F29" s="88" t="s">
        <v>33</v>
      </c>
      <c r="G29" s="88" t="s">
        <v>34</v>
      </c>
      <c r="H29" s="88" t="s">
        <v>35</v>
      </c>
      <c r="I29" s="88" t="s">
        <v>8</v>
      </c>
      <c r="J29" s="88" t="s">
        <v>36</v>
      </c>
      <c r="K29" s="88" t="s">
        <v>37</v>
      </c>
      <c r="L29" s="88" t="s">
        <v>38</v>
      </c>
      <c r="M29" s="88" t="s">
        <v>39</v>
      </c>
      <c r="N29" s="88" t="s">
        <v>40</v>
      </c>
      <c r="O29" s="88" t="s">
        <v>41</v>
      </c>
      <c r="P29" s="548"/>
      <c r="Q29" s="549"/>
      <c r="R29" s="549"/>
      <c r="S29" s="549"/>
      <c r="T29" s="549"/>
      <c r="U29" s="549"/>
      <c r="V29" s="549"/>
      <c r="W29" s="549"/>
      <c r="X29" s="549"/>
      <c r="Y29" s="549"/>
      <c r="Z29" s="549"/>
      <c r="AA29" s="549"/>
      <c r="AB29" s="549"/>
      <c r="AC29" s="549"/>
      <c r="AD29" s="550"/>
    </row>
    <row r="30" spans="1:53" ht="68.25" customHeight="1" thickBot="1" x14ac:dyDescent="0.3">
      <c r="A30" s="85" t="s">
        <v>124</v>
      </c>
      <c r="B30" s="551"/>
      <c r="C30" s="552"/>
      <c r="D30" s="89"/>
      <c r="E30" s="89"/>
      <c r="F30" s="89"/>
      <c r="G30" s="89"/>
      <c r="H30" s="89"/>
      <c r="I30" s="89"/>
      <c r="J30" s="89"/>
      <c r="K30" s="89"/>
      <c r="L30" s="89"/>
      <c r="M30" s="89"/>
      <c r="N30" s="89"/>
      <c r="O30" s="89"/>
      <c r="P30" s="86">
        <f>SUM(D30:O30)</f>
        <v>0</v>
      </c>
      <c r="Q30" s="553"/>
      <c r="R30" s="553"/>
      <c r="S30" s="553"/>
      <c r="T30" s="553"/>
      <c r="U30" s="553"/>
      <c r="V30" s="553"/>
      <c r="W30" s="553"/>
      <c r="X30" s="553"/>
      <c r="Y30" s="553"/>
      <c r="Z30" s="553"/>
      <c r="AA30" s="553"/>
      <c r="AB30" s="553"/>
      <c r="AC30" s="553"/>
      <c r="AD30" s="554"/>
    </row>
    <row r="31" spans="1:53" ht="45" customHeight="1" thickBot="1" x14ac:dyDescent="0.3">
      <c r="A31" s="555" t="s">
        <v>59</v>
      </c>
      <c r="B31" s="556"/>
      <c r="C31" s="556"/>
      <c r="D31" s="556"/>
      <c r="E31" s="556"/>
      <c r="F31" s="556"/>
      <c r="G31" s="556"/>
      <c r="H31" s="556"/>
      <c r="I31" s="556"/>
      <c r="J31" s="556"/>
      <c r="K31" s="556"/>
      <c r="L31" s="556"/>
      <c r="M31" s="556"/>
      <c r="N31" s="556"/>
      <c r="O31" s="556"/>
      <c r="P31" s="556"/>
      <c r="Q31" s="556"/>
      <c r="R31" s="556"/>
      <c r="S31" s="556"/>
      <c r="T31" s="556"/>
      <c r="U31" s="556"/>
      <c r="V31" s="556"/>
      <c r="W31" s="556"/>
      <c r="X31" s="556"/>
      <c r="Y31" s="556"/>
      <c r="Z31" s="556"/>
      <c r="AA31" s="556"/>
      <c r="AB31" s="556"/>
      <c r="AC31" s="556"/>
      <c r="AD31" s="557"/>
    </row>
    <row r="32" spans="1:53" ht="20.25" customHeight="1" x14ac:dyDescent="0.25">
      <c r="A32" s="512" t="s">
        <v>60</v>
      </c>
      <c r="B32" s="558" t="s">
        <v>61</v>
      </c>
      <c r="C32" s="558" t="s">
        <v>55</v>
      </c>
      <c r="D32" s="561" t="s">
        <v>62</v>
      </c>
      <c r="E32" s="558"/>
      <c r="F32" s="558"/>
      <c r="G32" s="558"/>
      <c r="H32" s="558"/>
      <c r="I32" s="558"/>
      <c r="J32" s="558"/>
      <c r="K32" s="558"/>
      <c r="L32" s="558"/>
      <c r="M32" s="558"/>
      <c r="N32" s="558"/>
      <c r="O32" s="558"/>
      <c r="P32" s="559"/>
      <c r="Q32" s="512" t="s">
        <v>63</v>
      </c>
      <c r="R32" s="558"/>
      <c r="S32" s="558"/>
      <c r="T32" s="558"/>
      <c r="U32" s="558"/>
      <c r="V32" s="558"/>
      <c r="W32" s="558"/>
      <c r="X32" s="558"/>
      <c r="Y32" s="558"/>
      <c r="Z32" s="558"/>
      <c r="AA32" s="558"/>
      <c r="AB32" s="558"/>
      <c r="AC32" s="558"/>
      <c r="AD32" s="559"/>
      <c r="AG32" s="87"/>
      <c r="AH32" s="87"/>
      <c r="AI32" s="87"/>
      <c r="AJ32" s="87"/>
      <c r="AK32" s="87"/>
      <c r="AL32" s="87"/>
      <c r="AM32" s="87"/>
      <c r="AN32" s="87"/>
      <c r="AO32" s="87"/>
    </row>
    <row r="33" spans="1:41" ht="36.75" customHeight="1" thickBot="1" x14ac:dyDescent="0.3">
      <c r="A33" s="520"/>
      <c r="B33" s="549"/>
      <c r="C33" s="719"/>
      <c r="D33" s="274" t="s">
        <v>31</v>
      </c>
      <c r="E33" s="265" t="s">
        <v>32</v>
      </c>
      <c r="F33" s="265" t="s">
        <v>33</v>
      </c>
      <c r="G33" s="265" t="s">
        <v>34</v>
      </c>
      <c r="H33" s="265" t="s">
        <v>35</v>
      </c>
      <c r="I33" s="265" t="s">
        <v>8</v>
      </c>
      <c r="J33" s="265" t="s">
        <v>36</v>
      </c>
      <c r="K33" s="265" t="s">
        <v>37</v>
      </c>
      <c r="L33" s="265" t="s">
        <v>38</v>
      </c>
      <c r="M33" s="265" t="s">
        <v>39</v>
      </c>
      <c r="N33" s="265" t="s">
        <v>40</v>
      </c>
      <c r="O33" s="265" t="s">
        <v>41</v>
      </c>
      <c r="P33" s="266" t="s">
        <v>42</v>
      </c>
      <c r="Q33" s="522" t="s">
        <v>64</v>
      </c>
      <c r="R33" s="593"/>
      <c r="S33" s="593"/>
      <c r="T33" s="593" t="s">
        <v>65</v>
      </c>
      <c r="U33" s="593"/>
      <c r="V33" s="593"/>
      <c r="W33" s="657" t="s">
        <v>106</v>
      </c>
      <c r="X33" s="510"/>
      <c r="Y33" s="510"/>
      <c r="Z33" s="658"/>
      <c r="AA33" s="657" t="s">
        <v>67</v>
      </c>
      <c r="AB33" s="510"/>
      <c r="AC33" s="510"/>
      <c r="AD33" s="511"/>
      <c r="AG33" s="87"/>
      <c r="AH33" s="87"/>
      <c r="AI33" s="87"/>
      <c r="AJ33" s="87"/>
      <c r="AK33" s="87"/>
      <c r="AL33" s="87"/>
      <c r="AM33" s="87"/>
      <c r="AN33" s="87"/>
      <c r="AO33" s="87"/>
    </row>
    <row r="34" spans="1:41" ht="108" customHeight="1" x14ac:dyDescent="0.25">
      <c r="A34" s="684" t="s">
        <v>124</v>
      </c>
      <c r="B34" s="565">
        <v>0.15</v>
      </c>
      <c r="C34" s="102" t="s">
        <v>68</v>
      </c>
      <c r="D34" s="271">
        <f>D69</f>
        <v>6.4019205761728509E-3</v>
      </c>
      <c r="E34" s="272">
        <f t="shared" ref="E34:O34" si="0">E69</f>
        <v>2.2401920576172858E-2</v>
      </c>
      <c r="F34" s="272">
        <f t="shared" si="0"/>
        <v>2.1865999799939986E-2</v>
      </c>
      <c r="G34" s="272">
        <f t="shared" si="0"/>
        <v>2.1865999799939986E-2</v>
      </c>
      <c r="H34" s="272">
        <f t="shared" si="0"/>
        <v>2.1865999799939986E-2</v>
      </c>
      <c r="I34" s="272">
        <f t="shared" si="0"/>
        <v>2.1865999799939986E-2</v>
      </c>
      <c r="J34" s="272">
        <f t="shared" si="0"/>
        <v>2.1865999799939986E-2</v>
      </c>
      <c r="K34" s="272">
        <f t="shared" si="0"/>
        <v>2.1865999799939986E-2</v>
      </c>
      <c r="L34" s="272">
        <f t="shared" si="0"/>
        <v>2.1865999799939986E-2</v>
      </c>
      <c r="M34" s="272">
        <f t="shared" si="0"/>
        <v>2.1865999799939986E-2</v>
      </c>
      <c r="N34" s="272">
        <f t="shared" si="0"/>
        <v>2.1065999799939981E-2</v>
      </c>
      <c r="O34" s="273">
        <f t="shared" si="0"/>
        <v>1.5202160648194461E-2</v>
      </c>
      <c r="P34" s="267">
        <f>SUM(D34:O34)</f>
        <v>0.24000000000000002</v>
      </c>
      <c r="Q34" s="713" t="s">
        <v>125</v>
      </c>
      <c r="R34" s="708"/>
      <c r="S34" s="714"/>
      <c r="T34" s="716" t="s">
        <v>584</v>
      </c>
      <c r="U34" s="708"/>
      <c r="V34" s="714"/>
      <c r="W34" s="717" t="s">
        <v>126</v>
      </c>
      <c r="X34" s="717"/>
      <c r="Y34" s="717"/>
      <c r="Z34" s="717"/>
      <c r="AA34" s="707"/>
      <c r="AB34" s="708"/>
      <c r="AC34" s="708"/>
      <c r="AD34" s="709"/>
      <c r="AG34" s="87"/>
      <c r="AH34" s="87"/>
      <c r="AI34" s="87"/>
      <c r="AJ34" s="87"/>
      <c r="AK34" s="87"/>
      <c r="AL34" s="87"/>
      <c r="AM34" s="87"/>
      <c r="AN34" s="87"/>
      <c r="AO34" s="87"/>
    </row>
    <row r="35" spans="1:41" ht="108" customHeight="1" thickBot="1" x14ac:dyDescent="0.3">
      <c r="A35" s="685"/>
      <c r="B35" s="477"/>
      <c r="C35" s="91" t="s">
        <v>72</v>
      </c>
      <c r="D35" s="269">
        <f>D66</f>
        <v>6.4019205761728509E-3</v>
      </c>
      <c r="E35" s="259">
        <f t="shared" ref="E35:O35" si="1">E66</f>
        <v>1.8401920576172855E-2</v>
      </c>
      <c r="F35" s="259">
        <f t="shared" si="1"/>
        <v>2.1865999799939986E-2</v>
      </c>
      <c r="G35" s="259">
        <f t="shared" si="1"/>
        <v>2.1865999799939986E-2</v>
      </c>
      <c r="H35" s="259">
        <f t="shared" si="1"/>
        <v>2.1865999799939986E-2</v>
      </c>
      <c r="I35" s="259">
        <v>0.02</v>
      </c>
      <c r="J35" s="259">
        <f t="shared" si="1"/>
        <v>0</v>
      </c>
      <c r="K35" s="259">
        <f t="shared" si="1"/>
        <v>0</v>
      </c>
      <c r="L35" s="259">
        <f t="shared" si="1"/>
        <v>0</v>
      </c>
      <c r="M35" s="259">
        <f t="shared" si="1"/>
        <v>0</v>
      </c>
      <c r="N35" s="259">
        <f t="shared" si="1"/>
        <v>0</v>
      </c>
      <c r="O35" s="260">
        <f t="shared" si="1"/>
        <v>0</v>
      </c>
      <c r="P35" s="268">
        <f>SUM(D35:O35)</f>
        <v>0.11040184055216568</v>
      </c>
      <c r="Q35" s="715"/>
      <c r="R35" s="573"/>
      <c r="S35" s="576"/>
      <c r="T35" s="572"/>
      <c r="U35" s="573"/>
      <c r="V35" s="576"/>
      <c r="W35" s="718"/>
      <c r="X35" s="718"/>
      <c r="Y35" s="718"/>
      <c r="Z35" s="718"/>
      <c r="AA35" s="572"/>
      <c r="AB35" s="573"/>
      <c r="AC35" s="573"/>
      <c r="AD35" s="574"/>
      <c r="AE35" s="49"/>
      <c r="AG35" s="87"/>
      <c r="AH35" s="87"/>
      <c r="AI35" s="87"/>
      <c r="AJ35" s="87"/>
      <c r="AK35" s="87"/>
      <c r="AL35" s="87"/>
      <c r="AM35" s="87"/>
      <c r="AN35" s="87"/>
      <c r="AO35" s="87"/>
    </row>
    <row r="36" spans="1:41" ht="26.1" customHeight="1" x14ac:dyDescent="0.25">
      <c r="A36" s="512" t="s">
        <v>73</v>
      </c>
      <c r="B36" s="558" t="s">
        <v>74</v>
      </c>
      <c r="C36" s="561" t="s">
        <v>75</v>
      </c>
      <c r="D36" s="558"/>
      <c r="E36" s="558"/>
      <c r="F36" s="558"/>
      <c r="G36" s="558"/>
      <c r="H36" s="558"/>
      <c r="I36" s="558"/>
      <c r="J36" s="558"/>
      <c r="K36" s="558"/>
      <c r="L36" s="558"/>
      <c r="M36" s="558"/>
      <c r="N36" s="558"/>
      <c r="O36" s="558"/>
      <c r="P36" s="559"/>
      <c r="Q36" s="710" t="s">
        <v>76</v>
      </c>
      <c r="R36" s="711"/>
      <c r="S36" s="711"/>
      <c r="T36" s="711"/>
      <c r="U36" s="711"/>
      <c r="V36" s="711"/>
      <c r="W36" s="711"/>
      <c r="X36" s="711"/>
      <c r="Y36" s="711"/>
      <c r="Z36" s="711"/>
      <c r="AA36" s="711"/>
      <c r="AB36" s="711"/>
      <c r="AC36" s="711"/>
      <c r="AD36" s="712"/>
      <c r="AG36" s="87"/>
      <c r="AH36" s="87"/>
      <c r="AI36" s="87"/>
      <c r="AJ36" s="87"/>
      <c r="AK36" s="87"/>
      <c r="AL36" s="87"/>
      <c r="AM36" s="87"/>
      <c r="AN36" s="87"/>
      <c r="AO36" s="87"/>
    </row>
    <row r="37" spans="1:41" ht="26.1" customHeight="1" thickBot="1" x14ac:dyDescent="0.3">
      <c r="A37" s="522"/>
      <c r="B37" s="593"/>
      <c r="C37" s="274" t="s">
        <v>77</v>
      </c>
      <c r="D37" s="265" t="s">
        <v>78</v>
      </c>
      <c r="E37" s="265" t="s">
        <v>79</v>
      </c>
      <c r="F37" s="265" t="s">
        <v>80</v>
      </c>
      <c r="G37" s="265" t="s">
        <v>81</v>
      </c>
      <c r="H37" s="265" t="s">
        <v>82</v>
      </c>
      <c r="I37" s="265" t="s">
        <v>83</v>
      </c>
      <c r="J37" s="265" t="s">
        <v>84</v>
      </c>
      <c r="K37" s="265" t="s">
        <v>85</v>
      </c>
      <c r="L37" s="265" t="s">
        <v>86</v>
      </c>
      <c r="M37" s="265" t="s">
        <v>87</v>
      </c>
      <c r="N37" s="265" t="s">
        <v>88</v>
      </c>
      <c r="O37" s="265" t="s">
        <v>89</v>
      </c>
      <c r="P37" s="266" t="s">
        <v>90</v>
      </c>
      <c r="Q37" s="597" t="s">
        <v>91</v>
      </c>
      <c r="R37" s="598"/>
      <c r="S37" s="598"/>
      <c r="T37" s="598"/>
      <c r="U37" s="598"/>
      <c r="V37" s="598"/>
      <c r="W37" s="598"/>
      <c r="X37" s="598"/>
      <c r="Y37" s="598"/>
      <c r="Z37" s="598"/>
      <c r="AA37" s="598"/>
      <c r="AB37" s="598"/>
      <c r="AC37" s="598"/>
      <c r="AD37" s="599"/>
      <c r="AG37" s="94"/>
      <c r="AH37" s="94"/>
      <c r="AI37" s="94"/>
      <c r="AJ37" s="94"/>
      <c r="AK37" s="94"/>
      <c r="AL37" s="94"/>
      <c r="AM37" s="94"/>
      <c r="AN37" s="94"/>
      <c r="AO37" s="94"/>
    </row>
    <row r="38" spans="1:41" ht="35.25" customHeight="1" x14ac:dyDescent="0.25">
      <c r="A38" s="667" t="s">
        <v>127</v>
      </c>
      <c r="B38" s="669">
        <v>0.05</v>
      </c>
      <c r="C38" s="371" t="s">
        <v>68</v>
      </c>
      <c r="D38" s="365">
        <v>0</v>
      </c>
      <c r="E38" s="365">
        <v>0.1</v>
      </c>
      <c r="F38" s="367">
        <v>9.5000000000000001E-2</v>
      </c>
      <c r="G38" s="367">
        <v>9.5000000000000001E-2</v>
      </c>
      <c r="H38" s="367">
        <v>9.5000000000000001E-2</v>
      </c>
      <c r="I38" s="367">
        <v>9.5000000000000001E-2</v>
      </c>
      <c r="J38" s="367">
        <v>9.5000000000000001E-2</v>
      </c>
      <c r="K38" s="367">
        <v>9.5000000000000001E-2</v>
      </c>
      <c r="L38" s="367">
        <v>9.5000000000000001E-2</v>
      </c>
      <c r="M38" s="367">
        <v>9.5000000000000001E-2</v>
      </c>
      <c r="N38" s="367">
        <v>0.09</v>
      </c>
      <c r="O38" s="367">
        <v>0.05</v>
      </c>
      <c r="P38" s="416">
        <f t="shared" ref="P38:P43" si="2">SUM(D38:O38)</f>
        <v>0.99999999999999989</v>
      </c>
      <c r="Q38" s="701" t="s">
        <v>562</v>
      </c>
      <c r="R38" s="702"/>
      <c r="S38" s="702"/>
      <c r="T38" s="702"/>
      <c r="U38" s="702"/>
      <c r="V38" s="702"/>
      <c r="W38" s="702"/>
      <c r="X38" s="702"/>
      <c r="Y38" s="702"/>
      <c r="Z38" s="702"/>
      <c r="AA38" s="702"/>
      <c r="AB38" s="702"/>
      <c r="AC38" s="702"/>
      <c r="AD38" s="703"/>
      <c r="AE38" s="97"/>
      <c r="AG38" s="98"/>
      <c r="AH38" s="98"/>
      <c r="AI38" s="98"/>
      <c r="AJ38" s="98"/>
      <c r="AK38" s="98"/>
      <c r="AL38" s="98"/>
      <c r="AM38" s="98"/>
      <c r="AN38" s="98"/>
      <c r="AO38" s="98"/>
    </row>
    <row r="39" spans="1:41" ht="81.75" customHeight="1" thickBot="1" x14ac:dyDescent="0.3">
      <c r="A39" s="668"/>
      <c r="B39" s="602"/>
      <c r="C39" s="225" t="s">
        <v>72</v>
      </c>
      <c r="D39" s="283">
        <v>0</v>
      </c>
      <c r="E39" s="283">
        <v>0.05</v>
      </c>
      <c r="F39" s="283">
        <v>9.5000000000000001E-2</v>
      </c>
      <c r="G39" s="283">
        <v>9.5000000000000001E-2</v>
      </c>
      <c r="H39" s="283">
        <v>9.5000000000000001E-2</v>
      </c>
      <c r="I39" s="283">
        <v>0.1</v>
      </c>
      <c r="J39" s="100"/>
      <c r="K39" s="100"/>
      <c r="L39" s="100"/>
      <c r="M39" s="100"/>
      <c r="N39" s="100"/>
      <c r="O39" s="100"/>
      <c r="P39" s="307">
        <f t="shared" si="2"/>
        <v>0.43500000000000005</v>
      </c>
      <c r="Q39" s="704"/>
      <c r="R39" s="705"/>
      <c r="S39" s="705"/>
      <c r="T39" s="705"/>
      <c r="U39" s="705"/>
      <c r="V39" s="705"/>
      <c r="W39" s="705"/>
      <c r="X39" s="705"/>
      <c r="Y39" s="705"/>
      <c r="Z39" s="705"/>
      <c r="AA39" s="705"/>
      <c r="AB39" s="705"/>
      <c r="AC39" s="705"/>
      <c r="AD39" s="706"/>
      <c r="AE39" s="97"/>
    </row>
    <row r="40" spans="1:41" ht="35.25" customHeight="1" x14ac:dyDescent="0.25">
      <c r="A40" s="659" t="s">
        <v>128</v>
      </c>
      <c r="B40" s="584">
        <v>0.05</v>
      </c>
      <c r="C40" s="226" t="s">
        <v>68</v>
      </c>
      <c r="D40" s="288">
        <v>0</v>
      </c>
      <c r="E40" s="288">
        <v>0.1</v>
      </c>
      <c r="F40" s="299">
        <v>9.5000000000000001E-2</v>
      </c>
      <c r="G40" s="299">
        <v>9.5000000000000001E-2</v>
      </c>
      <c r="H40" s="220">
        <v>9.5000000000000001E-2</v>
      </c>
      <c r="I40" s="220">
        <v>9.5000000000000001E-2</v>
      </c>
      <c r="J40" s="220">
        <v>9.5000000000000001E-2</v>
      </c>
      <c r="K40" s="220">
        <v>9.5000000000000001E-2</v>
      </c>
      <c r="L40" s="220">
        <v>9.5000000000000001E-2</v>
      </c>
      <c r="M40" s="220">
        <v>9.5000000000000001E-2</v>
      </c>
      <c r="N40" s="220">
        <v>0.09</v>
      </c>
      <c r="O40" s="220">
        <v>0.05</v>
      </c>
      <c r="P40" s="307">
        <f t="shared" si="2"/>
        <v>0.99999999999999989</v>
      </c>
      <c r="Q40" s="701" t="s">
        <v>563</v>
      </c>
      <c r="R40" s="702"/>
      <c r="S40" s="702"/>
      <c r="T40" s="702"/>
      <c r="U40" s="702"/>
      <c r="V40" s="702"/>
      <c r="W40" s="702"/>
      <c r="X40" s="702"/>
      <c r="Y40" s="702"/>
      <c r="Z40" s="702"/>
      <c r="AA40" s="702"/>
      <c r="AB40" s="702"/>
      <c r="AC40" s="702"/>
      <c r="AD40" s="703"/>
      <c r="AE40" s="97"/>
    </row>
    <row r="41" spans="1:41" ht="35.25" customHeight="1" x14ac:dyDescent="0.25">
      <c r="A41" s="668"/>
      <c r="B41" s="602"/>
      <c r="C41" s="225" t="s">
        <v>72</v>
      </c>
      <c r="D41" s="287"/>
      <c r="E41" s="283">
        <v>0.1</v>
      </c>
      <c r="F41" s="283">
        <v>9.5000000000000001E-2</v>
      </c>
      <c r="G41" s="283">
        <v>9.5000000000000001E-2</v>
      </c>
      <c r="H41" s="283">
        <v>9.5000000000000001E-2</v>
      </c>
      <c r="I41" s="283">
        <v>0.1</v>
      </c>
      <c r="J41" s="100"/>
      <c r="K41" s="100"/>
      <c r="L41" s="100"/>
      <c r="M41" s="100"/>
      <c r="N41" s="100"/>
      <c r="O41" s="100"/>
      <c r="P41" s="307">
        <f t="shared" si="2"/>
        <v>0.48499999999999999</v>
      </c>
      <c r="Q41" s="704"/>
      <c r="R41" s="705"/>
      <c r="S41" s="705"/>
      <c r="T41" s="705"/>
      <c r="U41" s="705"/>
      <c r="V41" s="705"/>
      <c r="W41" s="705"/>
      <c r="X41" s="705"/>
      <c r="Y41" s="705"/>
      <c r="Z41" s="705"/>
      <c r="AA41" s="705"/>
      <c r="AB41" s="705"/>
      <c r="AC41" s="705"/>
      <c r="AD41" s="706"/>
      <c r="AE41" s="97"/>
    </row>
    <row r="42" spans="1:41" ht="35.25" customHeight="1" x14ac:dyDescent="0.25">
      <c r="A42" s="693" t="s">
        <v>129</v>
      </c>
      <c r="B42" s="601">
        <v>0.05</v>
      </c>
      <c r="C42" s="226" t="s">
        <v>68</v>
      </c>
      <c r="D42" s="288">
        <v>0.08</v>
      </c>
      <c r="E42" s="288">
        <v>0.08</v>
      </c>
      <c r="F42" s="299">
        <v>8.3299999999999999E-2</v>
      </c>
      <c r="G42" s="299">
        <v>8.3299999999999999E-2</v>
      </c>
      <c r="H42" s="220">
        <v>8.3299999999999999E-2</v>
      </c>
      <c r="I42" s="220">
        <v>8.3299999999999999E-2</v>
      </c>
      <c r="J42" s="220">
        <v>8.3299999999999999E-2</v>
      </c>
      <c r="K42" s="220">
        <v>8.3299999999999999E-2</v>
      </c>
      <c r="L42" s="220">
        <v>8.3299999999999999E-2</v>
      </c>
      <c r="M42" s="220">
        <v>8.3299999999999999E-2</v>
      </c>
      <c r="N42" s="220">
        <v>8.3299999999999999E-2</v>
      </c>
      <c r="O42" s="220">
        <v>0.09</v>
      </c>
      <c r="P42" s="307">
        <f t="shared" si="2"/>
        <v>0.99970000000000014</v>
      </c>
      <c r="Q42" s="695" t="s">
        <v>130</v>
      </c>
      <c r="R42" s="696"/>
      <c r="S42" s="696"/>
      <c r="T42" s="696"/>
      <c r="U42" s="696"/>
      <c r="V42" s="696"/>
      <c r="W42" s="696"/>
      <c r="X42" s="696"/>
      <c r="Y42" s="696"/>
      <c r="Z42" s="696"/>
      <c r="AA42" s="696"/>
      <c r="AB42" s="696"/>
      <c r="AC42" s="696"/>
      <c r="AD42" s="697"/>
      <c r="AE42" s="97"/>
    </row>
    <row r="43" spans="1:41" ht="87.75" customHeight="1" thickBot="1" x14ac:dyDescent="0.3">
      <c r="A43" s="694"/>
      <c r="B43" s="585"/>
      <c r="C43" s="280" t="s">
        <v>72</v>
      </c>
      <c r="D43" s="284">
        <v>0.08</v>
      </c>
      <c r="E43" s="284">
        <v>0.08</v>
      </c>
      <c r="F43" s="284">
        <v>8.3299999999999999E-2</v>
      </c>
      <c r="G43" s="284">
        <v>8.3299999999999999E-2</v>
      </c>
      <c r="H43" s="284">
        <v>8.3299999999999999E-2</v>
      </c>
      <c r="I43" s="284">
        <v>0.08</v>
      </c>
      <c r="J43" s="105"/>
      <c r="K43" s="105"/>
      <c r="L43" s="105"/>
      <c r="M43" s="105"/>
      <c r="N43" s="105"/>
      <c r="O43" s="105"/>
      <c r="P43" s="308">
        <f t="shared" si="2"/>
        <v>0.4899</v>
      </c>
      <c r="Q43" s="698"/>
      <c r="R43" s="699"/>
      <c r="S43" s="699"/>
      <c r="T43" s="699"/>
      <c r="U43" s="699"/>
      <c r="V43" s="699"/>
      <c r="W43" s="699"/>
      <c r="X43" s="699"/>
      <c r="Y43" s="699"/>
      <c r="Z43" s="699"/>
      <c r="AA43" s="699"/>
      <c r="AB43" s="699"/>
      <c r="AC43" s="699"/>
      <c r="AD43" s="700"/>
      <c r="AE43" s="97"/>
    </row>
    <row r="44" spans="1:41" x14ac:dyDescent="0.25">
      <c r="A44" s="50" t="s">
        <v>95</v>
      </c>
    </row>
    <row r="55" spans="1:30" x14ac:dyDescent="0.25">
      <c r="A55" s="613" t="s">
        <v>96</v>
      </c>
      <c r="B55" s="615" t="s">
        <v>74</v>
      </c>
      <c r="C55" s="617" t="s">
        <v>75</v>
      </c>
      <c r="D55" s="618"/>
      <c r="E55" s="618"/>
      <c r="F55" s="618"/>
      <c r="G55" s="618"/>
      <c r="H55" s="618"/>
      <c r="I55" s="618"/>
      <c r="J55" s="618"/>
      <c r="K55" s="618"/>
      <c r="L55" s="618"/>
      <c r="M55" s="618"/>
      <c r="N55" s="618"/>
      <c r="O55" s="618"/>
      <c r="P55" s="619"/>
      <c r="Q55" s="228"/>
      <c r="R55" s="228"/>
      <c r="S55" s="229"/>
      <c r="T55" s="229"/>
      <c r="U55" s="229"/>
      <c r="V55" s="229"/>
      <c r="W55" s="229"/>
      <c r="X55" s="229"/>
      <c r="Y55" s="229"/>
      <c r="Z55" s="229"/>
      <c r="AA55" s="229"/>
      <c r="AB55" s="229"/>
      <c r="AC55" s="229"/>
      <c r="AD55" s="229"/>
    </row>
    <row r="56" spans="1:30" ht="21" x14ac:dyDescent="0.25">
      <c r="A56" s="614"/>
      <c r="B56" s="616"/>
      <c r="C56" s="230" t="s">
        <v>77</v>
      </c>
      <c r="D56" s="230" t="s">
        <v>78</v>
      </c>
      <c r="E56" s="230" t="s">
        <v>79</v>
      </c>
      <c r="F56" s="230" t="s">
        <v>80</v>
      </c>
      <c r="G56" s="230" t="s">
        <v>81</v>
      </c>
      <c r="H56" s="230" t="s">
        <v>82</v>
      </c>
      <c r="I56" s="230" t="s">
        <v>83</v>
      </c>
      <c r="J56" s="230" t="s">
        <v>84</v>
      </c>
      <c r="K56" s="230" t="s">
        <v>85</v>
      </c>
      <c r="L56" s="230" t="s">
        <v>86</v>
      </c>
      <c r="M56" s="230" t="s">
        <v>87</v>
      </c>
      <c r="N56" s="230" t="s">
        <v>88</v>
      </c>
      <c r="O56" s="230" t="s">
        <v>89</v>
      </c>
      <c r="P56" s="230" t="s">
        <v>90</v>
      </c>
      <c r="Q56" s="228"/>
      <c r="R56" s="228"/>
      <c r="S56" s="229"/>
      <c r="T56" s="229"/>
      <c r="U56" s="229"/>
      <c r="V56" s="229"/>
      <c r="W56" s="229"/>
      <c r="X56" s="229"/>
      <c r="Y56" s="229"/>
      <c r="Z56" s="229"/>
      <c r="AA56" s="229"/>
      <c r="AB56" s="229"/>
      <c r="AC56" s="229"/>
      <c r="AD56" s="229"/>
    </row>
    <row r="57" spans="1:30" x14ac:dyDescent="0.25">
      <c r="A57" s="620" t="str">
        <f>A38</f>
        <v>9. Implementar el componente de formación para cuidadoras</v>
      </c>
      <c r="B57" s="622">
        <f>B38</f>
        <v>0.05</v>
      </c>
      <c r="C57" s="231" t="s">
        <v>68</v>
      </c>
      <c r="D57" s="232">
        <f>D38*$B$38/$P$38</f>
        <v>0</v>
      </c>
      <c r="E57" s="232">
        <f t="shared" ref="D57:O58" si="3">E38*$B$38/$P$38</f>
        <v>5.0000000000000018E-3</v>
      </c>
      <c r="F57" s="232">
        <f t="shared" si="3"/>
        <v>4.7500000000000016E-3</v>
      </c>
      <c r="G57" s="232">
        <f t="shared" si="3"/>
        <v>4.7500000000000016E-3</v>
      </c>
      <c r="H57" s="232">
        <f t="shared" si="3"/>
        <v>4.7500000000000016E-3</v>
      </c>
      <c r="I57" s="232">
        <f t="shared" si="3"/>
        <v>4.7500000000000016E-3</v>
      </c>
      <c r="J57" s="232">
        <f t="shared" si="3"/>
        <v>4.7500000000000016E-3</v>
      </c>
      <c r="K57" s="232">
        <f t="shared" si="3"/>
        <v>4.7500000000000016E-3</v>
      </c>
      <c r="L57" s="232">
        <f t="shared" si="3"/>
        <v>4.7500000000000016E-3</v>
      </c>
      <c r="M57" s="232">
        <f t="shared" si="3"/>
        <v>4.7500000000000016E-3</v>
      </c>
      <c r="N57" s="232">
        <f t="shared" si="3"/>
        <v>4.5000000000000005E-3</v>
      </c>
      <c r="O57" s="232">
        <f t="shared" si="3"/>
        <v>2.5000000000000009E-3</v>
      </c>
      <c r="P57" s="233">
        <f t="shared" ref="P57:P62" si="4">SUM(D57:O57)</f>
        <v>5.0000000000000017E-2</v>
      </c>
      <c r="Q57" s="234">
        <v>0.05</v>
      </c>
      <c r="R57" s="235">
        <f t="shared" ref="R57:R65" si="5">+P57-Q57</f>
        <v>0</v>
      </c>
      <c r="S57" s="229"/>
      <c r="T57" s="229"/>
      <c r="U57" s="229"/>
      <c r="V57" s="229"/>
      <c r="W57" s="229"/>
      <c r="X57" s="229"/>
      <c r="Y57" s="229"/>
      <c r="Z57" s="229"/>
      <c r="AA57" s="229"/>
      <c r="AB57" s="229"/>
      <c r="AC57" s="229"/>
      <c r="AD57" s="229"/>
    </row>
    <row r="58" spans="1:30" x14ac:dyDescent="0.25">
      <c r="A58" s="621"/>
      <c r="B58" s="623"/>
      <c r="C58" s="236" t="s">
        <v>72</v>
      </c>
      <c r="D58" s="237">
        <f t="shared" si="3"/>
        <v>0</v>
      </c>
      <c r="E58" s="237">
        <f t="shared" si="3"/>
        <v>2.5000000000000009E-3</v>
      </c>
      <c r="F58" s="237">
        <f t="shared" si="3"/>
        <v>4.7500000000000016E-3</v>
      </c>
      <c r="G58" s="237">
        <f t="shared" si="3"/>
        <v>4.7500000000000016E-3</v>
      </c>
      <c r="H58" s="237">
        <f t="shared" si="3"/>
        <v>4.7500000000000016E-3</v>
      </c>
      <c r="I58" s="237">
        <f t="shared" si="3"/>
        <v>5.0000000000000018E-3</v>
      </c>
      <c r="J58" s="237">
        <f t="shared" si="3"/>
        <v>0</v>
      </c>
      <c r="K58" s="237">
        <f t="shared" si="3"/>
        <v>0</v>
      </c>
      <c r="L58" s="237">
        <f t="shared" si="3"/>
        <v>0</v>
      </c>
      <c r="M58" s="237">
        <f t="shared" si="3"/>
        <v>0</v>
      </c>
      <c r="N58" s="237">
        <f t="shared" si="3"/>
        <v>0</v>
      </c>
      <c r="O58" s="237">
        <f t="shared" si="3"/>
        <v>0</v>
      </c>
      <c r="P58" s="238">
        <f t="shared" si="4"/>
        <v>2.1750000000000005E-2</v>
      </c>
      <c r="Q58" s="239">
        <f>+P58</f>
        <v>2.1750000000000005E-2</v>
      </c>
      <c r="R58" s="235">
        <f t="shared" si="5"/>
        <v>0</v>
      </c>
      <c r="S58" s="229"/>
      <c r="T58" s="229"/>
      <c r="U58" s="229"/>
      <c r="V58" s="229"/>
      <c r="W58" s="229"/>
      <c r="X58" s="229"/>
      <c r="Y58" s="229"/>
      <c r="Z58" s="229"/>
      <c r="AA58" s="229"/>
      <c r="AB58" s="229"/>
      <c r="AC58" s="229"/>
      <c r="AD58" s="229"/>
    </row>
    <row r="59" spans="1:30" x14ac:dyDescent="0.25">
      <c r="A59" s="620" t="str">
        <f>A40</f>
        <v xml:space="preserve">10. Implementar el componente de orientación psicojurídica para cuidadoras </v>
      </c>
      <c r="B59" s="625">
        <f>B40</f>
        <v>0.05</v>
      </c>
      <c r="C59" s="231" t="s">
        <v>68</v>
      </c>
      <c r="D59" s="232">
        <f t="shared" ref="D59:O60" si="6">D40*$B$40/$P$40</f>
        <v>0</v>
      </c>
      <c r="E59" s="232">
        <f t="shared" si="6"/>
        <v>5.0000000000000018E-3</v>
      </c>
      <c r="F59" s="232">
        <f t="shared" si="6"/>
        <v>4.7500000000000016E-3</v>
      </c>
      <c r="G59" s="232">
        <f t="shared" si="6"/>
        <v>4.7500000000000016E-3</v>
      </c>
      <c r="H59" s="232">
        <f t="shared" si="6"/>
        <v>4.7500000000000016E-3</v>
      </c>
      <c r="I59" s="232">
        <f t="shared" si="6"/>
        <v>4.7500000000000016E-3</v>
      </c>
      <c r="J59" s="232">
        <f t="shared" si="6"/>
        <v>4.7500000000000016E-3</v>
      </c>
      <c r="K59" s="232">
        <f t="shared" si="6"/>
        <v>4.7500000000000016E-3</v>
      </c>
      <c r="L59" s="232">
        <f t="shared" si="6"/>
        <v>4.7500000000000016E-3</v>
      </c>
      <c r="M59" s="232">
        <f t="shared" si="6"/>
        <v>4.7500000000000016E-3</v>
      </c>
      <c r="N59" s="232">
        <f t="shared" si="6"/>
        <v>4.5000000000000005E-3</v>
      </c>
      <c r="O59" s="232">
        <f t="shared" si="6"/>
        <v>2.5000000000000009E-3</v>
      </c>
      <c r="P59" s="233">
        <f t="shared" si="4"/>
        <v>5.0000000000000017E-2</v>
      </c>
      <c r="Q59" s="234">
        <v>2.5000000000000001E-2</v>
      </c>
      <c r="R59" s="235">
        <f t="shared" si="5"/>
        <v>2.5000000000000015E-2</v>
      </c>
      <c r="S59" s="229"/>
      <c r="T59" s="229"/>
      <c r="U59" s="229"/>
      <c r="V59" s="229"/>
      <c r="W59" s="229"/>
      <c r="X59" s="229"/>
      <c r="Y59" s="229"/>
      <c r="Z59" s="229"/>
      <c r="AA59" s="229"/>
      <c r="AB59" s="229"/>
      <c r="AC59" s="229"/>
      <c r="AD59" s="229"/>
    </row>
    <row r="60" spans="1:30" x14ac:dyDescent="0.25">
      <c r="A60" s="624"/>
      <c r="B60" s="626"/>
      <c r="C60" s="236" t="s">
        <v>72</v>
      </c>
      <c r="D60" s="237">
        <f t="shared" si="6"/>
        <v>0</v>
      </c>
      <c r="E60" s="237">
        <f t="shared" si="6"/>
        <v>5.0000000000000018E-3</v>
      </c>
      <c r="F60" s="237">
        <f t="shared" si="6"/>
        <v>4.7500000000000016E-3</v>
      </c>
      <c r="G60" s="237">
        <f t="shared" si="6"/>
        <v>4.7500000000000016E-3</v>
      </c>
      <c r="H60" s="237">
        <f t="shared" si="6"/>
        <v>4.7500000000000016E-3</v>
      </c>
      <c r="I60" s="237">
        <f t="shared" si="6"/>
        <v>5.0000000000000018E-3</v>
      </c>
      <c r="J60" s="237">
        <f t="shared" si="6"/>
        <v>0</v>
      </c>
      <c r="K60" s="237">
        <f t="shared" si="6"/>
        <v>0</v>
      </c>
      <c r="L60" s="237">
        <f t="shared" si="6"/>
        <v>0</v>
      </c>
      <c r="M60" s="237">
        <f t="shared" si="6"/>
        <v>0</v>
      </c>
      <c r="N60" s="237">
        <f t="shared" si="6"/>
        <v>0</v>
      </c>
      <c r="O60" s="237">
        <f t="shared" si="6"/>
        <v>0</v>
      </c>
      <c r="P60" s="238">
        <f t="shared" si="4"/>
        <v>2.4250000000000008E-2</v>
      </c>
      <c r="Q60" s="239">
        <f>+P60</f>
        <v>2.4250000000000008E-2</v>
      </c>
      <c r="R60" s="235">
        <f t="shared" si="5"/>
        <v>0</v>
      </c>
      <c r="S60" s="229"/>
      <c r="T60" s="229"/>
      <c r="U60" s="229"/>
      <c r="V60" s="229"/>
      <c r="W60" s="229"/>
      <c r="X60" s="229"/>
      <c r="Y60" s="229"/>
      <c r="Z60" s="229"/>
      <c r="AA60" s="229"/>
      <c r="AB60" s="229"/>
      <c r="AC60" s="229"/>
      <c r="AD60" s="229"/>
    </row>
    <row r="61" spans="1:30" x14ac:dyDescent="0.25">
      <c r="A61" s="620" t="str">
        <f>A42</f>
        <v xml:space="preserve">11. Implementar, monitorear y hacer seguimiento al Plan Integral de Acciones Afirmativas </v>
      </c>
      <c r="B61" s="625">
        <f>B42</f>
        <v>0.05</v>
      </c>
      <c r="C61" s="231" t="s">
        <v>68</v>
      </c>
      <c r="D61" s="232">
        <f t="shared" ref="D61:O62" si="7">D42*$B$42/$P$42</f>
        <v>4.0012003601080318E-3</v>
      </c>
      <c r="E61" s="232">
        <f t="shared" si="7"/>
        <v>4.0012003601080318E-3</v>
      </c>
      <c r="F61" s="232">
        <f t="shared" si="7"/>
        <v>4.1662498749624882E-3</v>
      </c>
      <c r="G61" s="232">
        <f t="shared" si="7"/>
        <v>4.1662498749624882E-3</v>
      </c>
      <c r="H61" s="232">
        <f t="shared" si="7"/>
        <v>4.1662498749624882E-3</v>
      </c>
      <c r="I61" s="232">
        <f t="shared" si="7"/>
        <v>4.1662498749624882E-3</v>
      </c>
      <c r="J61" s="232">
        <f t="shared" si="7"/>
        <v>4.1662498749624882E-3</v>
      </c>
      <c r="K61" s="232">
        <f t="shared" si="7"/>
        <v>4.1662498749624882E-3</v>
      </c>
      <c r="L61" s="232">
        <f t="shared" si="7"/>
        <v>4.1662498749624882E-3</v>
      </c>
      <c r="M61" s="232">
        <f t="shared" si="7"/>
        <v>4.1662498749624882E-3</v>
      </c>
      <c r="N61" s="232">
        <f t="shared" si="7"/>
        <v>4.1662498749624882E-3</v>
      </c>
      <c r="O61" s="232">
        <f t="shared" si="7"/>
        <v>4.5013504051215356E-3</v>
      </c>
      <c r="P61" s="233">
        <f t="shared" si="4"/>
        <v>4.9999999999999989E-2</v>
      </c>
      <c r="Q61" s="234">
        <v>2.5000000000000001E-2</v>
      </c>
      <c r="R61" s="235">
        <f t="shared" si="5"/>
        <v>2.4999999999999988E-2</v>
      </c>
      <c r="S61" s="229"/>
      <c r="T61" s="229"/>
      <c r="U61" s="229"/>
      <c r="V61" s="229"/>
      <c r="W61" s="229"/>
      <c r="X61" s="229"/>
      <c r="Y61" s="229"/>
      <c r="Z61" s="229"/>
      <c r="AA61" s="229"/>
      <c r="AB61" s="229"/>
      <c r="AC61" s="229"/>
      <c r="AD61" s="229"/>
    </row>
    <row r="62" spans="1:30" x14ac:dyDescent="0.25">
      <c r="A62" s="624"/>
      <c r="B62" s="626"/>
      <c r="C62" s="236" t="s">
        <v>72</v>
      </c>
      <c r="D62" s="237">
        <f t="shared" si="7"/>
        <v>4.0012003601080318E-3</v>
      </c>
      <c r="E62" s="237">
        <f t="shared" si="7"/>
        <v>4.0012003601080318E-3</v>
      </c>
      <c r="F62" s="237">
        <f t="shared" si="7"/>
        <v>4.1662498749624882E-3</v>
      </c>
      <c r="G62" s="237">
        <f t="shared" si="7"/>
        <v>4.1662498749624882E-3</v>
      </c>
      <c r="H62" s="237">
        <f t="shared" si="7"/>
        <v>4.1662498749624882E-3</v>
      </c>
      <c r="I62" s="237">
        <f t="shared" si="7"/>
        <v>4.0012003601080318E-3</v>
      </c>
      <c r="J62" s="237">
        <f t="shared" si="7"/>
        <v>0</v>
      </c>
      <c r="K62" s="237">
        <f t="shared" si="7"/>
        <v>0</v>
      </c>
      <c r="L62" s="237">
        <f t="shared" si="7"/>
        <v>0</v>
      </c>
      <c r="M62" s="237">
        <f t="shared" si="7"/>
        <v>0</v>
      </c>
      <c r="N62" s="237">
        <f t="shared" si="7"/>
        <v>0</v>
      </c>
      <c r="O62" s="237">
        <f t="shared" si="7"/>
        <v>0</v>
      </c>
      <c r="P62" s="238">
        <f t="shared" si="4"/>
        <v>2.4502350705211562E-2</v>
      </c>
      <c r="Q62" s="239">
        <f>+P62</f>
        <v>2.4502350705211562E-2</v>
      </c>
      <c r="R62" s="235">
        <f t="shared" si="5"/>
        <v>0</v>
      </c>
      <c r="S62" s="229"/>
      <c r="T62" s="229"/>
      <c r="U62" s="229"/>
      <c r="V62" s="229"/>
      <c r="W62" s="229"/>
      <c r="X62" s="229"/>
      <c r="Y62" s="229"/>
      <c r="Z62" s="229"/>
      <c r="AA62" s="229"/>
      <c r="AB62" s="229"/>
      <c r="AC62" s="229"/>
      <c r="AD62" s="229"/>
    </row>
    <row r="63" spans="1:30" x14ac:dyDescent="0.25">
      <c r="A63" s="241"/>
      <c r="B63" s="242"/>
      <c r="C63" s="243"/>
      <c r="D63" s="232"/>
      <c r="E63" s="232"/>
      <c r="F63" s="232"/>
      <c r="G63" s="232"/>
      <c r="H63" s="232"/>
      <c r="I63" s="232"/>
      <c r="J63" s="232"/>
      <c r="K63" s="232"/>
      <c r="L63" s="232"/>
      <c r="M63" s="232"/>
      <c r="N63" s="232"/>
      <c r="O63" s="232"/>
      <c r="P63" s="244"/>
      <c r="Q63" s="234"/>
      <c r="R63" s="235"/>
      <c r="S63" s="229"/>
      <c r="T63" s="229"/>
      <c r="U63" s="229"/>
      <c r="V63" s="229"/>
      <c r="W63" s="229"/>
      <c r="X63" s="229"/>
      <c r="Y63" s="229"/>
      <c r="Z63" s="229"/>
      <c r="AA63" s="229"/>
      <c r="AB63" s="229"/>
      <c r="AC63" s="229"/>
      <c r="AD63" s="229"/>
    </row>
    <row r="64" spans="1:30" x14ac:dyDescent="0.25">
      <c r="A64" s="245"/>
      <c r="B64" s="246"/>
      <c r="C64" s="243"/>
      <c r="D64" s="247"/>
      <c r="E64" s="247"/>
      <c r="F64" s="247"/>
      <c r="G64" s="247"/>
      <c r="H64" s="247"/>
      <c r="I64" s="247"/>
      <c r="J64" s="247"/>
      <c r="K64" s="247"/>
      <c r="L64" s="247"/>
      <c r="M64" s="247"/>
      <c r="N64" s="247"/>
      <c r="O64" s="247"/>
      <c r="P64" s="244"/>
      <c r="Q64" s="239"/>
      <c r="R64" s="235"/>
      <c r="S64" s="229"/>
      <c r="T64" s="229"/>
      <c r="U64" s="229"/>
      <c r="V64" s="229"/>
      <c r="W64" s="229"/>
      <c r="X64" s="229"/>
      <c r="Y64" s="229"/>
      <c r="Z64" s="229"/>
      <c r="AA64" s="229"/>
      <c r="AB64" s="229"/>
      <c r="AC64" s="229"/>
      <c r="AD64" s="229"/>
    </row>
    <row r="65" spans="1:30" x14ac:dyDescent="0.25">
      <c r="A65" s="228"/>
      <c r="B65" s="248"/>
      <c r="C65" s="249"/>
      <c r="D65" s="250">
        <f>D58+D60+D62</f>
        <v>4.0012003601080318E-3</v>
      </c>
      <c r="E65" s="250">
        <f t="shared" ref="E65:O65" si="8">E58+E60+E62</f>
        <v>1.1501200360108035E-2</v>
      </c>
      <c r="F65" s="250">
        <f t="shared" si="8"/>
        <v>1.3666249874962491E-2</v>
      </c>
      <c r="G65" s="250">
        <f t="shared" si="8"/>
        <v>1.3666249874962491E-2</v>
      </c>
      <c r="H65" s="250">
        <f t="shared" si="8"/>
        <v>1.3666249874962491E-2</v>
      </c>
      <c r="I65" s="250">
        <f t="shared" si="8"/>
        <v>1.4001200360108036E-2</v>
      </c>
      <c r="J65" s="250">
        <f t="shared" si="8"/>
        <v>0</v>
      </c>
      <c r="K65" s="250">
        <f t="shared" si="8"/>
        <v>0</v>
      </c>
      <c r="L65" s="250">
        <f t="shared" si="8"/>
        <v>0</v>
      </c>
      <c r="M65" s="250">
        <f t="shared" si="8"/>
        <v>0</v>
      </c>
      <c r="N65" s="250">
        <f t="shared" si="8"/>
        <v>0</v>
      </c>
      <c r="O65" s="250">
        <f t="shared" si="8"/>
        <v>0</v>
      </c>
      <c r="P65" s="250">
        <f>P58+P60+P62</f>
        <v>7.0502350705211575E-2</v>
      </c>
      <c r="Q65" s="228"/>
      <c r="R65" s="235">
        <f t="shared" si="5"/>
        <v>7.0502350705211575E-2</v>
      </c>
      <c r="S65" s="229"/>
      <c r="T65" s="229"/>
      <c r="U65" s="229"/>
      <c r="V65" s="229"/>
      <c r="W65" s="229"/>
      <c r="X65" s="229"/>
      <c r="Y65" s="229"/>
      <c r="Z65" s="229"/>
      <c r="AA65" s="229"/>
      <c r="AB65" s="229"/>
      <c r="AC65" s="229"/>
      <c r="AD65" s="229"/>
    </row>
    <row r="66" spans="1:30" x14ac:dyDescent="0.25">
      <c r="A66" s="228"/>
      <c r="B66" s="251"/>
      <c r="C66" s="252" t="s">
        <v>72</v>
      </c>
      <c r="D66" s="253">
        <f>D65*$W$17/$B$34</f>
        <v>6.4019205761728509E-3</v>
      </c>
      <c r="E66" s="253">
        <f t="shared" ref="E66:O66" si="9">E65*$W$17/$B$34</f>
        <v>1.8401920576172855E-2</v>
      </c>
      <c r="F66" s="253">
        <f t="shared" si="9"/>
        <v>2.1865999799939986E-2</v>
      </c>
      <c r="G66" s="253">
        <f t="shared" si="9"/>
        <v>2.1865999799939986E-2</v>
      </c>
      <c r="H66" s="253">
        <f t="shared" si="9"/>
        <v>2.1865999799939986E-2</v>
      </c>
      <c r="I66" s="253">
        <f t="shared" si="9"/>
        <v>2.2401920576172858E-2</v>
      </c>
      <c r="J66" s="253">
        <f t="shared" si="9"/>
        <v>0</v>
      </c>
      <c r="K66" s="253">
        <f t="shared" si="9"/>
        <v>0</v>
      </c>
      <c r="L66" s="253">
        <f t="shared" si="9"/>
        <v>0</v>
      </c>
      <c r="M66" s="253">
        <f t="shared" si="9"/>
        <v>0</v>
      </c>
      <c r="N66" s="253">
        <f t="shared" si="9"/>
        <v>0</v>
      </c>
      <c r="O66" s="253">
        <f t="shared" si="9"/>
        <v>0</v>
      </c>
      <c r="P66" s="254">
        <f>SUM(D66:O66)</f>
        <v>0.11280376112833854</v>
      </c>
      <c r="Q66" s="255"/>
      <c r="R66" s="228"/>
      <c r="S66" s="229"/>
      <c r="T66" s="229"/>
      <c r="U66" s="229"/>
      <c r="V66" s="229"/>
      <c r="W66" s="229"/>
      <c r="X66" s="229"/>
      <c r="Y66" s="229"/>
      <c r="Z66" s="229"/>
      <c r="AA66" s="229"/>
      <c r="AB66" s="229"/>
      <c r="AC66" s="229"/>
      <c r="AD66" s="229"/>
    </row>
    <row r="67" spans="1:30" x14ac:dyDescent="0.25">
      <c r="A67" s="255"/>
      <c r="B67" s="256"/>
      <c r="C67" s="256"/>
      <c r="D67" s="256"/>
      <c r="E67" s="256"/>
      <c r="F67" s="256"/>
      <c r="G67" s="256"/>
      <c r="H67" s="256"/>
      <c r="I67" s="256"/>
      <c r="J67" s="256"/>
      <c r="K67" s="256"/>
      <c r="L67" s="256"/>
      <c r="M67" s="256"/>
      <c r="N67" s="256"/>
      <c r="O67" s="256"/>
      <c r="P67" s="256"/>
      <c r="Q67" s="255"/>
      <c r="R67" s="255"/>
      <c r="S67" s="229"/>
      <c r="T67" s="229"/>
      <c r="U67" s="229"/>
      <c r="V67" s="229"/>
      <c r="W67" s="229"/>
      <c r="X67" s="229"/>
      <c r="Y67" s="229"/>
      <c r="Z67" s="229"/>
      <c r="AA67" s="229"/>
      <c r="AB67" s="229"/>
      <c r="AC67" s="229"/>
      <c r="AD67" s="229"/>
    </row>
    <row r="68" spans="1:30" x14ac:dyDescent="0.25">
      <c r="A68" s="234"/>
      <c r="B68" s="108"/>
      <c r="C68" s="108"/>
      <c r="D68" s="250">
        <f t="shared" ref="D68:P68" si="10">+D57+D59+D61</f>
        <v>4.0012003601080318E-3</v>
      </c>
      <c r="E68" s="250">
        <f t="shared" si="10"/>
        <v>1.4001200360108036E-2</v>
      </c>
      <c r="F68" s="250">
        <f t="shared" si="10"/>
        <v>1.3666249874962491E-2</v>
      </c>
      <c r="G68" s="250">
        <f t="shared" si="10"/>
        <v>1.3666249874962491E-2</v>
      </c>
      <c r="H68" s="250">
        <f t="shared" si="10"/>
        <v>1.3666249874962491E-2</v>
      </c>
      <c r="I68" s="250">
        <f t="shared" si="10"/>
        <v>1.3666249874962491E-2</v>
      </c>
      <c r="J68" s="250">
        <f t="shared" si="10"/>
        <v>1.3666249874962491E-2</v>
      </c>
      <c r="K68" s="250">
        <f t="shared" si="10"/>
        <v>1.3666249874962491E-2</v>
      </c>
      <c r="L68" s="250">
        <f t="shared" si="10"/>
        <v>1.3666249874962491E-2</v>
      </c>
      <c r="M68" s="250">
        <f t="shared" si="10"/>
        <v>1.3666249874962491E-2</v>
      </c>
      <c r="N68" s="250">
        <f t="shared" si="10"/>
        <v>1.3166249874962489E-2</v>
      </c>
      <c r="O68" s="250">
        <f t="shared" si="10"/>
        <v>9.5013504051215374E-3</v>
      </c>
      <c r="P68" s="250">
        <f t="shared" si="10"/>
        <v>0.15000000000000002</v>
      </c>
      <c r="Q68" s="234"/>
      <c r="R68" s="234"/>
      <c r="S68" s="229"/>
      <c r="T68" s="229"/>
      <c r="U68" s="229"/>
      <c r="V68" s="229"/>
      <c r="W68" s="229"/>
      <c r="X68" s="229"/>
      <c r="Y68" s="229"/>
      <c r="Z68" s="229"/>
      <c r="AA68" s="229"/>
      <c r="AB68" s="229"/>
      <c r="AC68" s="229"/>
      <c r="AD68" s="229"/>
    </row>
    <row r="69" spans="1:30" x14ac:dyDescent="0.25">
      <c r="A69" s="234"/>
      <c r="B69" s="108"/>
      <c r="C69" s="252" t="s">
        <v>68</v>
      </c>
      <c r="D69" s="253">
        <f t="shared" ref="D69:O69" si="11">D68*$W$17/$B$34</f>
        <v>6.4019205761728509E-3</v>
      </c>
      <c r="E69" s="253">
        <f t="shared" si="11"/>
        <v>2.2401920576172858E-2</v>
      </c>
      <c r="F69" s="253">
        <f t="shared" si="11"/>
        <v>2.1865999799939986E-2</v>
      </c>
      <c r="G69" s="253">
        <f t="shared" si="11"/>
        <v>2.1865999799939986E-2</v>
      </c>
      <c r="H69" s="253">
        <f t="shared" si="11"/>
        <v>2.1865999799939986E-2</v>
      </c>
      <c r="I69" s="253">
        <f t="shared" si="11"/>
        <v>2.1865999799939986E-2</v>
      </c>
      <c r="J69" s="253">
        <f t="shared" si="11"/>
        <v>2.1865999799939986E-2</v>
      </c>
      <c r="K69" s="253">
        <f t="shared" si="11"/>
        <v>2.1865999799939986E-2</v>
      </c>
      <c r="L69" s="253">
        <f t="shared" si="11"/>
        <v>2.1865999799939986E-2</v>
      </c>
      <c r="M69" s="253">
        <f t="shared" si="11"/>
        <v>2.1865999799939986E-2</v>
      </c>
      <c r="N69" s="253">
        <f t="shared" si="11"/>
        <v>2.1065999799939981E-2</v>
      </c>
      <c r="O69" s="253">
        <f t="shared" si="11"/>
        <v>1.5202160648194461E-2</v>
      </c>
      <c r="P69" s="254">
        <f>SUM(D69:O69)</f>
        <v>0.24000000000000002</v>
      </c>
      <c r="Q69" s="234"/>
      <c r="R69" s="234"/>
      <c r="S69" s="229"/>
      <c r="T69" s="229"/>
      <c r="U69" s="229"/>
      <c r="V69" s="229"/>
      <c r="W69" s="229"/>
      <c r="X69" s="229"/>
      <c r="Y69" s="229"/>
      <c r="Z69" s="229"/>
      <c r="AA69" s="229"/>
      <c r="AB69" s="229"/>
      <c r="AC69" s="229"/>
      <c r="AD69" s="229"/>
    </row>
  </sheetData>
  <mergeCells count="89">
    <mergeCell ref="A61:A62"/>
    <mergeCell ref="B61:B62"/>
    <mergeCell ref="C55:P55"/>
    <mergeCell ref="A55:A56"/>
    <mergeCell ref="B55:B56"/>
    <mergeCell ref="A57:A58"/>
    <mergeCell ref="B57:B58"/>
    <mergeCell ref="A59:A60"/>
    <mergeCell ref="B59:B60"/>
    <mergeCell ref="A1:A4"/>
    <mergeCell ref="B1:AA1"/>
    <mergeCell ref="O7:P7"/>
    <mergeCell ref="M8:N8"/>
    <mergeCell ref="O8:P8"/>
    <mergeCell ref="AB1:AD1"/>
    <mergeCell ref="B2:AA2"/>
    <mergeCell ref="AB2:AD2"/>
    <mergeCell ref="B3:AA4"/>
    <mergeCell ref="AB3:AD3"/>
    <mergeCell ref="AB4:AD4"/>
    <mergeCell ref="A11:B13"/>
    <mergeCell ref="C11:AD13"/>
    <mergeCell ref="A7:B9"/>
    <mergeCell ref="C7:C9"/>
    <mergeCell ref="D7:H9"/>
    <mergeCell ref="I7:J9"/>
    <mergeCell ref="K7:L9"/>
    <mergeCell ref="M7:N7"/>
    <mergeCell ref="M9:N9"/>
    <mergeCell ref="O9:P9"/>
    <mergeCell ref="AA15:AD15"/>
    <mergeCell ref="C16:AB16"/>
    <mergeCell ref="A17:B17"/>
    <mergeCell ref="C17:Q17"/>
    <mergeCell ref="R17:V17"/>
    <mergeCell ref="W17:X17"/>
    <mergeCell ref="Y17:AB17"/>
    <mergeCell ref="AC17:AD17"/>
    <mergeCell ref="A15:B15"/>
    <mergeCell ref="C15:K15"/>
    <mergeCell ref="L15:Q15"/>
    <mergeCell ref="R15:X15"/>
    <mergeCell ref="Y15:Z15"/>
    <mergeCell ref="A19:AD19"/>
    <mergeCell ref="C20:P20"/>
    <mergeCell ref="Q20:AD20"/>
    <mergeCell ref="A22:B22"/>
    <mergeCell ref="A23:B23"/>
    <mergeCell ref="A24:B24"/>
    <mergeCell ref="A25:B25"/>
    <mergeCell ref="A27:AD27"/>
    <mergeCell ref="A28:A29"/>
    <mergeCell ref="B28:C29"/>
    <mergeCell ref="D28:O28"/>
    <mergeCell ref="P28:P29"/>
    <mergeCell ref="Q28:AD29"/>
    <mergeCell ref="B30:C30"/>
    <mergeCell ref="Q30:AD30"/>
    <mergeCell ref="A31:AD31"/>
    <mergeCell ref="A32:A33"/>
    <mergeCell ref="B32:B33"/>
    <mergeCell ref="C32:C33"/>
    <mergeCell ref="D32:P32"/>
    <mergeCell ref="Q32:AD32"/>
    <mergeCell ref="Q33:S33"/>
    <mergeCell ref="T33:V33"/>
    <mergeCell ref="W33:Z33"/>
    <mergeCell ref="AA33:AD33"/>
    <mergeCell ref="A34:A35"/>
    <mergeCell ref="B34:B35"/>
    <mergeCell ref="Q34:S35"/>
    <mergeCell ref="T34:V35"/>
    <mergeCell ref="W34:Z35"/>
    <mergeCell ref="AF22:AM25"/>
    <mergeCell ref="A42:A43"/>
    <mergeCell ref="B42:B43"/>
    <mergeCell ref="Q42:AD43"/>
    <mergeCell ref="A38:A39"/>
    <mergeCell ref="B38:B39"/>
    <mergeCell ref="Q38:AD39"/>
    <mergeCell ref="A40:A41"/>
    <mergeCell ref="B40:B41"/>
    <mergeCell ref="Q40:AD41"/>
    <mergeCell ref="AA34:AD35"/>
    <mergeCell ref="A36:A37"/>
    <mergeCell ref="B36:B37"/>
    <mergeCell ref="C36:P36"/>
    <mergeCell ref="Q36:AD36"/>
    <mergeCell ref="Q37:AD37"/>
  </mergeCells>
  <dataValidations count="3">
    <dataValidation type="textLength" operator="lessThanOrEqual" allowBlank="1" showInputMessage="1" showErrorMessage="1" errorTitle="Máximo 2.000 caracteres" error="Máximo 2.000 caracteres" sqref="AA34 Q34 Q38:Q42 R38:AD41" xr:uid="{00000000-0002-0000-0300-000000000000}">
      <formula1>2000</formula1>
    </dataValidation>
    <dataValidation type="textLength" operator="lessThanOrEqual" allowBlank="1" showInputMessage="1" showErrorMessage="1" errorTitle="Máximo 2.000 caracteres" error="Máximo 2.000 caracteres" promptTitle="2.000 caracteres" sqref="Q30:AD30" xr:uid="{00000000-0002-0000-0300-000001000000}">
      <formula1>2000</formula1>
    </dataValidation>
    <dataValidation type="list" allowBlank="1" showInputMessage="1" showErrorMessage="1" sqref="C7:C9" xr:uid="{82346C5A-6204-44FB-97BA-E6250A7CEE42}">
      <formula1>$C$21:$N$21</formula1>
    </dataValidation>
  </dataValidations>
  <pageMargins left="0.25" right="0.25" top="0.75" bottom="0.75" header="0.3" footer="0.3"/>
  <pageSetup scale="19" orientation="landscape"/>
  <customProperties>
    <customPr name="_pios_id" r:id="rId1"/>
  </customProperties>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7" tint="0.39997558519241921"/>
    <pageSetUpPr fitToPage="1"/>
  </sheetPr>
  <dimension ref="A1:BA72"/>
  <sheetViews>
    <sheetView showGridLines="0" topLeftCell="S29" zoomScale="138" zoomScaleNormal="60" workbookViewId="0">
      <selection activeCell="T33" sqref="T33:Z33"/>
    </sheetView>
  </sheetViews>
  <sheetFormatPr baseColWidth="10" defaultColWidth="10.85546875" defaultRowHeight="15" x14ac:dyDescent="0.25"/>
  <cols>
    <col min="1" max="1" width="38.42578125" style="50" customWidth="1"/>
    <col min="2" max="2" width="15.42578125" style="50" customWidth="1"/>
    <col min="3" max="14" width="20.7109375" style="50" customWidth="1"/>
    <col min="15" max="15" width="16.140625" style="50" customWidth="1"/>
    <col min="16" max="27" width="18.140625" style="50" customWidth="1"/>
    <col min="28" max="28" width="22.7109375" style="50" customWidth="1"/>
    <col min="29" max="29" width="19" style="50" customWidth="1"/>
    <col min="30" max="30" width="19.42578125" style="50" customWidth="1"/>
    <col min="31" max="31" width="6.28515625" style="50" bestFit="1" customWidth="1"/>
    <col min="32" max="32" width="22.85546875" style="50" customWidth="1"/>
    <col min="33" max="33" width="18.42578125" style="50" bestFit="1" customWidth="1"/>
    <col min="34" max="34" width="8.42578125" style="50" customWidth="1"/>
    <col min="35" max="35" width="18.42578125" style="50" bestFit="1" customWidth="1"/>
    <col min="36" max="36" width="5.7109375" style="50" customWidth="1"/>
    <col min="37" max="37" width="18.42578125" style="50" bestFit="1" customWidth="1"/>
    <col min="38" max="38" width="4.7109375" style="50" customWidth="1"/>
    <col min="39" max="39" width="23" style="50" bestFit="1" customWidth="1"/>
    <col min="40" max="40" width="10.85546875" style="50"/>
    <col min="41" max="41" width="18.42578125" style="50" bestFit="1" customWidth="1"/>
    <col min="42" max="42" width="16.140625" style="50" customWidth="1"/>
    <col min="43" max="16384" width="10.85546875" style="50"/>
  </cols>
  <sheetData>
    <row r="1" spans="1:53" ht="32.25" customHeight="1" thickBot="1" x14ac:dyDescent="0.3">
      <c r="A1" s="443"/>
      <c r="B1" s="446" t="s">
        <v>0</v>
      </c>
      <c r="C1" s="447"/>
      <c r="D1" s="447"/>
      <c r="E1" s="447"/>
      <c r="F1" s="447"/>
      <c r="G1" s="447"/>
      <c r="H1" s="447"/>
      <c r="I1" s="447"/>
      <c r="J1" s="447"/>
      <c r="K1" s="447"/>
      <c r="L1" s="447"/>
      <c r="M1" s="447"/>
      <c r="N1" s="447"/>
      <c r="O1" s="447"/>
      <c r="P1" s="447"/>
      <c r="Q1" s="447"/>
      <c r="R1" s="447"/>
      <c r="S1" s="447"/>
      <c r="T1" s="447"/>
      <c r="U1" s="447"/>
      <c r="V1" s="447"/>
      <c r="W1" s="447"/>
      <c r="X1" s="447"/>
      <c r="Y1" s="447"/>
      <c r="Z1" s="447"/>
      <c r="AA1" s="448"/>
      <c r="AB1" s="449" t="s">
        <v>1</v>
      </c>
      <c r="AC1" s="450"/>
      <c r="AD1" s="451"/>
    </row>
    <row r="2" spans="1:53" ht="30.75" customHeight="1" thickBot="1" x14ac:dyDescent="0.3">
      <c r="A2" s="444"/>
      <c r="B2" s="446" t="s">
        <v>97</v>
      </c>
      <c r="C2" s="447"/>
      <c r="D2" s="447"/>
      <c r="E2" s="447"/>
      <c r="F2" s="447"/>
      <c r="G2" s="447"/>
      <c r="H2" s="447"/>
      <c r="I2" s="447"/>
      <c r="J2" s="447"/>
      <c r="K2" s="447"/>
      <c r="L2" s="447"/>
      <c r="M2" s="447"/>
      <c r="N2" s="447"/>
      <c r="O2" s="447"/>
      <c r="P2" s="447"/>
      <c r="Q2" s="447"/>
      <c r="R2" s="447"/>
      <c r="S2" s="447"/>
      <c r="T2" s="447"/>
      <c r="U2" s="447"/>
      <c r="V2" s="447"/>
      <c r="W2" s="447"/>
      <c r="X2" s="447"/>
      <c r="Y2" s="447"/>
      <c r="Z2" s="447"/>
      <c r="AA2" s="448"/>
      <c r="AB2" s="470" t="s">
        <v>3</v>
      </c>
      <c r="AC2" s="471"/>
      <c r="AD2" s="472"/>
    </row>
    <row r="3" spans="1:53" ht="24" customHeight="1" x14ac:dyDescent="0.25">
      <c r="A3" s="444"/>
      <c r="B3" s="473" t="s">
        <v>4</v>
      </c>
      <c r="C3" s="474"/>
      <c r="D3" s="474"/>
      <c r="E3" s="474"/>
      <c r="F3" s="474"/>
      <c r="G3" s="474"/>
      <c r="H3" s="474"/>
      <c r="I3" s="474"/>
      <c r="J3" s="474"/>
      <c r="K3" s="474"/>
      <c r="L3" s="474"/>
      <c r="M3" s="474"/>
      <c r="N3" s="474"/>
      <c r="O3" s="474"/>
      <c r="P3" s="474"/>
      <c r="Q3" s="474"/>
      <c r="R3" s="474"/>
      <c r="S3" s="474"/>
      <c r="T3" s="474"/>
      <c r="U3" s="474"/>
      <c r="V3" s="474"/>
      <c r="W3" s="474"/>
      <c r="X3" s="474"/>
      <c r="Y3" s="474"/>
      <c r="Z3" s="474"/>
      <c r="AA3" s="475"/>
      <c r="AB3" s="470" t="s">
        <v>5</v>
      </c>
      <c r="AC3" s="471"/>
      <c r="AD3" s="472"/>
    </row>
    <row r="4" spans="1:53" ht="21.95" customHeight="1" thickBot="1" x14ac:dyDescent="0.3">
      <c r="A4" s="445"/>
      <c r="B4" s="476"/>
      <c r="C4" s="477"/>
      <c r="D4" s="477"/>
      <c r="E4" s="477"/>
      <c r="F4" s="477"/>
      <c r="G4" s="477"/>
      <c r="H4" s="477"/>
      <c r="I4" s="477"/>
      <c r="J4" s="477"/>
      <c r="K4" s="477"/>
      <c r="L4" s="477"/>
      <c r="M4" s="477"/>
      <c r="N4" s="477"/>
      <c r="O4" s="477"/>
      <c r="P4" s="477"/>
      <c r="Q4" s="477"/>
      <c r="R4" s="477"/>
      <c r="S4" s="477"/>
      <c r="T4" s="477"/>
      <c r="U4" s="477"/>
      <c r="V4" s="477"/>
      <c r="W4" s="477"/>
      <c r="X4" s="477"/>
      <c r="Y4" s="477"/>
      <c r="Z4" s="477"/>
      <c r="AA4" s="478"/>
      <c r="AB4" s="479" t="s">
        <v>6</v>
      </c>
      <c r="AC4" s="480"/>
      <c r="AD4" s="481"/>
    </row>
    <row r="5" spans="1:53" ht="9" customHeight="1" thickBot="1" x14ac:dyDescent="0.3">
      <c r="A5" s="51"/>
      <c r="B5" s="202"/>
      <c r="C5" s="203"/>
      <c r="D5" s="54"/>
      <c r="E5" s="54"/>
      <c r="F5" s="54"/>
      <c r="G5" s="54"/>
      <c r="H5" s="54"/>
      <c r="I5" s="54"/>
      <c r="J5" s="54"/>
      <c r="K5" s="54"/>
      <c r="L5" s="54"/>
      <c r="M5" s="54"/>
      <c r="N5" s="54"/>
      <c r="O5" s="54"/>
      <c r="P5" s="54"/>
      <c r="Q5" s="54"/>
      <c r="R5" s="54"/>
      <c r="S5" s="54"/>
      <c r="T5" s="54"/>
      <c r="U5" s="54"/>
      <c r="V5" s="54"/>
      <c r="W5" s="54"/>
      <c r="X5" s="54"/>
      <c r="Y5" s="54"/>
      <c r="Z5" s="55"/>
      <c r="AA5" s="54"/>
      <c r="AB5" s="56"/>
      <c r="AC5" s="57"/>
      <c r="AD5" s="58"/>
    </row>
    <row r="6" spans="1:53" ht="9" customHeight="1" thickBot="1" x14ac:dyDescent="0.3">
      <c r="A6" s="59"/>
      <c r="B6" s="54"/>
      <c r="C6" s="54"/>
      <c r="D6" s="54"/>
      <c r="E6" s="54"/>
      <c r="F6" s="54"/>
      <c r="G6" s="54"/>
      <c r="H6" s="54"/>
      <c r="I6" s="54"/>
      <c r="J6" s="54"/>
      <c r="K6" s="54"/>
      <c r="L6" s="54"/>
      <c r="M6" s="54"/>
      <c r="N6" s="54"/>
      <c r="O6" s="54"/>
      <c r="P6" s="54"/>
      <c r="Q6" s="54"/>
      <c r="R6" s="54"/>
      <c r="S6" s="54"/>
      <c r="T6" s="54"/>
      <c r="U6" s="54"/>
      <c r="V6" s="54"/>
      <c r="W6" s="54"/>
      <c r="X6" s="54"/>
      <c r="Y6" s="54"/>
      <c r="Z6" s="55"/>
      <c r="AA6" s="54"/>
      <c r="AB6" s="54"/>
      <c r="AC6" s="60"/>
      <c r="AD6" s="61"/>
    </row>
    <row r="7" spans="1:53" ht="15" customHeight="1" x14ac:dyDescent="0.25">
      <c r="A7" s="464" t="s">
        <v>7</v>
      </c>
      <c r="B7" s="465"/>
      <c r="C7" s="500" t="s">
        <v>33</v>
      </c>
      <c r="D7" s="464" t="s">
        <v>9</v>
      </c>
      <c r="E7" s="482"/>
      <c r="F7" s="482"/>
      <c r="G7" s="482"/>
      <c r="H7" s="465"/>
      <c r="I7" s="485">
        <v>45020</v>
      </c>
      <c r="J7" s="486"/>
      <c r="K7" s="464" t="s">
        <v>10</v>
      </c>
      <c r="L7" s="465"/>
      <c r="M7" s="456" t="s">
        <v>98</v>
      </c>
      <c r="N7" s="457"/>
      <c r="O7" s="458"/>
      <c r="P7" s="459"/>
      <c r="Q7" s="54"/>
      <c r="R7" s="54"/>
      <c r="S7" s="54"/>
      <c r="T7" s="54"/>
      <c r="U7" s="54"/>
      <c r="V7" s="54"/>
      <c r="W7" s="54"/>
      <c r="X7" s="54"/>
      <c r="Y7" s="54"/>
      <c r="Z7" s="55"/>
      <c r="AA7" s="54"/>
      <c r="AB7" s="54"/>
      <c r="AC7" s="60"/>
      <c r="AD7" s="61"/>
    </row>
    <row r="8" spans="1:53" ht="15" customHeight="1" x14ac:dyDescent="0.25">
      <c r="A8" s="466"/>
      <c r="B8" s="467"/>
      <c r="C8" s="501"/>
      <c r="D8" s="466"/>
      <c r="E8" s="483"/>
      <c r="F8" s="483"/>
      <c r="G8" s="483"/>
      <c r="H8" s="467"/>
      <c r="I8" s="487"/>
      <c r="J8" s="488"/>
      <c r="K8" s="466"/>
      <c r="L8" s="467"/>
      <c r="M8" s="460" t="s">
        <v>99</v>
      </c>
      <c r="N8" s="461"/>
      <c r="O8" s="736"/>
      <c r="P8" s="737"/>
      <c r="Q8" s="54"/>
      <c r="R8" s="54"/>
      <c r="S8" s="54"/>
      <c r="T8" s="54"/>
      <c r="U8" s="54"/>
      <c r="V8" s="54"/>
      <c r="W8" s="54"/>
      <c r="X8" s="54"/>
      <c r="Y8" s="54"/>
      <c r="Z8" s="55"/>
      <c r="AA8" s="54"/>
      <c r="AB8" s="54"/>
      <c r="AC8" s="60"/>
      <c r="AD8" s="61"/>
    </row>
    <row r="9" spans="1:53" ht="15.75" customHeight="1" thickBot="1" x14ac:dyDescent="0.3">
      <c r="A9" s="468"/>
      <c r="B9" s="469"/>
      <c r="C9" s="502"/>
      <c r="D9" s="468"/>
      <c r="E9" s="484"/>
      <c r="F9" s="484"/>
      <c r="G9" s="484"/>
      <c r="H9" s="469"/>
      <c r="I9" s="489"/>
      <c r="J9" s="490"/>
      <c r="K9" s="468"/>
      <c r="L9" s="469"/>
      <c r="M9" s="452" t="s">
        <v>13</v>
      </c>
      <c r="N9" s="453"/>
      <c r="O9" s="454" t="s">
        <v>14</v>
      </c>
      <c r="P9" s="455"/>
      <c r="Q9" s="54"/>
      <c r="R9" s="54"/>
      <c r="S9" s="54"/>
      <c r="T9" s="54"/>
      <c r="U9" s="54"/>
      <c r="V9" s="54"/>
      <c r="W9" s="54"/>
      <c r="X9" s="54"/>
      <c r="Y9" s="54"/>
      <c r="Z9" s="55"/>
      <c r="AA9" s="54"/>
      <c r="AB9" s="54"/>
      <c r="AC9" s="60"/>
      <c r="AD9" s="61"/>
    </row>
    <row r="10" spans="1:53" ht="15" customHeight="1" thickBot="1" x14ac:dyDescent="0.3">
      <c r="A10" s="169"/>
      <c r="B10" s="170"/>
      <c r="C10" s="170"/>
      <c r="D10" s="65"/>
      <c r="E10" s="65"/>
      <c r="F10" s="65"/>
      <c r="G10" s="65"/>
      <c r="H10" s="65"/>
      <c r="I10" s="166"/>
      <c r="J10" s="166"/>
      <c r="K10" s="65"/>
      <c r="L10" s="65"/>
      <c r="M10" s="167"/>
      <c r="N10" s="167"/>
      <c r="O10" s="168"/>
      <c r="P10" s="168"/>
      <c r="Q10" s="170"/>
      <c r="R10" s="170"/>
      <c r="S10" s="170"/>
      <c r="T10" s="170"/>
      <c r="U10" s="170"/>
      <c r="V10" s="170"/>
      <c r="W10" s="170"/>
      <c r="X10" s="170"/>
      <c r="Y10" s="170"/>
      <c r="Z10" s="171"/>
      <c r="AA10" s="170"/>
      <c r="AB10" s="170"/>
      <c r="AC10" s="172"/>
      <c r="AD10" s="173"/>
    </row>
    <row r="11" spans="1:53" ht="15" customHeight="1" x14ac:dyDescent="0.25">
      <c r="A11" s="464" t="s">
        <v>15</v>
      </c>
      <c r="B11" s="465"/>
      <c r="C11" s="491" t="s">
        <v>16</v>
      </c>
      <c r="D11" s="492"/>
      <c r="E11" s="492"/>
      <c r="F11" s="492"/>
      <c r="G11" s="492"/>
      <c r="H11" s="492"/>
      <c r="I11" s="492"/>
      <c r="J11" s="492"/>
      <c r="K11" s="492"/>
      <c r="L11" s="492"/>
      <c r="M11" s="492"/>
      <c r="N11" s="492"/>
      <c r="O11" s="492"/>
      <c r="P11" s="492"/>
      <c r="Q11" s="492"/>
      <c r="R11" s="492"/>
      <c r="S11" s="492"/>
      <c r="T11" s="492"/>
      <c r="U11" s="492"/>
      <c r="V11" s="492"/>
      <c r="W11" s="492"/>
      <c r="X11" s="492"/>
      <c r="Y11" s="492"/>
      <c r="Z11" s="492"/>
      <c r="AA11" s="492"/>
      <c r="AB11" s="492"/>
      <c r="AC11" s="492"/>
      <c r="AD11" s="493"/>
      <c r="BA11" s="327"/>
    </row>
    <row r="12" spans="1:53" ht="15" customHeight="1" x14ac:dyDescent="0.25">
      <c r="A12" s="466"/>
      <c r="B12" s="467"/>
      <c r="C12" s="494"/>
      <c r="D12" s="495"/>
      <c r="E12" s="495"/>
      <c r="F12" s="495"/>
      <c r="G12" s="495"/>
      <c r="H12" s="495"/>
      <c r="I12" s="495"/>
      <c r="J12" s="495"/>
      <c r="K12" s="495"/>
      <c r="L12" s="495"/>
      <c r="M12" s="495"/>
      <c r="N12" s="495"/>
      <c r="O12" s="495"/>
      <c r="P12" s="495"/>
      <c r="Q12" s="495"/>
      <c r="R12" s="495"/>
      <c r="S12" s="495"/>
      <c r="T12" s="495"/>
      <c r="U12" s="495"/>
      <c r="V12" s="495"/>
      <c r="W12" s="495"/>
      <c r="X12" s="495"/>
      <c r="Y12" s="495"/>
      <c r="Z12" s="495"/>
      <c r="AA12" s="495"/>
      <c r="AB12" s="495"/>
      <c r="AC12" s="495"/>
      <c r="AD12" s="496"/>
      <c r="BA12" s="327"/>
    </row>
    <row r="13" spans="1:53" ht="15" customHeight="1" thickBot="1" x14ac:dyDescent="0.3">
      <c r="A13" s="468"/>
      <c r="B13" s="469"/>
      <c r="C13" s="497"/>
      <c r="D13" s="498"/>
      <c r="E13" s="498"/>
      <c r="F13" s="498"/>
      <c r="G13" s="498"/>
      <c r="H13" s="498"/>
      <c r="I13" s="498"/>
      <c r="J13" s="498"/>
      <c r="K13" s="498"/>
      <c r="L13" s="498"/>
      <c r="M13" s="498"/>
      <c r="N13" s="498"/>
      <c r="O13" s="498"/>
      <c r="P13" s="498"/>
      <c r="Q13" s="498"/>
      <c r="R13" s="498"/>
      <c r="S13" s="498"/>
      <c r="T13" s="498"/>
      <c r="U13" s="498"/>
      <c r="V13" s="498"/>
      <c r="W13" s="498"/>
      <c r="X13" s="498"/>
      <c r="Y13" s="498"/>
      <c r="Z13" s="498"/>
      <c r="AA13" s="498"/>
      <c r="AB13" s="498"/>
      <c r="AC13" s="498"/>
      <c r="AD13" s="499"/>
      <c r="BA13" s="327"/>
    </row>
    <row r="14" spans="1:53" ht="9" customHeight="1" thickBot="1" x14ac:dyDescent="0.3">
      <c r="A14" s="67"/>
      <c r="B14" s="68"/>
      <c r="C14" s="69"/>
      <c r="D14" s="69"/>
      <c r="E14" s="69"/>
      <c r="F14" s="69"/>
      <c r="G14" s="69"/>
      <c r="H14" s="69"/>
      <c r="I14" s="69"/>
      <c r="J14" s="69"/>
      <c r="K14" s="69"/>
      <c r="L14" s="69"/>
      <c r="M14" s="70"/>
      <c r="N14" s="70"/>
      <c r="O14" s="70"/>
      <c r="P14" s="70"/>
      <c r="Q14" s="70"/>
      <c r="R14" s="71"/>
      <c r="S14" s="71"/>
      <c r="T14" s="71"/>
      <c r="U14" s="71"/>
      <c r="V14" s="71"/>
      <c r="W14" s="71"/>
      <c r="X14" s="71"/>
      <c r="Y14" s="65"/>
      <c r="Z14" s="65"/>
      <c r="AA14" s="65"/>
      <c r="AB14" s="65"/>
      <c r="AC14" s="65"/>
      <c r="AD14" s="66"/>
      <c r="BA14" s="327"/>
    </row>
    <row r="15" spans="1:53" ht="39" customHeight="1" thickBot="1" x14ac:dyDescent="0.3">
      <c r="A15" s="528" t="s">
        <v>17</v>
      </c>
      <c r="B15" s="529"/>
      <c r="C15" s="538" t="s">
        <v>18</v>
      </c>
      <c r="D15" s="539"/>
      <c r="E15" s="539"/>
      <c r="F15" s="539"/>
      <c r="G15" s="539"/>
      <c r="H15" s="539"/>
      <c r="I15" s="539"/>
      <c r="J15" s="539"/>
      <c r="K15" s="540"/>
      <c r="L15" s="503" t="s">
        <v>19</v>
      </c>
      <c r="M15" s="504"/>
      <c r="N15" s="504"/>
      <c r="O15" s="504"/>
      <c r="P15" s="504"/>
      <c r="Q15" s="505"/>
      <c r="R15" s="533" t="s">
        <v>20</v>
      </c>
      <c r="S15" s="534"/>
      <c r="T15" s="534"/>
      <c r="U15" s="534"/>
      <c r="V15" s="534"/>
      <c r="W15" s="534"/>
      <c r="X15" s="535"/>
      <c r="Y15" s="503" t="s">
        <v>21</v>
      </c>
      <c r="Z15" s="505"/>
      <c r="AA15" s="524" t="s">
        <v>22</v>
      </c>
      <c r="AB15" s="525"/>
      <c r="AC15" s="525"/>
      <c r="AD15" s="526"/>
      <c r="BA15" s="327"/>
    </row>
    <row r="16" spans="1:53" ht="9" customHeight="1" thickBot="1" x14ac:dyDescent="0.3">
      <c r="A16" s="59"/>
      <c r="B16" s="54"/>
      <c r="C16" s="527"/>
      <c r="D16" s="527"/>
      <c r="E16" s="527"/>
      <c r="F16" s="527"/>
      <c r="G16" s="527"/>
      <c r="H16" s="527"/>
      <c r="I16" s="527"/>
      <c r="J16" s="527"/>
      <c r="K16" s="527"/>
      <c r="L16" s="527"/>
      <c r="M16" s="527"/>
      <c r="N16" s="527"/>
      <c r="O16" s="527"/>
      <c r="P16" s="527"/>
      <c r="Q16" s="527"/>
      <c r="R16" s="527"/>
      <c r="S16" s="527"/>
      <c r="T16" s="527"/>
      <c r="U16" s="527"/>
      <c r="V16" s="527"/>
      <c r="W16" s="527"/>
      <c r="X16" s="527"/>
      <c r="Y16" s="527"/>
      <c r="Z16" s="527"/>
      <c r="AA16" s="527"/>
      <c r="AB16" s="527"/>
      <c r="AC16" s="73"/>
      <c r="AD16" s="74"/>
      <c r="BA16" s="327"/>
    </row>
    <row r="17" spans="1:53" s="76" customFormat="1" ht="37.5" customHeight="1" thickBot="1" x14ac:dyDescent="0.3">
      <c r="A17" s="528" t="s">
        <v>24</v>
      </c>
      <c r="B17" s="529"/>
      <c r="C17" s="530" t="s">
        <v>131</v>
      </c>
      <c r="D17" s="531"/>
      <c r="E17" s="531"/>
      <c r="F17" s="531"/>
      <c r="G17" s="531"/>
      <c r="H17" s="531"/>
      <c r="I17" s="531"/>
      <c r="J17" s="531"/>
      <c r="K17" s="531"/>
      <c r="L17" s="531"/>
      <c r="M17" s="531"/>
      <c r="N17" s="531"/>
      <c r="O17" s="531"/>
      <c r="P17" s="531"/>
      <c r="Q17" s="532"/>
      <c r="R17" s="503" t="s">
        <v>26</v>
      </c>
      <c r="S17" s="504"/>
      <c r="T17" s="504"/>
      <c r="U17" s="504"/>
      <c r="V17" s="505"/>
      <c r="W17" s="536">
        <v>1</v>
      </c>
      <c r="X17" s="537"/>
      <c r="Y17" s="504" t="s">
        <v>27</v>
      </c>
      <c r="Z17" s="504"/>
      <c r="AA17" s="504"/>
      <c r="AB17" s="505"/>
      <c r="AC17" s="514">
        <v>0.1</v>
      </c>
      <c r="AD17" s="515"/>
      <c r="BA17" s="328"/>
    </row>
    <row r="18" spans="1:53" ht="16.5" customHeight="1" thickBot="1" x14ac:dyDescent="0.3">
      <c r="A18" s="77"/>
      <c r="B18" s="78"/>
      <c r="C18" s="78"/>
      <c r="D18" s="78"/>
      <c r="E18" s="78"/>
      <c r="F18" s="78"/>
      <c r="G18" s="78"/>
      <c r="H18" s="78"/>
      <c r="I18" s="78"/>
      <c r="J18" s="78"/>
      <c r="K18" s="78"/>
      <c r="L18" s="78"/>
      <c r="M18" s="78"/>
      <c r="N18" s="78"/>
      <c r="O18" s="78"/>
      <c r="P18" s="78"/>
      <c r="Q18" s="78"/>
      <c r="R18" s="78"/>
      <c r="S18" s="78"/>
      <c r="T18" s="78"/>
      <c r="U18" s="78"/>
      <c r="V18" s="78"/>
      <c r="W18" s="78"/>
      <c r="X18" s="78"/>
      <c r="Y18" s="78"/>
      <c r="Z18" s="78"/>
      <c r="AA18" s="78"/>
      <c r="AB18" s="78"/>
      <c r="AC18" s="78"/>
      <c r="AD18" s="79"/>
      <c r="BA18" s="327"/>
    </row>
    <row r="19" spans="1:53" ht="32.1" customHeight="1" thickBot="1" x14ac:dyDescent="0.3">
      <c r="A19" s="503" t="s">
        <v>28</v>
      </c>
      <c r="B19" s="504"/>
      <c r="C19" s="504"/>
      <c r="D19" s="504"/>
      <c r="E19" s="504"/>
      <c r="F19" s="504"/>
      <c r="G19" s="504"/>
      <c r="H19" s="504"/>
      <c r="I19" s="504"/>
      <c r="J19" s="504"/>
      <c r="K19" s="504"/>
      <c r="L19" s="504"/>
      <c r="M19" s="504"/>
      <c r="N19" s="504"/>
      <c r="O19" s="504"/>
      <c r="P19" s="504"/>
      <c r="Q19" s="504"/>
      <c r="R19" s="504"/>
      <c r="S19" s="504"/>
      <c r="T19" s="504"/>
      <c r="U19" s="504"/>
      <c r="V19" s="504"/>
      <c r="W19" s="504"/>
      <c r="X19" s="504"/>
      <c r="Y19" s="504"/>
      <c r="Z19" s="504"/>
      <c r="AA19" s="504"/>
      <c r="AB19" s="504"/>
      <c r="AC19" s="504"/>
      <c r="AD19" s="505"/>
      <c r="AE19" s="83"/>
      <c r="AF19" s="83"/>
      <c r="BA19" s="327"/>
    </row>
    <row r="20" spans="1:53" ht="32.1" customHeight="1" thickBot="1" x14ac:dyDescent="0.3">
      <c r="A20" s="82"/>
      <c r="B20" s="60"/>
      <c r="C20" s="509" t="s">
        <v>29</v>
      </c>
      <c r="D20" s="510"/>
      <c r="E20" s="510"/>
      <c r="F20" s="510"/>
      <c r="G20" s="510"/>
      <c r="H20" s="510"/>
      <c r="I20" s="510"/>
      <c r="J20" s="510"/>
      <c r="K20" s="510"/>
      <c r="L20" s="510"/>
      <c r="M20" s="510"/>
      <c r="N20" s="510"/>
      <c r="O20" s="510"/>
      <c r="P20" s="511"/>
      <c r="Q20" s="506" t="s">
        <v>30</v>
      </c>
      <c r="R20" s="507"/>
      <c r="S20" s="507"/>
      <c r="T20" s="507"/>
      <c r="U20" s="507"/>
      <c r="V20" s="507"/>
      <c r="W20" s="507"/>
      <c r="X20" s="507"/>
      <c r="Y20" s="507"/>
      <c r="Z20" s="507"/>
      <c r="AA20" s="507"/>
      <c r="AB20" s="507"/>
      <c r="AC20" s="507"/>
      <c r="AD20" s="508"/>
      <c r="AE20" s="83"/>
      <c r="AF20" s="83"/>
      <c r="BA20" s="327"/>
    </row>
    <row r="21" spans="1:53" ht="32.1" customHeight="1" thickBot="1" x14ac:dyDescent="0.3">
      <c r="A21" s="59"/>
      <c r="B21" s="54"/>
      <c r="C21" s="158" t="s">
        <v>31</v>
      </c>
      <c r="D21" s="159" t="s">
        <v>32</v>
      </c>
      <c r="E21" s="159" t="s">
        <v>33</v>
      </c>
      <c r="F21" s="159" t="s">
        <v>34</v>
      </c>
      <c r="G21" s="159" t="s">
        <v>35</v>
      </c>
      <c r="H21" s="159" t="s">
        <v>8</v>
      </c>
      <c r="I21" s="159" t="s">
        <v>36</v>
      </c>
      <c r="J21" s="159" t="s">
        <v>37</v>
      </c>
      <c r="K21" s="159" t="s">
        <v>38</v>
      </c>
      <c r="L21" s="159" t="s">
        <v>39</v>
      </c>
      <c r="M21" s="159" t="s">
        <v>40</v>
      </c>
      <c r="N21" s="159" t="s">
        <v>41</v>
      </c>
      <c r="O21" s="159" t="s">
        <v>42</v>
      </c>
      <c r="P21" s="160" t="s">
        <v>43</v>
      </c>
      <c r="Q21" s="158" t="s">
        <v>31</v>
      </c>
      <c r="R21" s="159" t="s">
        <v>32</v>
      </c>
      <c r="S21" s="159" t="s">
        <v>33</v>
      </c>
      <c r="T21" s="159" t="s">
        <v>34</v>
      </c>
      <c r="U21" s="159" t="s">
        <v>35</v>
      </c>
      <c r="V21" s="159" t="s">
        <v>8</v>
      </c>
      <c r="W21" s="159" t="s">
        <v>36</v>
      </c>
      <c r="X21" s="159" t="s">
        <v>37</v>
      </c>
      <c r="Y21" s="159" t="s">
        <v>38</v>
      </c>
      <c r="Z21" s="159" t="s">
        <v>39</v>
      </c>
      <c r="AA21" s="159" t="s">
        <v>40</v>
      </c>
      <c r="AB21" s="159" t="s">
        <v>41</v>
      </c>
      <c r="AC21" s="159" t="s">
        <v>42</v>
      </c>
      <c r="AD21" s="160" t="s">
        <v>43</v>
      </c>
      <c r="AE21" s="3"/>
      <c r="AF21" s="3"/>
      <c r="BA21" s="327"/>
    </row>
    <row r="22" spans="1:53" ht="32.1" customHeight="1" x14ac:dyDescent="0.25">
      <c r="A22" s="512" t="s">
        <v>101</v>
      </c>
      <c r="B22" s="513"/>
      <c r="C22" s="179"/>
      <c r="D22" s="177"/>
      <c r="E22" s="177"/>
      <c r="F22" s="177"/>
      <c r="G22" s="177"/>
      <c r="H22" s="177"/>
      <c r="I22" s="177"/>
      <c r="J22" s="177"/>
      <c r="K22" s="177"/>
      <c r="L22" s="177"/>
      <c r="M22" s="177"/>
      <c r="N22" s="177"/>
      <c r="O22" s="177">
        <f>SUM(C22:N22)</f>
        <v>0</v>
      </c>
      <c r="P22" s="180"/>
      <c r="Q22" s="179">
        <v>367342350</v>
      </c>
      <c r="R22" s="177"/>
      <c r="S22" s="177"/>
      <c r="T22" s="177">
        <v>21559511</v>
      </c>
      <c r="U22" s="177"/>
      <c r="V22" s="177">
        <f>2139478+34249272</f>
        <v>36388750</v>
      </c>
      <c r="W22" s="177"/>
      <c r="X22" s="177"/>
      <c r="Y22" s="177"/>
      <c r="Z22" s="177"/>
      <c r="AA22" s="177"/>
      <c r="AB22" s="177"/>
      <c r="AC22" s="177">
        <f>SUM(Q22:AB22)</f>
        <v>425290611</v>
      </c>
      <c r="AD22" s="184"/>
      <c r="AE22" s="3"/>
      <c r="AF22" s="3"/>
    </row>
    <row r="23" spans="1:53" ht="32.1" customHeight="1" x14ac:dyDescent="0.25">
      <c r="A23" s="520" t="s">
        <v>47</v>
      </c>
      <c r="B23" s="521"/>
      <c r="C23" s="175"/>
      <c r="D23" s="174"/>
      <c r="E23" s="174"/>
      <c r="F23" s="174"/>
      <c r="G23" s="174"/>
      <c r="H23" s="174"/>
      <c r="I23" s="174"/>
      <c r="J23" s="174"/>
      <c r="K23" s="174"/>
      <c r="L23" s="174"/>
      <c r="M23" s="174"/>
      <c r="N23" s="174"/>
      <c r="O23" s="174">
        <f>SUM(C23:N23)</f>
        <v>0</v>
      </c>
      <c r="P23" s="192" t="str">
        <f>IFERROR(O23/(SUMIF(C23:N23,"&gt;0",C22:N22))," ")</f>
        <v xml:space="preserve"> </v>
      </c>
      <c r="Q23" s="179">
        <v>131719000</v>
      </c>
      <c r="R23" s="179">
        <v>160636483</v>
      </c>
      <c r="S23" s="179">
        <v>24103734</v>
      </c>
      <c r="T23" s="174"/>
      <c r="U23" s="174"/>
      <c r="V23" s="174"/>
      <c r="W23" s="174"/>
      <c r="X23" s="174"/>
      <c r="Y23" s="174"/>
      <c r="Z23" s="174"/>
      <c r="AA23" s="174"/>
      <c r="AB23" s="174"/>
      <c r="AC23" s="174">
        <f>SUM(Q23:AB23)</f>
        <v>316459217</v>
      </c>
      <c r="AD23" s="182">
        <f>+AC23/AC22</f>
        <v>0.74410111301516602</v>
      </c>
      <c r="AE23" s="3"/>
      <c r="AF23" s="3"/>
    </row>
    <row r="24" spans="1:53" ht="32.1" customHeight="1" x14ac:dyDescent="0.25">
      <c r="A24" s="520" t="s">
        <v>103</v>
      </c>
      <c r="B24" s="521"/>
      <c r="C24" s="175">
        <v>19304536</v>
      </c>
      <c r="D24" s="174">
        <f>1166667+432600+475860+4505046</f>
        <v>6580173</v>
      </c>
      <c r="E24" s="174"/>
      <c r="F24" s="174"/>
      <c r="G24" s="174"/>
      <c r="H24" s="174"/>
      <c r="I24" s="174"/>
      <c r="J24" s="174"/>
      <c r="K24" s="174"/>
      <c r="L24" s="174"/>
      <c r="M24" s="174"/>
      <c r="N24" s="174"/>
      <c r="O24" s="213">
        <f>SUM(C24:N24)</f>
        <v>25884709</v>
      </c>
      <c r="P24" s="178"/>
      <c r="Q24" s="175"/>
      <c r="R24" s="174">
        <v>15581050</v>
      </c>
      <c r="S24" s="174">
        <v>31978300</v>
      </c>
      <c r="T24" s="174">
        <v>31978300</v>
      </c>
      <c r="U24" s="174">
        <f>31978300+21559511</f>
        <v>53537811</v>
      </c>
      <c r="V24" s="174">
        <v>31978300</v>
      </c>
      <c r="W24" s="174">
        <f>31978300+2139478+11416424</f>
        <v>45534202</v>
      </c>
      <c r="X24" s="174">
        <v>31978300</v>
      </c>
      <c r="Y24" s="174">
        <f>31978300+11416424</f>
        <v>43394724</v>
      </c>
      <c r="Z24" s="174">
        <v>31978300</v>
      </c>
      <c r="AA24" s="174">
        <f>31978300+11416424</f>
        <v>43394724</v>
      </c>
      <c r="AB24" s="174">
        <v>63956600</v>
      </c>
      <c r="AC24" s="174">
        <f>SUM(Q24:AB24)</f>
        <v>425290611</v>
      </c>
      <c r="AD24" s="182"/>
      <c r="AE24" s="3"/>
      <c r="AF24" s="3"/>
    </row>
    <row r="25" spans="1:53" ht="32.1" customHeight="1" x14ac:dyDescent="0.25">
      <c r="A25" s="522" t="s">
        <v>50</v>
      </c>
      <c r="B25" s="523"/>
      <c r="C25" s="175">
        <v>475860</v>
      </c>
      <c r="D25" s="175">
        <v>18698718</v>
      </c>
      <c r="E25" s="175" t="s">
        <v>51</v>
      </c>
      <c r="F25" s="176"/>
      <c r="G25" s="176"/>
      <c r="H25" s="176"/>
      <c r="I25" s="176"/>
      <c r="J25" s="176"/>
      <c r="K25" s="176"/>
      <c r="L25" s="176"/>
      <c r="M25" s="176"/>
      <c r="N25" s="176"/>
      <c r="O25" s="176">
        <f>SUM(C25:N25)</f>
        <v>19174578</v>
      </c>
      <c r="P25" s="181">
        <f>+O25/O24</f>
        <v>0.74076853635866646</v>
      </c>
      <c r="Q25" s="179" t="s">
        <v>104</v>
      </c>
      <c r="R25" s="179">
        <v>1210733</v>
      </c>
      <c r="S25" s="179">
        <v>15704100</v>
      </c>
      <c r="T25" s="176"/>
      <c r="U25" s="176"/>
      <c r="V25" s="176"/>
      <c r="W25" s="176"/>
      <c r="X25" s="176"/>
      <c r="Y25" s="176"/>
      <c r="Z25" s="176"/>
      <c r="AA25" s="176"/>
      <c r="AB25" s="176"/>
      <c r="AC25" s="176">
        <f>SUM(Q25:AB25)</f>
        <v>16914833</v>
      </c>
      <c r="AD25" s="183">
        <f>+AC25/AC23</f>
        <v>5.3450277607177417E-2</v>
      </c>
      <c r="AE25" s="3"/>
      <c r="AF25" s="3"/>
    </row>
    <row r="26" spans="1:53" ht="32.1" customHeight="1" x14ac:dyDescent="0.25">
      <c r="A26" s="59"/>
      <c r="B26" s="54"/>
      <c r="C26" s="80"/>
      <c r="D26" s="80"/>
      <c r="E26" s="80"/>
      <c r="F26" s="80"/>
      <c r="G26" s="80"/>
      <c r="H26" s="80"/>
      <c r="I26" s="80"/>
      <c r="J26" s="80"/>
      <c r="K26" s="80"/>
      <c r="L26" s="80"/>
      <c r="M26" s="80"/>
      <c r="N26" s="80"/>
      <c r="O26" s="80"/>
      <c r="P26" s="80"/>
      <c r="Q26" s="80"/>
      <c r="R26" s="80"/>
      <c r="S26" s="80"/>
      <c r="T26" s="80"/>
      <c r="U26" s="80"/>
      <c r="V26" s="80"/>
      <c r="W26" s="80"/>
      <c r="X26" s="80"/>
      <c r="Y26" s="80"/>
      <c r="Z26" s="80"/>
      <c r="AA26" s="80"/>
      <c r="AB26" s="80"/>
      <c r="AC26" s="60"/>
      <c r="AD26" s="173"/>
    </row>
    <row r="27" spans="1:53" ht="33.950000000000003" customHeight="1" x14ac:dyDescent="0.25">
      <c r="A27" s="516" t="s">
        <v>53</v>
      </c>
      <c r="B27" s="517"/>
      <c r="C27" s="518"/>
      <c r="D27" s="518"/>
      <c r="E27" s="518"/>
      <c r="F27" s="518"/>
      <c r="G27" s="518"/>
      <c r="H27" s="518"/>
      <c r="I27" s="518"/>
      <c r="J27" s="518"/>
      <c r="K27" s="518"/>
      <c r="L27" s="518"/>
      <c r="M27" s="518"/>
      <c r="N27" s="518"/>
      <c r="O27" s="518"/>
      <c r="P27" s="518"/>
      <c r="Q27" s="518"/>
      <c r="R27" s="518"/>
      <c r="S27" s="518"/>
      <c r="T27" s="518"/>
      <c r="U27" s="518"/>
      <c r="V27" s="518"/>
      <c r="W27" s="518"/>
      <c r="X27" s="518"/>
      <c r="Y27" s="518"/>
      <c r="Z27" s="518"/>
      <c r="AA27" s="518"/>
      <c r="AB27" s="518"/>
      <c r="AC27" s="518"/>
      <c r="AD27" s="519"/>
    </row>
    <row r="28" spans="1:53" ht="15" customHeight="1" x14ac:dyDescent="0.25">
      <c r="A28" s="541" t="s">
        <v>54</v>
      </c>
      <c r="B28" s="543" t="s">
        <v>55</v>
      </c>
      <c r="C28" s="544"/>
      <c r="D28" s="521" t="s">
        <v>56</v>
      </c>
      <c r="E28" s="547"/>
      <c r="F28" s="547"/>
      <c r="G28" s="547"/>
      <c r="H28" s="547"/>
      <c r="I28" s="547"/>
      <c r="J28" s="547"/>
      <c r="K28" s="547"/>
      <c r="L28" s="547"/>
      <c r="M28" s="547"/>
      <c r="N28" s="547"/>
      <c r="O28" s="548"/>
      <c r="P28" s="549" t="s">
        <v>42</v>
      </c>
      <c r="Q28" s="549" t="s">
        <v>57</v>
      </c>
      <c r="R28" s="549"/>
      <c r="S28" s="549"/>
      <c r="T28" s="549"/>
      <c r="U28" s="549"/>
      <c r="V28" s="549"/>
      <c r="W28" s="549"/>
      <c r="X28" s="549"/>
      <c r="Y28" s="549"/>
      <c r="Z28" s="549"/>
      <c r="AA28" s="549"/>
      <c r="AB28" s="549"/>
      <c r="AC28" s="549"/>
      <c r="AD28" s="550"/>
    </row>
    <row r="29" spans="1:53" ht="27" customHeight="1" x14ac:dyDescent="0.25">
      <c r="A29" s="542"/>
      <c r="B29" s="545"/>
      <c r="C29" s="546"/>
      <c r="D29" s="88" t="s">
        <v>31</v>
      </c>
      <c r="E29" s="88" t="s">
        <v>32</v>
      </c>
      <c r="F29" s="88" t="s">
        <v>33</v>
      </c>
      <c r="G29" s="88" t="s">
        <v>34</v>
      </c>
      <c r="H29" s="88" t="s">
        <v>35</v>
      </c>
      <c r="I29" s="88" t="s">
        <v>8</v>
      </c>
      <c r="J29" s="88" t="s">
        <v>36</v>
      </c>
      <c r="K29" s="88" t="s">
        <v>37</v>
      </c>
      <c r="L29" s="88" t="s">
        <v>38</v>
      </c>
      <c r="M29" s="88" t="s">
        <v>39</v>
      </c>
      <c r="N29" s="88" t="s">
        <v>40</v>
      </c>
      <c r="O29" s="88" t="s">
        <v>41</v>
      </c>
      <c r="P29" s="548"/>
      <c r="Q29" s="549"/>
      <c r="R29" s="549"/>
      <c r="S29" s="549"/>
      <c r="T29" s="549"/>
      <c r="U29" s="549"/>
      <c r="V29" s="549"/>
      <c r="W29" s="549"/>
      <c r="X29" s="549"/>
      <c r="Y29" s="549"/>
      <c r="Z29" s="549"/>
      <c r="AA29" s="549"/>
      <c r="AB29" s="549"/>
      <c r="AC29" s="549"/>
      <c r="AD29" s="550"/>
    </row>
    <row r="30" spans="1:53" ht="86.25" customHeight="1" thickBot="1" x14ac:dyDescent="0.3">
      <c r="A30" s="85" t="s">
        <v>132</v>
      </c>
      <c r="B30" s="551"/>
      <c r="C30" s="552"/>
      <c r="D30" s="89"/>
      <c r="E30" s="89"/>
      <c r="F30" s="89"/>
      <c r="G30" s="89"/>
      <c r="H30" s="89"/>
      <c r="I30" s="89"/>
      <c r="J30" s="89"/>
      <c r="K30" s="89"/>
      <c r="L30" s="89"/>
      <c r="M30" s="89"/>
      <c r="N30" s="89"/>
      <c r="O30" s="89"/>
      <c r="P30" s="86">
        <f>SUM(D30:O30)</f>
        <v>0</v>
      </c>
      <c r="Q30" s="553"/>
      <c r="R30" s="553"/>
      <c r="S30" s="553"/>
      <c r="T30" s="553"/>
      <c r="U30" s="553"/>
      <c r="V30" s="553"/>
      <c r="W30" s="553"/>
      <c r="X30" s="553"/>
      <c r="Y30" s="553"/>
      <c r="Z30" s="553"/>
      <c r="AA30" s="553"/>
      <c r="AB30" s="553"/>
      <c r="AC30" s="553"/>
      <c r="AD30" s="554"/>
    </row>
    <row r="31" spans="1:53" ht="45" customHeight="1" thickBot="1" x14ac:dyDescent="0.3">
      <c r="A31" s="555" t="s">
        <v>59</v>
      </c>
      <c r="B31" s="556"/>
      <c r="C31" s="556"/>
      <c r="D31" s="556"/>
      <c r="E31" s="556"/>
      <c r="F31" s="556"/>
      <c r="G31" s="556"/>
      <c r="H31" s="556"/>
      <c r="I31" s="556"/>
      <c r="J31" s="556"/>
      <c r="K31" s="556"/>
      <c r="L31" s="556"/>
      <c r="M31" s="556"/>
      <c r="N31" s="556"/>
      <c r="O31" s="556"/>
      <c r="P31" s="556"/>
      <c r="Q31" s="474"/>
      <c r="R31" s="474"/>
      <c r="S31" s="474"/>
      <c r="T31" s="474"/>
      <c r="U31" s="474"/>
      <c r="V31" s="474"/>
      <c r="W31" s="474"/>
      <c r="X31" s="474"/>
      <c r="Y31" s="474"/>
      <c r="Z31" s="474"/>
      <c r="AA31" s="474"/>
      <c r="AB31" s="474"/>
      <c r="AC31" s="474"/>
      <c r="AD31" s="475"/>
    </row>
    <row r="32" spans="1:53" ht="20.25" customHeight="1" x14ac:dyDescent="0.25">
      <c r="A32" s="512" t="s">
        <v>60</v>
      </c>
      <c r="B32" s="558" t="s">
        <v>61</v>
      </c>
      <c r="C32" s="558" t="s">
        <v>55</v>
      </c>
      <c r="D32" s="561" t="s">
        <v>62</v>
      </c>
      <c r="E32" s="558"/>
      <c r="F32" s="558"/>
      <c r="G32" s="558"/>
      <c r="H32" s="558"/>
      <c r="I32" s="558"/>
      <c r="J32" s="558"/>
      <c r="K32" s="558"/>
      <c r="L32" s="558"/>
      <c r="M32" s="558"/>
      <c r="N32" s="558"/>
      <c r="O32" s="558"/>
      <c r="P32" s="559"/>
      <c r="Q32" s="512" t="s">
        <v>63</v>
      </c>
      <c r="R32" s="558"/>
      <c r="S32" s="558"/>
      <c r="T32" s="558"/>
      <c r="U32" s="558"/>
      <c r="V32" s="558"/>
      <c r="W32" s="558"/>
      <c r="X32" s="558"/>
      <c r="Y32" s="558"/>
      <c r="Z32" s="558"/>
      <c r="AA32" s="558"/>
      <c r="AB32" s="558"/>
      <c r="AC32" s="558"/>
      <c r="AD32" s="559"/>
      <c r="AG32" s="87"/>
      <c r="AH32" s="87"/>
      <c r="AI32" s="87"/>
      <c r="AJ32" s="87"/>
      <c r="AK32" s="87"/>
      <c r="AL32" s="87"/>
      <c r="AM32" s="87"/>
      <c r="AN32" s="87"/>
      <c r="AO32" s="87"/>
    </row>
    <row r="33" spans="1:41" ht="27" customHeight="1" thickBot="1" x14ac:dyDescent="0.3">
      <c r="A33" s="520"/>
      <c r="B33" s="549"/>
      <c r="C33" s="719"/>
      <c r="D33" s="274" t="s">
        <v>31</v>
      </c>
      <c r="E33" s="265" t="s">
        <v>32</v>
      </c>
      <c r="F33" s="265" t="s">
        <v>33</v>
      </c>
      <c r="G33" s="265" t="s">
        <v>34</v>
      </c>
      <c r="H33" s="265" t="s">
        <v>35</v>
      </c>
      <c r="I33" s="265" t="s">
        <v>8</v>
      </c>
      <c r="J33" s="265" t="s">
        <v>36</v>
      </c>
      <c r="K33" s="265" t="s">
        <v>37</v>
      </c>
      <c r="L33" s="265" t="s">
        <v>38</v>
      </c>
      <c r="M33" s="265" t="s">
        <v>39</v>
      </c>
      <c r="N33" s="265" t="s">
        <v>40</v>
      </c>
      <c r="O33" s="265" t="s">
        <v>41</v>
      </c>
      <c r="P33" s="266" t="s">
        <v>42</v>
      </c>
      <c r="Q33" s="522" t="s">
        <v>64</v>
      </c>
      <c r="R33" s="593"/>
      <c r="S33" s="593"/>
      <c r="T33" s="593" t="s">
        <v>65</v>
      </c>
      <c r="U33" s="593"/>
      <c r="V33" s="593"/>
      <c r="W33" s="657" t="s">
        <v>106</v>
      </c>
      <c r="X33" s="510"/>
      <c r="Y33" s="510"/>
      <c r="Z33" s="658"/>
      <c r="AA33" s="657" t="s">
        <v>67</v>
      </c>
      <c r="AB33" s="510"/>
      <c r="AC33" s="510"/>
      <c r="AD33" s="511"/>
      <c r="AG33" s="87"/>
      <c r="AH33" s="87"/>
      <c r="AI33" s="87"/>
      <c r="AJ33" s="87"/>
      <c r="AK33" s="87"/>
      <c r="AL33" s="87"/>
      <c r="AM33" s="87"/>
      <c r="AN33" s="87"/>
      <c r="AO33" s="87"/>
    </row>
    <row r="34" spans="1:41" ht="69.75" customHeight="1" x14ac:dyDescent="0.25">
      <c r="A34" s="684" t="s">
        <v>132</v>
      </c>
      <c r="B34" s="565">
        <v>0.1</v>
      </c>
      <c r="C34" s="102" t="s">
        <v>68</v>
      </c>
      <c r="D34" s="313">
        <f>D69</f>
        <v>0</v>
      </c>
      <c r="E34" s="314">
        <f>E69</f>
        <v>0.10000000000000002</v>
      </c>
      <c r="F34" s="314">
        <f t="shared" ref="F34:O34" si="0">F69</f>
        <v>9.5000000000000015E-2</v>
      </c>
      <c r="G34" s="314">
        <f t="shared" si="0"/>
        <v>9.5000000000000015E-2</v>
      </c>
      <c r="H34" s="314">
        <f t="shared" si="0"/>
        <v>9.5000000000000015E-2</v>
      </c>
      <c r="I34" s="314">
        <f t="shared" si="0"/>
        <v>9.5000000000000015E-2</v>
      </c>
      <c r="J34" s="314">
        <f t="shared" si="0"/>
        <v>9.5000000000000015E-2</v>
      </c>
      <c r="K34" s="314">
        <f t="shared" si="0"/>
        <v>9.5000000000000015E-2</v>
      </c>
      <c r="L34" s="314">
        <f t="shared" si="0"/>
        <v>9.5000000000000015E-2</v>
      </c>
      <c r="M34" s="314">
        <f t="shared" si="0"/>
        <v>9.5000000000000015E-2</v>
      </c>
      <c r="N34" s="314">
        <f t="shared" si="0"/>
        <v>9.5000000000000015E-2</v>
      </c>
      <c r="O34" s="315">
        <f t="shared" si="0"/>
        <v>4.5000000000000151E-2</v>
      </c>
      <c r="P34" s="316">
        <f>SUM(D34:O34)</f>
        <v>1</v>
      </c>
      <c r="Q34" s="727" t="s">
        <v>133</v>
      </c>
      <c r="R34" s="727"/>
      <c r="S34" s="732"/>
      <c r="T34" s="727" t="s">
        <v>134</v>
      </c>
      <c r="U34" s="727"/>
      <c r="V34" s="732"/>
      <c r="W34" s="734" t="s">
        <v>135</v>
      </c>
      <c r="X34" s="734"/>
      <c r="Y34" s="734"/>
      <c r="Z34" s="734"/>
      <c r="AA34" s="726"/>
      <c r="AB34" s="727"/>
      <c r="AC34" s="727"/>
      <c r="AD34" s="728"/>
      <c r="AG34" s="87"/>
      <c r="AH34" s="87"/>
      <c r="AI34" s="87"/>
      <c r="AJ34" s="87"/>
      <c r="AK34" s="87"/>
      <c r="AL34" s="87"/>
      <c r="AM34" s="87"/>
      <c r="AN34" s="87"/>
      <c r="AO34" s="87"/>
    </row>
    <row r="35" spans="1:41" ht="69.75" customHeight="1" thickBot="1" x14ac:dyDescent="0.3">
      <c r="A35" s="685"/>
      <c r="B35" s="477"/>
      <c r="C35" s="91" t="s">
        <v>72</v>
      </c>
      <c r="D35" s="317">
        <f>D66</f>
        <v>0</v>
      </c>
      <c r="E35" s="318">
        <f t="shared" ref="E35:O35" si="1">E66</f>
        <v>0.10000000000000002</v>
      </c>
      <c r="F35" s="318">
        <f t="shared" si="1"/>
        <v>9.5000000000000015E-2</v>
      </c>
      <c r="G35" s="318">
        <f t="shared" si="1"/>
        <v>0</v>
      </c>
      <c r="H35" s="318">
        <f t="shared" si="1"/>
        <v>0</v>
      </c>
      <c r="I35" s="318">
        <f t="shared" si="1"/>
        <v>0</v>
      </c>
      <c r="J35" s="318">
        <f t="shared" si="1"/>
        <v>0</v>
      </c>
      <c r="K35" s="318">
        <f t="shared" si="1"/>
        <v>0</v>
      </c>
      <c r="L35" s="318">
        <f t="shared" si="1"/>
        <v>0</v>
      </c>
      <c r="M35" s="318">
        <f t="shared" si="1"/>
        <v>0</v>
      </c>
      <c r="N35" s="318">
        <f t="shared" si="1"/>
        <v>0</v>
      </c>
      <c r="O35" s="319">
        <f t="shared" si="1"/>
        <v>0</v>
      </c>
      <c r="P35" s="320">
        <f>SUM(D35:O35)</f>
        <v>0.19500000000000003</v>
      </c>
      <c r="Q35" s="730"/>
      <c r="R35" s="730"/>
      <c r="S35" s="733"/>
      <c r="T35" s="730"/>
      <c r="U35" s="730"/>
      <c r="V35" s="733"/>
      <c r="W35" s="735"/>
      <c r="X35" s="735"/>
      <c r="Y35" s="735"/>
      <c r="Z35" s="735"/>
      <c r="AA35" s="729"/>
      <c r="AB35" s="730"/>
      <c r="AC35" s="730"/>
      <c r="AD35" s="731"/>
      <c r="AE35" s="49"/>
      <c r="AG35" s="87"/>
      <c r="AH35" s="87"/>
      <c r="AI35" s="87"/>
      <c r="AJ35" s="87"/>
      <c r="AK35" s="87"/>
      <c r="AL35" s="87"/>
      <c r="AM35" s="87"/>
      <c r="AN35" s="87"/>
      <c r="AO35" s="87"/>
    </row>
    <row r="36" spans="1:41" ht="26.1" customHeight="1" x14ac:dyDescent="0.25">
      <c r="A36" s="512" t="s">
        <v>73</v>
      </c>
      <c r="B36" s="513" t="s">
        <v>74</v>
      </c>
      <c r="C36" s="512" t="s">
        <v>75</v>
      </c>
      <c r="D36" s="558"/>
      <c r="E36" s="558"/>
      <c r="F36" s="558"/>
      <c r="G36" s="558"/>
      <c r="H36" s="558"/>
      <c r="I36" s="558"/>
      <c r="J36" s="558"/>
      <c r="K36" s="558"/>
      <c r="L36" s="558"/>
      <c r="M36" s="558"/>
      <c r="N36" s="558"/>
      <c r="O36" s="558"/>
      <c r="P36" s="559"/>
      <c r="Q36" s="595" t="s">
        <v>76</v>
      </c>
      <c r="R36" s="595"/>
      <c r="S36" s="595"/>
      <c r="T36" s="595"/>
      <c r="U36" s="595"/>
      <c r="V36" s="595"/>
      <c r="W36" s="595"/>
      <c r="X36" s="595"/>
      <c r="Y36" s="595"/>
      <c r="Z36" s="595"/>
      <c r="AA36" s="595"/>
      <c r="AB36" s="595"/>
      <c r="AC36" s="595"/>
      <c r="AD36" s="596"/>
      <c r="AG36" s="87"/>
      <c r="AH36" s="87"/>
      <c r="AI36" s="87"/>
      <c r="AJ36" s="87"/>
      <c r="AK36" s="87"/>
      <c r="AL36" s="87"/>
      <c r="AM36" s="87"/>
      <c r="AN36" s="87"/>
      <c r="AO36" s="87"/>
    </row>
    <row r="37" spans="1:41" ht="26.1" customHeight="1" thickBot="1" x14ac:dyDescent="0.3">
      <c r="A37" s="520"/>
      <c r="B37" s="521"/>
      <c r="C37" s="223" t="s">
        <v>77</v>
      </c>
      <c r="D37" s="265" t="s">
        <v>78</v>
      </c>
      <c r="E37" s="265" t="s">
        <v>79</v>
      </c>
      <c r="F37" s="265" t="s">
        <v>80</v>
      </c>
      <c r="G37" s="265" t="s">
        <v>81</v>
      </c>
      <c r="H37" s="265" t="s">
        <v>82</v>
      </c>
      <c r="I37" s="265" t="s">
        <v>83</v>
      </c>
      <c r="J37" s="265" t="s">
        <v>84</v>
      </c>
      <c r="K37" s="265" t="s">
        <v>85</v>
      </c>
      <c r="L37" s="265" t="s">
        <v>86</v>
      </c>
      <c r="M37" s="265" t="s">
        <v>87</v>
      </c>
      <c r="N37" s="265" t="s">
        <v>88</v>
      </c>
      <c r="O37" s="265" t="s">
        <v>89</v>
      </c>
      <c r="P37" s="266" t="s">
        <v>90</v>
      </c>
      <c r="Q37" s="598" t="s">
        <v>91</v>
      </c>
      <c r="R37" s="598"/>
      <c r="S37" s="598"/>
      <c r="T37" s="598"/>
      <c r="U37" s="598"/>
      <c r="V37" s="598"/>
      <c r="W37" s="598"/>
      <c r="X37" s="598"/>
      <c r="Y37" s="598"/>
      <c r="Z37" s="598"/>
      <c r="AA37" s="598"/>
      <c r="AB37" s="598"/>
      <c r="AC37" s="598"/>
      <c r="AD37" s="599"/>
      <c r="AG37" s="94"/>
      <c r="AH37" s="94"/>
      <c r="AI37" s="94"/>
      <c r="AJ37" s="94"/>
      <c r="AK37" s="94"/>
      <c r="AL37" s="94"/>
      <c r="AM37" s="94"/>
      <c r="AN37" s="94"/>
      <c r="AO37" s="94"/>
    </row>
    <row r="38" spans="1:41" ht="35.25" customHeight="1" x14ac:dyDescent="0.25">
      <c r="A38" s="659" t="s">
        <v>136</v>
      </c>
      <c r="B38" s="720">
        <v>0.1</v>
      </c>
      <c r="C38" s="102" t="s">
        <v>68</v>
      </c>
      <c r="D38" s="289">
        <v>0</v>
      </c>
      <c r="E38" s="309">
        <v>0.1</v>
      </c>
      <c r="F38" s="310">
        <v>9.5000000000000001E-2</v>
      </c>
      <c r="G38" s="310">
        <v>9.5000000000000001E-2</v>
      </c>
      <c r="H38" s="310">
        <v>9.5000000000000001E-2</v>
      </c>
      <c r="I38" s="310">
        <v>9.5000000000000001E-2</v>
      </c>
      <c r="J38" s="310">
        <v>9.5000000000000001E-2</v>
      </c>
      <c r="K38" s="310">
        <v>9.5000000000000001E-2</v>
      </c>
      <c r="L38" s="310">
        <v>9.5000000000000001E-2</v>
      </c>
      <c r="M38" s="310">
        <v>9.5000000000000001E-2</v>
      </c>
      <c r="N38" s="310">
        <v>9.5000000000000001E-2</v>
      </c>
      <c r="O38" s="310">
        <f>1-SUM(D38:N38)</f>
        <v>4.5000000000000151E-2</v>
      </c>
      <c r="P38" s="306">
        <f>SUM(D38:O38)</f>
        <v>1</v>
      </c>
      <c r="Q38" s="722" t="s">
        <v>137</v>
      </c>
      <c r="R38" s="722"/>
      <c r="S38" s="722"/>
      <c r="T38" s="722"/>
      <c r="U38" s="722"/>
      <c r="V38" s="722"/>
      <c r="W38" s="722"/>
      <c r="X38" s="722"/>
      <c r="Y38" s="722"/>
      <c r="Z38" s="722"/>
      <c r="AA38" s="722"/>
      <c r="AB38" s="722"/>
      <c r="AC38" s="722"/>
      <c r="AD38" s="723"/>
      <c r="AE38" s="97"/>
      <c r="AG38" s="98"/>
      <c r="AH38" s="98"/>
      <c r="AI38" s="98"/>
      <c r="AJ38" s="98"/>
      <c r="AK38" s="98"/>
      <c r="AL38" s="98"/>
      <c r="AM38" s="98"/>
      <c r="AN38" s="98"/>
      <c r="AO38" s="98"/>
    </row>
    <row r="39" spans="1:41" ht="35.25" customHeight="1" thickBot="1" x14ac:dyDescent="0.3">
      <c r="A39" s="660"/>
      <c r="B39" s="721"/>
      <c r="C39" s="91" t="s">
        <v>72</v>
      </c>
      <c r="D39" s="290"/>
      <c r="E39" s="312">
        <v>0.1</v>
      </c>
      <c r="F39" s="312">
        <v>9.5000000000000001E-2</v>
      </c>
      <c r="G39" s="275"/>
      <c r="H39" s="275"/>
      <c r="I39" s="275"/>
      <c r="J39" s="275"/>
      <c r="K39" s="275"/>
      <c r="L39" s="275"/>
      <c r="M39" s="275"/>
      <c r="N39" s="275"/>
      <c r="O39" s="275"/>
      <c r="P39" s="264">
        <f>SUM(D39:O39)</f>
        <v>0.19500000000000001</v>
      </c>
      <c r="Q39" s="724"/>
      <c r="R39" s="724"/>
      <c r="S39" s="724"/>
      <c r="T39" s="724"/>
      <c r="U39" s="724"/>
      <c r="V39" s="724"/>
      <c r="W39" s="724"/>
      <c r="X39" s="724"/>
      <c r="Y39" s="724"/>
      <c r="Z39" s="724"/>
      <c r="AA39" s="724"/>
      <c r="AB39" s="724"/>
      <c r="AC39" s="724"/>
      <c r="AD39" s="725"/>
      <c r="AE39" s="97"/>
    </row>
    <row r="40" spans="1:41" x14ac:dyDescent="0.25">
      <c r="A40" s="50" t="s">
        <v>95</v>
      </c>
      <c r="Q40" s="324"/>
      <c r="R40" s="324"/>
      <c r="S40" s="324"/>
      <c r="T40" s="324"/>
      <c r="U40" s="324"/>
      <c r="V40" s="324"/>
      <c r="W40" s="324"/>
      <c r="X40" s="324"/>
      <c r="Y40" s="324"/>
      <c r="Z40" s="324"/>
      <c r="AA40" s="324"/>
      <c r="AB40" s="324"/>
      <c r="AC40" s="324"/>
      <c r="AD40" s="324"/>
    </row>
    <row r="41" spans="1:41" x14ac:dyDescent="0.25">
      <c r="Q41" s="324"/>
      <c r="R41" s="324"/>
      <c r="S41" s="324"/>
      <c r="T41" s="324"/>
      <c r="U41" s="324"/>
      <c r="V41" s="324"/>
      <c r="W41" s="324"/>
      <c r="X41" s="324"/>
      <c r="Y41" s="324"/>
      <c r="Z41" s="324"/>
      <c r="AA41" s="324"/>
      <c r="AB41" s="324"/>
      <c r="AC41" s="324"/>
      <c r="AD41" s="324"/>
    </row>
    <row r="55" spans="1:30" x14ac:dyDescent="0.25">
      <c r="A55" s="613" t="s">
        <v>96</v>
      </c>
      <c r="B55" s="615" t="s">
        <v>74</v>
      </c>
      <c r="C55" s="617" t="s">
        <v>75</v>
      </c>
      <c r="D55" s="618"/>
      <c r="E55" s="618"/>
      <c r="F55" s="618"/>
      <c r="G55" s="618"/>
      <c r="H55" s="618"/>
      <c r="I55" s="618"/>
      <c r="J55" s="618"/>
      <c r="K55" s="618"/>
      <c r="L55" s="618"/>
      <c r="M55" s="618"/>
      <c r="N55" s="618"/>
      <c r="O55" s="618"/>
      <c r="P55" s="619"/>
      <c r="Q55" s="228"/>
      <c r="R55" s="228"/>
      <c r="S55" s="229"/>
      <c r="T55" s="229"/>
      <c r="U55" s="229"/>
      <c r="V55" s="229"/>
      <c r="W55" s="229"/>
      <c r="X55" s="229"/>
      <c r="Y55" s="229"/>
      <c r="Z55" s="229"/>
      <c r="AA55" s="229"/>
      <c r="AB55" s="229"/>
      <c r="AC55" s="229"/>
      <c r="AD55" s="229"/>
    </row>
    <row r="56" spans="1:30" ht="21" x14ac:dyDescent="0.25">
      <c r="A56" s="614"/>
      <c r="B56" s="616"/>
      <c r="C56" s="230" t="s">
        <v>77</v>
      </c>
      <c r="D56" s="230" t="s">
        <v>78</v>
      </c>
      <c r="E56" s="230" t="s">
        <v>79</v>
      </c>
      <c r="F56" s="230" t="s">
        <v>80</v>
      </c>
      <c r="G56" s="230" t="s">
        <v>81</v>
      </c>
      <c r="H56" s="230" t="s">
        <v>82</v>
      </c>
      <c r="I56" s="230" t="s">
        <v>83</v>
      </c>
      <c r="J56" s="230" t="s">
        <v>84</v>
      </c>
      <c r="K56" s="230" t="s">
        <v>85</v>
      </c>
      <c r="L56" s="230" t="s">
        <v>86</v>
      </c>
      <c r="M56" s="230" t="s">
        <v>87</v>
      </c>
      <c r="N56" s="230" t="s">
        <v>88</v>
      </c>
      <c r="O56" s="230" t="s">
        <v>89</v>
      </c>
      <c r="P56" s="230" t="s">
        <v>90</v>
      </c>
      <c r="Q56" s="228"/>
      <c r="R56" s="228"/>
      <c r="S56" s="229"/>
      <c r="T56" s="229"/>
      <c r="U56" s="229"/>
      <c r="V56" s="229"/>
      <c r="W56" s="229"/>
      <c r="X56" s="229"/>
      <c r="Y56" s="229"/>
      <c r="Z56" s="229"/>
      <c r="AA56" s="229"/>
      <c r="AB56" s="229"/>
      <c r="AC56" s="229"/>
      <c r="AD56" s="229"/>
    </row>
    <row r="57" spans="1:30" x14ac:dyDescent="0.25">
      <c r="A57" s="620" t="str">
        <f>A38</f>
        <v xml:space="preserve">12. Diseñar, publicar y socializar una caja de herramientas de la Estrategia Pedagógica y de Cambio Cultural.  </v>
      </c>
      <c r="B57" s="622">
        <f>B38</f>
        <v>0.1</v>
      </c>
      <c r="C57" s="231" t="s">
        <v>68</v>
      </c>
      <c r="D57" s="232">
        <f>D38*$B$38/$P$38</f>
        <v>0</v>
      </c>
      <c r="E57" s="232">
        <f t="shared" ref="D57:O58" si="2">E38*$B$38/$P$38</f>
        <v>1.0000000000000002E-2</v>
      </c>
      <c r="F57" s="232">
        <f t="shared" si="2"/>
        <v>9.5000000000000015E-3</v>
      </c>
      <c r="G57" s="232">
        <f t="shared" si="2"/>
        <v>9.5000000000000015E-3</v>
      </c>
      <c r="H57" s="232">
        <f t="shared" si="2"/>
        <v>9.5000000000000015E-3</v>
      </c>
      <c r="I57" s="232">
        <f t="shared" si="2"/>
        <v>9.5000000000000015E-3</v>
      </c>
      <c r="J57" s="232">
        <f t="shared" si="2"/>
        <v>9.5000000000000015E-3</v>
      </c>
      <c r="K57" s="232">
        <f t="shared" si="2"/>
        <v>9.5000000000000015E-3</v>
      </c>
      <c r="L57" s="232">
        <f t="shared" si="2"/>
        <v>9.5000000000000015E-3</v>
      </c>
      <c r="M57" s="232">
        <f t="shared" si="2"/>
        <v>9.5000000000000015E-3</v>
      </c>
      <c r="N57" s="232">
        <f t="shared" si="2"/>
        <v>9.5000000000000015E-3</v>
      </c>
      <c r="O57" s="232">
        <f t="shared" si="2"/>
        <v>4.5000000000000153E-3</v>
      </c>
      <c r="P57" s="233">
        <f>SUM(D57:O57)</f>
        <v>0.10000000000000005</v>
      </c>
      <c r="Q57" s="234">
        <v>0.05</v>
      </c>
      <c r="R57" s="235">
        <f>+P57-Q57</f>
        <v>5.0000000000000044E-2</v>
      </c>
      <c r="S57" s="229"/>
      <c r="T57" s="229"/>
      <c r="U57" s="229"/>
      <c r="V57" s="229"/>
      <c r="W57" s="229"/>
      <c r="X57" s="229"/>
      <c r="Y57" s="229"/>
      <c r="Z57" s="229"/>
      <c r="AA57" s="229"/>
      <c r="AB57" s="229"/>
      <c r="AC57" s="229"/>
      <c r="AD57" s="229"/>
    </row>
    <row r="58" spans="1:30" x14ac:dyDescent="0.25">
      <c r="A58" s="621"/>
      <c r="B58" s="623"/>
      <c r="C58" s="240" t="s">
        <v>72</v>
      </c>
      <c r="D58" s="237">
        <f t="shared" si="2"/>
        <v>0</v>
      </c>
      <c r="E58" s="237">
        <f t="shared" si="2"/>
        <v>1.0000000000000002E-2</v>
      </c>
      <c r="F58" s="237">
        <f t="shared" si="2"/>
        <v>9.5000000000000015E-3</v>
      </c>
      <c r="G58" s="237">
        <f t="shared" si="2"/>
        <v>0</v>
      </c>
      <c r="H58" s="237">
        <f t="shared" si="2"/>
        <v>0</v>
      </c>
      <c r="I58" s="237">
        <f t="shared" si="2"/>
        <v>0</v>
      </c>
      <c r="J58" s="237">
        <f t="shared" si="2"/>
        <v>0</v>
      </c>
      <c r="K58" s="237">
        <f t="shared" si="2"/>
        <v>0</v>
      </c>
      <c r="L58" s="237">
        <f t="shared" si="2"/>
        <v>0</v>
      </c>
      <c r="M58" s="237">
        <f t="shared" si="2"/>
        <v>0</v>
      </c>
      <c r="N58" s="237">
        <f t="shared" si="2"/>
        <v>0</v>
      </c>
      <c r="O58" s="237">
        <f t="shared" si="2"/>
        <v>0</v>
      </c>
      <c r="P58" s="238">
        <f>SUM(D58:O58)</f>
        <v>1.9500000000000003E-2</v>
      </c>
      <c r="Q58" s="239">
        <f>+P58</f>
        <v>1.9500000000000003E-2</v>
      </c>
      <c r="R58" s="235">
        <f>+P58-Q58</f>
        <v>0</v>
      </c>
      <c r="S58" s="229"/>
      <c r="T58" s="229"/>
      <c r="U58" s="229"/>
      <c r="V58" s="229"/>
      <c r="W58" s="229"/>
      <c r="X58" s="229"/>
      <c r="Y58" s="229"/>
      <c r="Z58" s="229"/>
      <c r="AA58" s="229"/>
      <c r="AB58" s="229"/>
      <c r="AC58" s="229"/>
      <c r="AD58" s="229"/>
    </row>
    <row r="59" spans="1:30" x14ac:dyDescent="0.25">
      <c r="A59" s="609"/>
      <c r="B59" s="611"/>
      <c r="C59" s="243"/>
      <c r="D59" s="232"/>
      <c r="E59" s="232"/>
      <c r="F59" s="232"/>
      <c r="G59" s="232"/>
      <c r="H59" s="232"/>
      <c r="I59" s="232"/>
      <c r="J59" s="232"/>
      <c r="K59" s="232"/>
      <c r="L59" s="232"/>
      <c r="M59" s="232"/>
      <c r="N59" s="232"/>
      <c r="O59" s="232"/>
      <c r="P59" s="244"/>
      <c r="Q59" s="234"/>
      <c r="R59" s="235"/>
      <c r="S59" s="229"/>
      <c r="T59" s="229"/>
      <c r="U59" s="229"/>
      <c r="V59" s="229"/>
      <c r="W59" s="229"/>
      <c r="X59" s="229"/>
      <c r="Y59" s="229"/>
      <c r="Z59" s="229"/>
      <c r="AA59" s="229"/>
      <c r="AB59" s="229"/>
      <c r="AC59" s="229"/>
      <c r="AD59" s="229"/>
    </row>
    <row r="60" spans="1:30" x14ac:dyDescent="0.25">
      <c r="A60" s="610"/>
      <c r="B60" s="612"/>
      <c r="C60" s="243"/>
      <c r="D60" s="247"/>
      <c r="E60" s="247"/>
      <c r="F60" s="247"/>
      <c r="G60" s="247"/>
      <c r="H60" s="247"/>
      <c r="I60" s="247"/>
      <c r="J60" s="247"/>
      <c r="K60" s="247"/>
      <c r="L60" s="247"/>
      <c r="M60" s="247"/>
      <c r="N60" s="247"/>
      <c r="O60" s="247"/>
      <c r="P60" s="244"/>
      <c r="Q60" s="239"/>
      <c r="R60" s="235"/>
      <c r="S60" s="229"/>
      <c r="T60" s="229"/>
      <c r="U60" s="229"/>
      <c r="V60" s="229"/>
      <c r="W60" s="229"/>
      <c r="X60" s="229"/>
      <c r="Y60" s="229"/>
      <c r="Z60" s="229"/>
      <c r="AA60" s="229"/>
      <c r="AB60" s="229"/>
      <c r="AC60" s="229"/>
      <c r="AD60" s="229"/>
    </row>
    <row r="61" spans="1:30" x14ac:dyDescent="0.25">
      <c r="A61" s="609"/>
      <c r="B61" s="611"/>
      <c r="C61" s="243"/>
      <c r="D61" s="232"/>
      <c r="E61" s="232"/>
      <c r="F61" s="232"/>
      <c r="G61" s="232"/>
      <c r="H61" s="232"/>
      <c r="I61" s="232"/>
      <c r="J61" s="232"/>
      <c r="K61" s="232"/>
      <c r="L61" s="232"/>
      <c r="M61" s="232"/>
      <c r="N61" s="232"/>
      <c r="O61" s="232"/>
      <c r="P61" s="244"/>
      <c r="Q61" s="234"/>
      <c r="R61" s="235"/>
      <c r="S61" s="229"/>
      <c r="T61" s="229"/>
      <c r="U61" s="229"/>
      <c r="V61" s="229"/>
      <c r="W61" s="229"/>
      <c r="X61" s="229"/>
      <c r="Y61" s="229"/>
      <c r="Z61" s="229"/>
      <c r="AA61" s="229"/>
      <c r="AB61" s="229"/>
      <c r="AC61" s="229"/>
      <c r="AD61" s="229"/>
    </row>
    <row r="62" spans="1:30" x14ac:dyDescent="0.25">
      <c r="A62" s="610"/>
      <c r="B62" s="612"/>
      <c r="C62" s="243"/>
      <c r="D62" s="247"/>
      <c r="E62" s="247"/>
      <c r="F62" s="247"/>
      <c r="G62" s="247"/>
      <c r="H62" s="247"/>
      <c r="I62" s="247"/>
      <c r="J62" s="247"/>
      <c r="K62" s="247"/>
      <c r="L62" s="247"/>
      <c r="M62" s="247"/>
      <c r="N62" s="247"/>
      <c r="O62" s="247"/>
      <c r="P62" s="244"/>
      <c r="Q62" s="239"/>
      <c r="R62" s="235"/>
      <c r="S62" s="229"/>
      <c r="T62" s="229"/>
      <c r="U62" s="229"/>
      <c r="V62" s="229"/>
      <c r="W62" s="229"/>
      <c r="X62" s="229"/>
      <c r="Y62" s="229"/>
      <c r="Z62" s="229"/>
      <c r="AA62" s="229"/>
      <c r="AB62" s="229"/>
      <c r="AC62" s="229"/>
      <c r="AD62" s="229"/>
    </row>
    <row r="63" spans="1:30" x14ac:dyDescent="0.25">
      <c r="A63" s="241"/>
      <c r="B63" s="242"/>
      <c r="C63" s="243"/>
      <c r="D63" s="232"/>
      <c r="E63" s="232"/>
      <c r="F63" s="232"/>
      <c r="G63" s="232"/>
      <c r="H63" s="232"/>
      <c r="I63" s="232"/>
      <c r="J63" s="232"/>
      <c r="K63" s="232"/>
      <c r="L63" s="232"/>
      <c r="M63" s="232"/>
      <c r="N63" s="232"/>
      <c r="O63" s="232"/>
      <c r="P63" s="244"/>
      <c r="Q63" s="234"/>
      <c r="R63" s="235"/>
      <c r="S63" s="229"/>
      <c r="T63" s="229"/>
      <c r="U63" s="229"/>
      <c r="V63" s="229"/>
      <c r="W63" s="229"/>
      <c r="X63" s="229"/>
      <c r="Y63" s="229"/>
      <c r="Z63" s="229"/>
      <c r="AA63" s="229"/>
      <c r="AB63" s="229"/>
      <c r="AC63" s="229"/>
      <c r="AD63" s="229"/>
    </row>
    <row r="64" spans="1:30" x14ac:dyDescent="0.25">
      <c r="A64" s="245"/>
      <c r="B64" s="246"/>
      <c r="C64" s="243"/>
      <c r="D64" s="247"/>
      <c r="E64" s="247"/>
      <c r="F64" s="247"/>
      <c r="G64" s="247"/>
      <c r="H64" s="247"/>
      <c r="I64" s="247"/>
      <c r="J64" s="247"/>
      <c r="K64" s="247"/>
      <c r="L64" s="247"/>
      <c r="M64" s="247"/>
      <c r="N64" s="247"/>
      <c r="O64" s="247"/>
      <c r="P64" s="244"/>
      <c r="Q64" s="239"/>
      <c r="R64" s="235"/>
      <c r="S64" s="229"/>
      <c r="T64" s="229"/>
      <c r="U64" s="229"/>
      <c r="V64" s="229"/>
      <c r="W64" s="229"/>
      <c r="X64" s="229"/>
      <c r="Y64" s="229"/>
      <c r="Z64" s="229"/>
      <c r="AA64" s="229"/>
      <c r="AB64" s="229"/>
      <c r="AC64" s="229"/>
      <c r="AD64" s="229"/>
    </row>
    <row r="65" spans="1:30" x14ac:dyDescent="0.25">
      <c r="A65" s="228"/>
      <c r="B65" s="248"/>
      <c r="C65" s="249"/>
      <c r="D65" s="250">
        <f>D58</f>
        <v>0</v>
      </c>
      <c r="E65" s="250">
        <f t="shared" ref="E65:O65" si="3">E58</f>
        <v>1.0000000000000002E-2</v>
      </c>
      <c r="F65" s="250">
        <f t="shared" si="3"/>
        <v>9.5000000000000015E-3</v>
      </c>
      <c r="G65" s="250">
        <f t="shared" si="3"/>
        <v>0</v>
      </c>
      <c r="H65" s="250">
        <f t="shared" si="3"/>
        <v>0</v>
      </c>
      <c r="I65" s="250">
        <f t="shared" si="3"/>
        <v>0</v>
      </c>
      <c r="J65" s="250">
        <f t="shared" si="3"/>
        <v>0</v>
      </c>
      <c r="K65" s="250">
        <f t="shared" si="3"/>
        <v>0</v>
      </c>
      <c r="L65" s="250">
        <f t="shared" si="3"/>
        <v>0</v>
      </c>
      <c r="M65" s="250">
        <f t="shared" si="3"/>
        <v>0</v>
      </c>
      <c r="N65" s="250">
        <f t="shared" si="3"/>
        <v>0</v>
      </c>
      <c r="O65" s="250">
        <f t="shared" si="3"/>
        <v>0</v>
      </c>
      <c r="P65" s="250">
        <f>P58+P60+P62</f>
        <v>1.9500000000000003E-2</v>
      </c>
      <c r="Q65" s="228"/>
      <c r="R65" s="235">
        <f>+P65-Q65</f>
        <v>1.9500000000000003E-2</v>
      </c>
      <c r="S65" s="229"/>
      <c r="T65" s="229"/>
      <c r="U65" s="229"/>
      <c r="V65" s="229"/>
      <c r="W65" s="229"/>
      <c r="X65" s="229"/>
      <c r="Y65" s="229"/>
      <c r="Z65" s="229"/>
      <c r="AA65" s="229"/>
      <c r="AB65" s="229"/>
      <c r="AC65" s="229"/>
      <c r="AD65" s="229"/>
    </row>
    <row r="66" spans="1:30" x14ac:dyDescent="0.25">
      <c r="A66" s="228"/>
      <c r="B66" s="251"/>
      <c r="C66" s="252" t="s">
        <v>72</v>
      </c>
      <c r="D66" s="253">
        <f>D65*$W$17/$B$34</f>
        <v>0</v>
      </c>
      <c r="E66" s="253">
        <f t="shared" ref="E66:O66" si="4">E65*$W$17/$B$34</f>
        <v>0.10000000000000002</v>
      </c>
      <c r="F66" s="253">
        <f t="shared" si="4"/>
        <v>9.5000000000000015E-2</v>
      </c>
      <c r="G66" s="253">
        <f t="shared" si="4"/>
        <v>0</v>
      </c>
      <c r="H66" s="253">
        <f t="shared" si="4"/>
        <v>0</v>
      </c>
      <c r="I66" s="253">
        <f t="shared" si="4"/>
        <v>0</v>
      </c>
      <c r="J66" s="253">
        <f t="shared" si="4"/>
        <v>0</v>
      </c>
      <c r="K66" s="253">
        <f t="shared" si="4"/>
        <v>0</v>
      </c>
      <c r="L66" s="253">
        <f t="shared" si="4"/>
        <v>0</v>
      </c>
      <c r="M66" s="253">
        <f t="shared" si="4"/>
        <v>0</v>
      </c>
      <c r="N66" s="253">
        <f t="shared" si="4"/>
        <v>0</v>
      </c>
      <c r="O66" s="253">
        <f t="shared" si="4"/>
        <v>0</v>
      </c>
      <c r="P66" s="254">
        <f>SUM(D66:O66)</f>
        <v>0.19500000000000003</v>
      </c>
      <c r="Q66" s="255"/>
      <c r="R66" s="228"/>
      <c r="S66" s="229"/>
      <c r="T66" s="229"/>
      <c r="U66" s="229"/>
      <c r="V66" s="229"/>
      <c r="W66" s="229"/>
      <c r="X66" s="229"/>
      <c r="Y66" s="229"/>
      <c r="Z66" s="229"/>
      <c r="AA66" s="229"/>
      <c r="AB66" s="229"/>
      <c r="AC66" s="229"/>
      <c r="AD66" s="229"/>
    </row>
    <row r="67" spans="1:30" x14ac:dyDescent="0.25">
      <c r="A67" s="255"/>
      <c r="B67" s="256"/>
      <c r="C67" s="256"/>
      <c r="D67" s="256"/>
      <c r="E67" s="256"/>
      <c r="F67" s="256"/>
      <c r="G67" s="256"/>
      <c r="H67" s="256"/>
      <c r="I67" s="256"/>
      <c r="J67" s="256"/>
      <c r="K67" s="256"/>
      <c r="L67" s="256"/>
      <c r="M67" s="256"/>
      <c r="N67" s="256"/>
      <c r="O67" s="256"/>
      <c r="P67" s="256"/>
      <c r="Q67" s="255"/>
      <c r="R67" s="255"/>
      <c r="S67" s="229"/>
      <c r="T67" s="229"/>
      <c r="U67" s="229"/>
      <c r="V67" s="229"/>
      <c r="W67" s="229"/>
      <c r="X67" s="229"/>
      <c r="Y67" s="229"/>
      <c r="Z67" s="229"/>
      <c r="AA67" s="229"/>
      <c r="AB67" s="229"/>
      <c r="AC67" s="229"/>
      <c r="AD67" s="229"/>
    </row>
    <row r="68" spans="1:30" x14ac:dyDescent="0.25">
      <c r="A68" s="234"/>
      <c r="B68" s="108"/>
      <c r="C68" s="108"/>
      <c r="D68" s="250">
        <f>+D57</f>
        <v>0</v>
      </c>
      <c r="E68" s="250">
        <f t="shared" ref="E68:O68" si="5">+E57</f>
        <v>1.0000000000000002E-2</v>
      </c>
      <c r="F68" s="250">
        <f t="shared" si="5"/>
        <v>9.5000000000000015E-3</v>
      </c>
      <c r="G68" s="250">
        <f t="shared" si="5"/>
        <v>9.5000000000000015E-3</v>
      </c>
      <c r="H68" s="250">
        <f t="shared" si="5"/>
        <v>9.5000000000000015E-3</v>
      </c>
      <c r="I68" s="250">
        <f t="shared" si="5"/>
        <v>9.5000000000000015E-3</v>
      </c>
      <c r="J68" s="250">
        <f t="shared" si="5"/>
        <v>9.5000000000000015E-3</v>
      </c>
      <c r="K68" s="250">
        <f t="shared" si="5"/>
        <v>9.5000000000000015E-3</v>
      </c>
      <c r="L68" s="250">
        <f t="shared" si="5"/>
        <v>9.5000000000000015E-3</v>
      </c>
      <c r="M68" s="250">
        <f t="shared" si="5"/>
        <v>9.5000000000000015E-3</v>
      </c>
      <c r="N68" s="250">
        <f t="shared" si="5"/>
        <v>9.5000000000000015E-3</v>
      </c>
      <c r="O68" s="250">
        <f t="shared" si="5"/>
        <v>4.5000000000000153E-3</v>
      </c>
      <c r="P68" s="250">
        <f>+P57+P59+P61</f>
        <v>0.10000000000000005</v>
      </c>
      <c r="Q68" s="234"/>
      <c r="R68" s="234"/>
      <c r="S68" s="229"/>
      <c r="T68" s="229"/>
      <c r="U68" s="229"/>
      <c r="V68" s="229"/>
      <c r="W68" s="229"/>
      <c r="X68" s="229"/>
      <c r="Y68" s="229"/>
      <c r="Z68" s="229"/>
      <c r="AA68" s="229"/>
      <c r="AB68" s="229"/>
      <c r="AC68" s="229"/>
      <c r="AD68" s="229"/>
    </row>
    <row r="69" spans="1:30" x14ac:dyDescent="0.25">
      <c r="A69" s="234"/>
      <c r="B69" s="108"/>
      <c r="C69" s="252" t="s">
        <v>68</v>
      </c>
      <c r="D69" s="253">
        <f t="shared" ref="D69:O69" si="6">D68*$W$17/$B$34</f>
        <v>0</v>
      </c>
      <c r="E69" s="253">
        <f>E68*$W$17/$B$34</f>
        <v>0.10000000000000002</v>
      </c>
      <c r="F69" s="253">
        <f t="shared" si="6"/>
        <v>9.5000000000000015E-2</v>
      </c>
      <c r="G69" s="253">
        <f t="shared" si="6"/>
        <v>9.5000000000000015E-2</v>
      </c>
      <c r="H69" s="253">
        <f t="shared" si="6"/>
        <v>9.5000000000000015E-2</v>
      </c>
      <c r="I69" s="253">
        <f t="shared" si="6"/>
        <v>9.5000000000000015E-2</v>
      </c>
      <c r="J69" s="253">
        <f t="shared" si="6"/>
        <v>9.5000000000000015E-2</v>
      </c>
      <c r="K69" s="253">
        <f t="shared" si="6"/>
        <v>9.5000000000000015E-2</v>
      </c>
      <c r="L69" s="253">
        <f t="shared" si="6"/>
        <v>9.5000000000000015E-2</v>
      </c>
      <c r="M69" s="253">
        <f t="shared" si="6"/>
        <v>9.5000000000000015E-2</v>
      </c>
      <c r="N69" s="253">
        <f t="shared" si="6"/>
        <v>9.5000000000000015E-2</v>
      </c>
      <c r="O69" s="253">
        <f t="shared" si="6"/>
        <v>4.5000000000000151E-2</v>
      </c>
      <c r="P69" s="254">
        <f>SUM(D69:O69)</f>
        <v>1</v>
      </c>
      <c r="Q69" s="234"/>
      <c r="R69" s="234"/>
      <c r="S69" s="229"/>
      <c r="T69" s="229"/>
      <c r="U69" s="229"/>
      <c r="V69" s="229"/>
      <c r="W69" s="229"/>
      <c r="X69" s="229"/>
      <c r="Y69" s="229"/>
      <c r="Z69" s="229"/>
      <c r="AA69" s="229"/>
      <c r="AB69" s="229"/>
      <c r="AC69" s="229"/>
      <c r="AD69" s="229"/>
    </row>
    <row r="70" spans="1:30" x14ac:dyDescent="0.25">
      <c r="A70" s="229"/>
      <c r="Q70" s="229"/>
      <c r="R70" s="229"/>
      <c r="S70" s="229"/>
      <c r="T70" s="229"/>
      <c r="U70" s="229"/>
      <c r="V70" s="229"/>
      <c r="W70" s="229"/>
      <c r="X70" s="229"/>
      <c r="Y70" s="229"/>
      <c r="Z70" s="229"/>
      <c r="AA70" s="229"/>
      <c r="AB70" s="229"/>
      <c r="AC70" s="229"/>
      <c r="AD70" s="229"/>
    </row>
    <row r="71" spans="1:30" x14ac:dyDescent="0.25">
      <c r="A71" s="229"/>
      <c r="Q71" s="229"/>
      <c r="R71" s="229"/>
      <c r="S71" s="229"/>
      <c r="T71" s="229"/>
      <c r="U71" s="229"/>
      <c r="V71" s="229"/>
      <c r="W71" s="229"/>
      <c r="X71" s="229"/>
      <c r="Y71" s="229"/>
      <c r="Z71" s="229"/>
      <c r="AA71" s="229"/>
      <c r="AB71" s="229"/>
      <c r="AC71" s="229"/>
      <c r="AD71" s="229"/>
    </row>
    <row r="72" spans="1:30" x14ac:dyDescent="0.25">
      <c r="A72" s="229"/>
      <c r="Q72" s="229"/>
      <c r="R72" s="229"/>
      <c r="S72" s="229"/>
      <c r="T72" s="229"/>
      <c r="U72" s="229"/>
      <c r="V72" s="229"/>
      <c r="W72" s="229"/>
      <c r="X72" s="229"/>
      <c r="Y72" s="229"/>
      <c r="Z72" s="229"/>
      <c r="AA72" s="229"/>
      <c r="AB72" s="229"/>
      <c r="AC72" s="229"/>
      <c r="AD72" s="229"/>
    </row>
  </sheetData>
  <mergeCells count="82">
    <mergeCell ref="A61:A62"/>
    <mergeCell ref="B61:B62"/>
    <mergeCell ref="A55:A56"/>
    <mergeCell ref="B55:B56"/>
    <mergeCell ref="C55:P55"/>
    <mergeCell ref="A57:A58"/>
    <mergeCell ref="B57:B58"/>
    <mergeCell ref="A59:A60"/>
    <mergeCell ref="B59:B60"/>
    <mergeCell ref="A1:A4"/>
    <mergeCell ref="B1:AA1"/>
    <mergeCell ref="O7:P7"/>
    <mergeCell ref="M8:N8"/>
    <mergeCell ref="O8:P8"/>
    <mergeCell ref="AB1:AD1"/>
    <mergeCell ref="B2:AA2"/>
    <mergeCell ref="AB2:AD2"/>
    <mergeCell ref="B3:AA4"/>
    <mergeCell ref="AB3:AD3"/>
    <mergeCell ref="AB4:AD4"/>
    <mergeCell ref="A11:B13"/>
    <mergeCell ref="C11:AD13"/>
    <mergeCell ref="A7:B9"/>
    <mergeCell ref="C7:C9"/>
    <mergeCell ref="D7:H9"/>
    <mergeCell ref="I7:J9"/>
    <mergeCell ref="K7:L9"/>
    <mergeCell ref="M7:N7"/>
    <mergeCell ref="M9:N9"/>
    <mergeCell ref="O9:P9"/>
    <mergeCell ref="AA15:AD15"/>
    <mergeCell ref="C16:AB16"/>
    <mergeCell ref="A17:B17"/>
    <mergeCell ref="C17:Q17"/>
    <mergeCell ref="R17:V17"/>
    <mergeCell ref="W17:X17"/>
    <mergeCell ref="Y17:AB17"/>
    <mergeCell ref="AC17:AD17"/>
    <mergeCell ref="A15:B15"/>
    <mergeCell ref="C15:K15"/>
    <mergeCell ref="L15:Q15"/>
    <mergeCell ref="R15:X15"/>
    <mergeCell ref="Y15:Z15"/>
    <mergeCell ref="A19:AD19"/>
    <mergeCell ref="C20:P20"/>
    <mergeCell ref="Q20:AD20"/>
    <mergeCell ref="A22:B22"/>
    <mergeCell ref="A23:B23"/>
    <mergeCell ref="A24:B24"/>
    <mergeCell ref="A25:B25"/>
    <mergeCell ref="A27:AD27"/>
    <mergeCell ref="A28:A29"/>
    <mergeCell ref="B28:C29"/>
    <mergeCell ref="D28:O28"/>
    <mergeCell ref="P28:P29"/>
    <mergeCell ref="Q28:AD29"/>
    <mergeCell ref="B30:C30"/>
    <mergeCell ref="Q30:AD30"/>
    <mergeCell ref="A31:AD31"/>
    <mergeCell ref="A32:A33"/>
    <mergeCell ref="B32:B33"/>
    <mergeCell ref="C32:C33"/>
    <mergeCell ref="D32:P32"/>
    <mergeCell ref="Q32:AD32"/>
    <mergeCell ref="Q33:S33"/>
    <mergeCell ref="T33:V33"/>
    <mergeCell ref="W33:Z33"/>
    <mergeCell ref="AA33:AD33"/>
    <mergeCell ref="A38:A39"/>
    <mergeCell ref="B38:B39"/>
    <mergeCell ref="Q38:AD39"/>
    <mergeCell ref="AA34:AD35"/>
    <mergeCell ref="A36:A37"/>
    <mergeCell ref="B36:B37"/>
    <mergeCell ref="C36:P36"/>
    <mergeCell ref="Q36:AD36"/>
    <mergeCell ref="Q37:AD37"/>
    <mergeCell ref="A34:A35"/>
    <mergeCell ref="B34:B35"/>
    <mergeCell ref="Q34:S35"/>
    <mergeCell ref="T34:V35"/>
    <mergeCell ref="W34:Z35"/>
  </mergeCells>
  <dataValidations count="3">
    <dataValidation type="textLength" operator="lessThanOrEqual" allowBlank="1" showInputMessage="1" showErrorMessage="1" errorTitle="Máximo 2.000 caracteres" error="Máximo 2.000 caracteres" sqref="AA34 Q34 Q38:AD39" xr:uid="{00000000-0002-0000-0400-000000000000}">
      <formula1>2000</formula1>
    </dataValidation>
    <dataValidation type="textLength" operator="lessThanOrEqual" allowBlank="1" showInputMessage="1" showErrorMessage="1" errorTitle="Máximo 2.000 caracteres" error="Máximo 2.000 caracteres" promptTitle="2.000 caracteres" sqref="Q30:AD30" xr:uid="{00000000-0002-0000-0400-000001000000}">
      <formula1>2000</formula1>
    </dataValidation>
    <dataValidation type="list" allowBlank="1" showInputMessage="1" showErrorMessage="1" sqref="C7:C9" xr:uid="{00000000-0002-0000-0400-000002000000}">
      <formula1>$C$21:$N$21</formula1>
    </dataValidation>
  </dataValidations>
  <pageMargins left="0.25" right="0.25" top="0.75" bottom="0.75" header="0.3" footer="0.3"/>
  <pageSetup scale="20" orientation="landscape"/>
  <customProperties>
    <customPr name="_pios_id" r:id="rId1"/>
  </customProperties>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7" tint="0.39997558519241921"/>
    <pageSetUpPr fitToPage="1"/>
  </sheetPr>
  <dimension ref="A1:BA74"/>
  <sheetViews>
    <sheetView showGridLines="0" topLeftCell="BA14" zoomScale="114" zoomScaleNormal="60" workbookViewId="0">
      <selection activeCell="BA14" sqref="BA14"/>
    </sheetView>
  </sheetViews>
  <sheetFormatPr baseColWidth="10" defaultColWidth="10.85546875" defaultRowHeight="15" x14ac:dyDescent="0.25"/>
  <cols>
    <col min="1" max="1" width="38.42578125" style="50" customWidth="1"/>
    <col min="2" max="2" width="15.42578125" style="50" customWidth="1"/>
    <col min="3" max="14" width="20.7109375" style="50" customWidth="1"/>
    <col min="15" max="15" width="16.140625" style="50" customWidth="1"/>
    <col min="16" max="25" width="18.140625" style="50" customWidth="1"/>
    <col min="26" max="26" width="21.7109375" style="50" customWidth="1"/>
    <col min="27" max="27" width="18.140625" style="50" customWidth="1"/>
    <col min="28" max="28" width="22.7109375" style="50" customWidth="1"/>
    <col min="29" max="29" width="19" style="50" customWidth="1"/>
    <col min="30" max="30" width="19.42578125" style="50" customWidth="1"/>
    <col min="31" max="31" width="6.28515625" style="50" bestFit="1" customWidth="1"/>
    <col min="32" max="32" width="22.85546875" style="50" customWidth="1"/>
    <col min="33" max="33" width="18.42578125" style="50" bestFit="1" customWidth="1"/>
    <col min="34" max="34" width="8.42578125" style="50" customWidth="1"/>
    <col min="35" max="35" width="18.42578125" style="50" bestFit="1" customWidth="1"/>
    <col min="36" max="36" width="5.7109375" style="50" customWidth="1"/>
    <col min="37" max="37" width="18.42578125" style="50" bestFit="1" customWidth="1"/>
    <col min="38" max="38" width="4.7109375" style="50" customWidth="1"/>
    <col min="39" max="39" width="23" style="50" bestFit="1" customWidth="1"/>
    <col min="40" max="40" width="10.85546875" style="50"/>
    <col min="41" max="41" width="18.42578125" style="50" bestFit="1" customWidth="1"/>
    <col min="42" max="42" width="16.140625" style="50" customWidth="1"/>
    <col min="43" max="16384" width="10.85546875" style="50"/>
  </cols>
  <sheetData>
    <row r="1" spans="1:53" ht="32.25" customHeight="1" thickBot="1" x14ac:dyDescent="0.3">
      <c r="A1" s="443"/>
      <c r="B1" s="446" t="s">
        <v>0</v>
      </c>
      <c r="C1" s="447"/>
      <c r="D1" s="447"/>
      <c r="E1" s="447"/>
      <c r="F1" s="447"/>
      <c r="G1" s="447"/>
      <c r="H1" s="447"/>
      <c r="I1" s="447"/>
      <c r="J1" s="447"/>
      <c r="K1" s="447"/>
      <c r="L1" s="447"/>
      <c r="M1" s="447"/>
      <c r="N1" s="447"/>
      <c r="O1" s="447"/>
      <c r="P1" s="447"/>
      <c r="Q1" s="447"/>
      <c r="R1" s="447"/>
      <c r="S1" s="447"/>
      <c r="T1" s="447"/>
      <c r="U1" s="447"/>
      <c r="V1" s="447"/>
      <c r="W1" s="447"/>
      <c r="X1" s="447"/>
      <c r="Y1" s="447"/>
      <c r="Z1" s="447"/>
      <c r="AA1" s="448"/>
      <c r="AB1" s="449" t="s">
        <v>1</v>
      </c>
      <c r="AC1" s="450"/>
      <c r="AD1" s="451"/>
    </row>
    <row r="2" spans="1:53" ht="30.75" customHeight="1" thickBot="1" x14ac:dyDescent="0.3">
      <c r="A2" s="444"/>
      <c r="B2" s="446" t="s">
        <v>97</v>
      </c>
      <c r="C2" s="447"/>
      <c r="D2" s="447"/>
      <c r="E2" s="447"/>
      <c r="F2" s="447"/>
      <c r="G2" s="447"/>
      <c r="H2" s="447"/>
      <c r="I2" s="447"/>
      <c r="J2" s="447"/>
      <c r="K2" s="447"/>
      <c r="L2" s="447"/>
      <c r="M2" s="447"/>
      <c r="N2" s="447"/>
      <c r="O2" s="447"/>
      <c r="P2" s="447"/>
      <c r="Q2" s="447"/>
      <c r="R2" s="447"/>
      <c r="S2" s="447"/>
      <c r="T2" s="447"/>
      <c r="U2" s="447"/>
      <c r="V2" s="447"/>
      <c r="W2" s="447"/>
      <c r="X2" s="447"/>
      <c r="Y2" s="447"/>
      <c r="Z2" s="447"/>
      <c r="AA2" s="448"/>
      <c r="AB2" s="470" t="s">
        <v>3</v>
      </c>
      <c r="AC2" s="471"/>
      <c r="AD2" s="472"/>
    </row>
    <row r="3" spans="1:53" ht="24" customHeight="1" x14ac:dyDescent="0.25">
      <c r="A3" s="444"/>
      <c r="B3" s="473" t="s">
        <v>4</v>
      </c>
      <c r="C3" s="474"/>
      <c r="D3" s="474"/>
      <c r="E3" s="474"/>
      <c r="F3" s="474"/>
      <c r="G3" s="474"/>
      <c r="H3" s="474"/>
      <c r="I3" s="474"/>
      <c r="J3" s="474"/>
      <c r="K3" s="474"/>
      <c r="L3" s="474"/>
      <c r="M3" s="474"/>
      <c r="N3" s="474"/>
      <c r="O3" s="474"/>
      <c r="P3" s="474"/>
      <c r="Q3" s="474"/>
      <c r="R3" s="474"/>
      <c r="S3" s="474"/>
      <c r="T3" s="474"/>
      <c r="U3" s="474"/>
      <c r="V3" s="474"/>
      <c r="W3" s="474"/>
      <c r="X3" s="474"/>
      <c r="Y3" s="474"/>
      <c r="Z3" s="474"/>
      <c r="AA3" s="475"/>
      <c r="AB3" s="470" t="s">
        <v>5</v>
      </c>
      <c r="AC3" s="471"/>
      <c r="AD3" s="472"/>
    </row>
    <row r="4" spans="1:53" ht="21.95" customHeight="1" thickBot="1" x14ac:dyDescent="0.3">
      <c r="A4" s="445"/>
      <c r="B4" s="476"/>
      <c r="C4" s="477"/>
      <c r="D4" s="477"/>
      <c r="E4" s="477"/>
      <c r="F4" s="477"/>
      <c r="G4" s="477"/>
      <c r="H4" s="477"/>
      <c r="I4" s="477"/>
      <c r="J4" s="477"/>
      <c r="K4" s="477"/>
      <c r="L4" s="477"/>
      <c r="M4" s="477"/>
      <c r="N4" s="477"/>
      <c r="O4" s="477"/>
      <c r="P4" s="477"/>
      <c r="Q4" s="477"/>
      <c r="R4" s="477"/>
      <c r="S4" s="477"/>
      <c r="T4" s="477"/>
      <c r="U4" s="477"/>
      <c r="V4" s="477"/>
      <c r="W4" s="477"/>
      <c r="X4" s="477"/>
      <c r="Y4" s="477"/>
      <c r="Z4" s="477"/>
      <c r="AA4" s="478"/>
      <c r="AB4" s="479" t="s">
        <v>6</v>
      </c>
      <c r="AC4" s="480"/>
      <c r="AD4" s="481"/>
    </row>
    <row r="5" spans="1:53" ht="9" customHeight="1" thickBot="1" x14ac:dyDescent="0.3">
      <c r="A5" s="51"/>
      <c r="B5" s="202"/>
      <c r="C5" s="203"/>
      <c r="D5" s="54"/>
      <c r="E5" s="54"/>
      <c r="F5" s="54"/>
      <c r="G5" s="54"/>
      <c r="H5" s="54"/>
      <c r="I5" s="54"/>
      <c r="J5" s="54"/>
      <c r="K5" s="54"/>
      <c r="L5" s="54"/>
      <c r="M5" s="54"/>
      <c r="N5" s="54"/>
      <c r="O5" s="54"/>
      <c r="P5" s="54"/>
      <c r="Q5" s="54"/>
      <c r="R5" s="54"/>
      <c r="S5" s="54"/>
      <c r="T5" s="54"/>
      <c r="U5" s="54"/>
      <c r="V5" s="54"/>
      <c r="W5" s="54"/>
      <c r="X5" s="54"/>
      <c r="Y5" s="54"/>
      <c r="Z5" s="55"/>
      <c r="AA5" s="54"/>
      <c r="AB5" s="56"/>
      <c r="AC5" s="57"/>
      <c r="AD5" s="58"/>
    </row>
    <row r="6" spans="1:53" ht="9" customHeight="1" thickBot="1" x14ac:dyDescent="0.3">
      <c r="A6" s="59"/>
      <c r="B6" s="54"/>
      <c r="C6" s="54"/>
      <c r="D6" s="54"/>
      <c r="E6" s="54"/>
      <c r="F6" s="54"/>
      <c r="G6" s="54"/>
      <c r="H6" s="54"/>
      <c r="I6" s="54"/>
      <c r="J6" s="54"/>
      <c r="K6" s="54"/>
      <c r="L6" s="54"/>
      <c r="M6" s="54"/>
      <c r="N6" s="54"/>
      <c r="O6" s="54"/>
      <c r="P6" s="54"/>
      <c r="Q6" s="54"/>
      <c r="R6" s="54"/>
      <c r="S6" s="54"/>
      <c r="T6" s="54"/>
      <c r="U6" s="54"/>
      <c r="V6" s="54"/>
      <c r="W6" s="54"/>
      <c r="X6" s="54"/>
      <c r="Y6" s="54"/>
      <c r="Z6" s="55"/>
      <c r="AA6" s="54"/>
      <c r="AB6" s="54"/>
      <c r="AC6" s="60"/>
      <c r="AD6" s="61"/>
    </row>
    <row r="7" spans="1:53" ht="15" customHeight="1" x14ac:dyDescent="0.25">
      <c r="A7" s="464" t="s">
        <v>7</v>
      </c>
      <c r="B7" s="465"/>
      <c r="C7" s="500" t="s">
        <v>33</v>
      </c>
      <c r="D7" s="464" t="s">
        <v>9</v>
      </c>
      <c r="E7" s="482"/>
      <c r="F7" s="482"/>
      <c r="G7" s="482"/>
      <c r="H7" s="465"/>
      <c r="I7" s="485">
        <v>45020</v>
      </c>
      <c r="J7" s="486"/>
      <c r="K7" s="464" t="s">
        <v>10</v>
      </c>
      <c r="L7" s="465"/>
      <c r="M7" s="456" t="s">
        <v>98</v>
      </c>
      <c r="N7" s="457"/>
      <c r="O7" s="458"/>
      <c r="P7" s="459"/>
      <c r="Q7" s="54"/>
      <c r="R7" s="54"/>
      <c r="S7" s="54"/>
      <c r="T7" s="54"/>
      <c r="U7" s="54"/>
      <c r="V7" s="54"/>
      <c r="W7" s="54"/>
      <c r="X7" s="54"/>
      <c r="Y7" s="54"/>
      <c r="Z7" s="55"/>
      <c r="AA7" s="54"/>
      <c r="AB7" s="54"/>
      <c r="AC7" s="60"/>
      <c r="AD7" s="61"/>
    </row>
    <row r="8" spans="1:53" ht="15" customHeight="1" x14ac:dyDescent="0.25">
      <c r="A8" s="466"/>
      <c r="B8" s="467"/>
      <c r="C8" s="501"/>
      <c r="D8" s="466"/>
      <c r="E8" s="483"/>
      <c r="F8" s="483"/>
      <c r="G8" s="483"/>
      <c r="H8" s="467"/>
      <c r="I8" s="487"/>
      <c r="J8" s="488"/>
      <c r="K8" s="466"/>
      <c r="L8" s="467"/>
      <c r="M8" s="460" t="s">
        <v>99</v>
      </c>
      <c r="N8" s="461"/>
      <c r="O8" s="736"/>
      <c r="P8" s="737"/>
      <c r="Q8" s="54"/>
      <c r="R8" s="54"/>
      <c r="S8" s="54"/>
      <c r="T8" s="54"/>
      <c r="U8" s="54"/>
      <c r="V8" s="54"/>
      <c r="W8" s="54"/>
      <c r="X8" s="54"/>
      <c r="Y8" s="54"/>
      <c r="Z8" s="55"/>
      <c r="AA8" s="54"/>
      <c r="AB8" s="54"/>
      <c r="AC8" s="60"/>
      <c r="AD8" s="61"/>
    </row>
    <row r="9" spans="1:53" ht="15.75" customHeight="1" thickBot="1" x14ac:dyDescent="0.3">
      <c r="A9" s="468"/>
      <c r="B9" s="469"/>
      <c r="C9" s="502"/>
      <c r="D9" s="468"/>
      <c r="E9" s="484"/>
      <c r="F9" s="484"/>
      <c r="G9" s="484"/>
      <c r="H9" s="469"/>
      <c r="I9" s="489"/>
      <c r="J9" s="490"/>
      <c r="K9" s="468"/>
      <c r="L9" s="469"/>
      <c r="M9" s="452" t="s">
        <v>13</v>
      </c>
      <c r="N9" s="453"/>
      <c r="O9" s="454" t="s">
        <v>14</v>
      </c>
      <c r="P9" s="455"/>
      <c r="Q9" s="54"/>
      <c r="R9" s="54"/>
      <c r="S9" s="54"/>
      <c r="T9" s="54"/>
      <c r="U9" s="54"/>
      <c r="V9" s="54"/>
      <c r="W9" s="54"/>
      <c r="X9" s="54"/>
      <c r="Y9" s="54"/>
      <c r="Z9" s="55"/>
      <c r="AA9" s="54"/>
      <c r="AB9" s="54"/>
      <c r="AC9" s="60"/>
      <c r="AD9" s="61"/>
    </row>
    <row r="10" spans="1:53" ht="15" customHeight="1" thickBot="1" x14ac:dyDescent="0.3">
      <c r="A10" s="169"/>
      <c r="B10" s="170"/>
      <c r="C10" s="170"/>
      <c r="D10" s="65"/>
      <c r="E10" s="65"/>
      <c r="F10" s="65"/>
      <c r="G10" s="65"/>
      <c r="H10" s="65"/>
      <c r="I10" s="166"/>
      <c r="J10" s="166"/>
      <c r="K10" s="65"/>
      <c r="L10" s="65"/>
      <c r="M10" s="167"/>
      <c r="N10" s="167"/>
      <c r="O10" s="168"/>
      <c r="P10" s="168"/>
      <c r="Q10" s="170"/>
      <c r="R10" s="170"/>
      <c r="S10" s="170"/>
      <c r="T10" s="170"/>
      <c r="U10" s="170"/>
      <c r="V10" s="170"/>
      <c r="W10" s="170"/>
      <c r="X10" s="170"/>
      <c r="Y10" s="170"/>
      <c r="Z10" s="171"/>
      <c r="AA10" s="170"/>
      <c r="AB10" s="170"/>
      <c r="AC10" s="172"/>
      <c r="AD10" s="173"/>
    </row>
    <row r="11" spans="1:53" ht="15" customHeight="1" x14ac:dyDescent="0.25">
      <c r="A11" s="464" t="s">
        <v>15</v>
      </c>
      <c r="B11" s="465"/>
      <c r="C11" s="491" t="s">
        <v>16</v>
      </c>
      <c r="D11" s="492"/>
      <c r="E11" s="492"/>
      <c r="F11" s="492"/>
      <c r="G11" s="492"/>
      <c r="H11" s="492"/>
      <c r="I11" s="492"/>
      <c r="J11" s="492"/>
      <c r="K11" s="492"/>
      <c r="L11" s="492"/>
      <c r="M11" s="492"/>
      <c r="N11" s="492"/>
      <c r="O11" s="492"/>
      <c r="P11" s="492"/>
      <c r="Q11" s="492"/>
      <c r="R11" s="492"/>
      <c r="S11" s="492"/>
      <c r="T11" s="492"/>
      <c r="U11" s="492"/>
      <c r="V11" s="492"/>
      <c r="W11" s="492"/>
      <c r="X11" s="492"/>
      <c r="Y11" s="492"/>
      <c r="Z11" s="492"/>
      <c r="AA11" s="492"/>
      <c r="AB11" s="492"/>
      <c r="AC11" s="492"/>
      <c r="AD11" s="493"/>
      <c r="BA11" s="327"/>
    </row>
    <row r="12" spans="1:53" ht="15" customHeight="1" x14ac:dyDescent="0.25">
      <c r="A12" s="466"/>
      <c r="B12" s="467"/>
      <c r="C12" s="494"/>
      <c r="D12" s="495"/>
      <c r="E12" s="495"/>
      <c r="F12" s="495"/>
      <c r="G12" s="495"/>
      <c r="H12" s="495"/>
      <c r="I12" s="495"/>
      <c r="J12" s="495"/>
      <c r="K12" s="495"/>
      <c r="L12" s="495"/>
      <c r="M12" s="495"/>
      <c r="N12" s="495"/>
      <c r="O12" s="495"/>
      <c r="P12" s="495"/>
      <c r="Q12" s="495"/>
      <c r="R12" s="495"/>
      <c r="S12" s="495"/>
      <c r="T12" s="495"/>
      <c r="U12" s="495"/>
      <c r="V12" s="495"/>
      <c r="W12" s="495"/>
      <c r="X12" s="495"/>
      <c r="Y12" s="495"/>
      <c r="Z12" s="495"/>
      <c r="AA12" s="495"/>
      <c r="AB12" s="495"/>
      <c r="AC12" s="495"/>
      <c r="AD12" s="496"/>
      <c r="BA12" s="327"/>
    </row>
    <row r="13" spans="1:53" ht="15" customHeight="1" thickBot="1" x14ac:dyDescent="0.3">
      <c r="A13" s="468"/>
      <c r="B13" s="469"/>
      <c r="C13" s="497"/>
      <c r="D13" s="498"/>
      <c r="E13" s="498"/>
      <c r="F13" s="498"/>
      <c r="G13" s="498"/>
      <c r="H13" s="498"/>
      <c r="I13" s="498"/>
      <c r="J13" s="498"/>
      <c r="K13" s="498"/>
      <c r="L13" s="498"/>
      <c r="M13" s="498"/>
      <c r="N13" s="498"/>
      <c r="O13" s="498"/>
      <c r="P13" s="498"/>
      <c r="Q13" s="498"/>
      <c r="R13" s="498"/>
      <c r="S13" s="498"/>
      <c r="T13" s="498"/>
      <c r="U13" s="498"/>
      <c r="V13" s="498"/>
      <c r="W13" s="498"/>
      <c r="X13" s="498"/>
      <c r="Y13" s="498"/>
      <c r="Z13" s="498"/>
      <c r="AA13" s="498"/>
      <c r="AB13" s="498"/>
      <c r="AC13" s="498"/>
      <c r="AD13" s="499"/>
      <c r="BA13" s="327"/>
    </row>
    <row r="14" spans="1:53" ht="9" customHeight="1" thickBot="1" x14ac:dyDescent="0.3">
      <c r="A14" s="67"/>
      <c r="B14" s="68"/>
      <c r="C14" s="69"/>
      <c r="D14" s="69"/>
      <c r="E14" s="69"/>
      <c r="F14" s="69"/>
      <c r="G14" s="69"/>
      <c r="H14" s="69"/>
      <c r="I14" s="69"/>
      <c r="J14" s="69"/>
      <c r="K14" s="69"/>
      <c r="L14" s="69"/>
      <c r="M14" s="70"/>
      <c r="N14" s="70"/>
      <c r="O14" s="70"/>
      <c r="P14" s="70"/>
      <c r="Q14" s="70"/>
      <c r="R14" s="71"/>
      <c r="S14" s="71"/>
      <c r="T14" s="71"/>
      <c r="U14" s="71"/>
      <c r="V14" s="71"/>
      <c r="W14" s="71"/>
      <c r="X14" s="71"/>
      <c r="Y14" s="65"/>
      <c r="Z14" s="65"/>
      <c r="AA14" s="65"/>
      <c r="AB14" s="65"/>
      <c r="AC14" s="65"/>
      <c r="AD14" s="66"/>
      <c r="BA14" s="327"/>
    </row>
    <row r="15" spans="1:53" ht="39" customHeight="1" thickBot="1" x14ac:dyDescent="0.3">
      <c r="A15" s="528" t="s">
        <v>17</v>
      </c>
      <c r="B15" s="529"/>
      <c r="C15" s="538" t="s">
        <v>18</v>
      </c>
      <c r="D15" s="539"/>
      <c r="E15" s="539"/>
      <c r="F15" s="539"/>
      <c r="G15" s="539"/>
      <c r="H15" s="539"/>
      <c r="I15" s="539"/>
      <c r="J15" s="539"/>
      <c r="K15" s="540"/>
      <c r="L15" s="503" t="s">
        <v>19</v>
      </c>
      <c r="M15" s="504"/>
      <c r="N15" s="504"/>
      <c r="O15" s="504"/>
      <c r="P15" s="504"/>
      <c r="Q15" s="505"/>
      <c r="R15" s="533" t="s">
        <v>20</v>
      </c>
      <c r="S15" s="534"/>
      <c r="T15" s="534"/>
      <c r="U15" s="534"/>
      <c r="V15" s="534"/>
      <c r="W15" s="534"/>
      <c r="X15" s="535"/>
      <c r="Y15" s="503" t="s">
        <v>21</v>
      </c>
      <c r="Z15" s="505"/>
      <c r="AA15" s="524" t="s">
        <v>22</v>
      </c>
      <c r="AB15" s="525"/>
      <c r="AC15" s="525"/>
      <c r="AD15" s="526"/>
      <c r="BA15" s="327"/>
    </row>
    <row r="16" spans="1:53" ht="9" customHeight="1" thickBot="1" x14ac:dyDescent="0.3">
      <c r="A16" s="59"/>
      <c r="B16" s="54"/>
      <c r="C16" s="527"/>
      <c r="D16" s="527"/>
      <c r="E16" s="527"/>
      <c r="F16" s="527"/>
      <c r="G16" s="527"/>
      <c r="H16" s="527"/>
      <c r="I16" s="527"/>
      <c r="J16" s="527"/>
      <c r="K16" s="527"/>
      <c r="L16" s="527"/>
      <c r="M16" s="527"/>
      <c r="N16" s="527"/>
      <c r="O16" s="527"/>
      <c r="P16" s="527"/>
      <c r="Q16" s="527"/>
      <c r="R16" s="527"/>
      <c r="S16" s="527"/>
      <c r="T16" s="527"/>
      <c r="U16" s="527"/>
      <c r="V16" s="527"/>
      <c r="W16" s="527"/>
      <c r="X16" s="527"/>
      <c r="Y16" s="527"/>
      <c r="Z16" s="527"/>
      <c r="AA16" s="527"/>
      <c r="AB16" s="527"/>
      <c r="AC16" s="73"/>
      <c r="AD16" s="74"/>
      <c r="BA16" s="327"/>
    </row>
    <row r="17" spans="1:53" s="76" customFormat="1" ht="37.5" customHeight="1" thickBot="1" x14ac:dyDescent="0.3">
      <c r="A17" s="528" t="s">
        <v>24</v>
      </c>
      <c r="B17" s="529"/>
      <c r="C17" s="530" t="s">
        <v>138</v>
      </c>
      <c r="D17" s="531"/>
      <c r="E17" s="531"/>
      <c r="F17" s="531"/>
      <c r="G17" s="531"/>
      <c r="H17" s="531"/>
      <c r="I17" s="531"/>
      <c r="J17" s="531"/>
      <c r="K17" s="531"/>
      <c r="L17" s="531"/>
      <c r="M17" s="531"/>
      <c r="N17" s="531"/>
      <c r="O17" s="531"/>
      <c r="P17" s="531"/>
      <c r="Q17" s="532"/>
      <c r="R17" s="503" t="s">
        <v>26</v>
      </c>
      <c r="S17" s="504"/>
      <c r="T17" s="504"/>
      <c r="U17" s="504"/>
      <c r="V17" s="505"/>
      <c r="W17" s="536">
        <v>1</v>
      </c>
      <c r="X17" s="537"/>
      <c r="Y17" s="504" t="s">
        <v>27</v>
      </c>
      <c r="Z17" s="504"/>
      <c r="AA17" s="504"/>
      <c r="AB17" s="505"/>
      <c r="AC17" s="514">
        <v>0.2</v>
      </c>
      <c r="AD17" s="515"/>
      <c r="BA17" s="328"/>
    </row>
    <row r="18" spans="1:53" ht="16.5" customHeight="1" thickBot="1" x14ac:dyDescent="0.3">
      <c r="A18" s="77"/>
      <c r="B18" s="78"/>
      <c r="C18" s="78"/>
      <c r="D18" s="78"/>
      <c r="E18" s="78"/>
      <c r="F18" s="78"/>
      <c r="G18" s="78"/>
      <c r="H18" s="78"/>
      <c r="I18" s="78"/>
      <c r="J18" s="78"/>
      <c r="K18" s="78"/>
      <c r="L18" s="78"/>
      <c r="M18" s="78"/>
      <c r="N18" s="78"/>
      <c r="O18" s="78"/>
      <c r="P18" s="78"/>
      <c r="Q18" s="78"/>
      <c r="R18" s="78"/>
      <c r="S18" s="78"/>
      <c r="T18" s="78"/>
      <c r="U18" s="78"/>
      <c r="V18" s="78"/>
      <c r="W18" s="78"/>
      <c r="X18" s="78"/>
      <c r="Y18" s="78"/>
      <c r="Z18" s="78"/>
      <c r="AA18" s="78"/>
      <c r="AB18" s="78"/>
      <c r="AC18" s="78"/>
      <c r="AD18" s="79"/>
      <c r="BA18" s="327"/>
    </row>
    <row r="19" spans="1:53" ht="32.1" customHeight="1" thickBot="1" x14ac:dyDescent="0.3">
      <c r="A19" s="503" t="s">
        <v>28</v>
      </c>
      <c r="B19" s="504"/>
      <c r="C19" s="504"/>
      <c r="D19" s="504"/>
      <c r="E19" s="504"/>
      <c r="F19" s="504"/>
      <c r="G19" s="504"/>
      <c r="H19" s="504"/>
      <c r="I19" s="504"/>
      <c r="J19" s="504"/>
      <c r="K19" s="504"/>
      <c r="L19" s="504"/>
      <c r="M19" s="504"/>
      <c r="N19" s="504"/>
      <c r="O19" s="504"/>
      <c r="P19" s="504"/>
      <c r="Q19" s="504"/>
      <c r="R19" s="504"/>
      <c r="S19" s="504"/>
      <c r="T19" s="504"/>
      <c r="U19" s="504"/>
      <c r="V19" s="504"/>
      <c r="W19" s="504"/>
      <c r="X19" s="504"/>
      <c r="Y19" s="504"/>
      <c r="Z19" s="504"/>
      <c r="AA19" s="504"/>
      <c r="AB19" s="504"/>
      <c r="AC19" s="504"/>
      <c r="AD19" s="505"/>
      <c r="AE19" s="83"/>
      <c r="AF19" s="83"/>
      <c r="BA19" s="327"/>
    </row>
    <row r="20" spans="1:53" ht="32.1" customHeight="1" thickBot="1" x14ac:dyDescent="0.3">
      <c r="A20" s="82"/>
      <c r="B20" s="60"/>
      <c r="C20" s="509" t="s">
        <v>29</v>
      </c>
      <c r="D20" s="510"/>
      <c r="E20" s="510"/>
      <c r="F20" s="510"/>
      <c r="G20" s="510"/>
      <c r="H20" s="510"/>
      <c r="I20" s="510"/>
      <c r="J20" s="510"/>
      <c r="K20" s="510"/>
      <c r="L20" s="510"/>
      <c r="M20" s="510"/>
      <c r="N20" s="510"/>
      <c r="O20" s="510"/>
      <c r="P20" s="511"/>
      <c r="Q20" s="506" t="s">
        <v>30</v>
      </c>
      <c r="R20" s="507"/>
      <c r="S20" s="507"/>
      <c r="T20" s="507"/>
      <c r="U20" s="507"/>
      <c r="V20" s="507"/>
      <c r="W20" s="507"/>
      <c r="X20" s="507"/>
      <c r="Y20" s="507"/>
      <c r="Z20" s="507"/>
      <c r="AA20" s="507"/>
      <c r="AB20" s="507"/>
      <c r="AC20" s="507"/>
      <c r="AD20" s="508"/>
      <c r="AE20" s="83"/>
      <c r="AF20" s="83"/>
      <c r="BA20" s="327"/>
    </row>
    <row r="21" spans="1:53" ht="32.1" customHeight="1" thickBot="1" x14ac:dyDescent="0.3">
      <c r="A21" s="59"/>
      <c r="B21" s="54"/>
      <c r="C21" s="158" t="s">
        <v>31</v>
      </c>
      <c r="D21" s="159" t="s">
        <v>32</v>
      </c>
      <c r="E21" s="159" t="s">
        <v>33</v>
      </c>
      <c r="F21" s="159" t="s">
        <v>34</v>
      </c>
      <c r="G21" s="159" t="s">
        <v>35</v>
      </c>
      <c r="H21" s="159" t="s">
        <v>8</v>
      </c>
      <c r="I21" s="159" t="s">
        <v>36</v>
      </c>
      <c r="J21" s="159" t="s">
        <v>37</v>
      </c>
      <c r="K21" s="159" t="s">
        <v>38</v>
      </c>
      <c r="L21" s="159" t="s">
        <v>39</v>
      </c>
      <c r="M21" s="159" t="s">
        <v>40</v>
      </c>
      <c r="N21" s="159" t="s">
        <v>41</v>
      </c>
      <c r="O21" s="159" t="s">
        <v>42</v>
      </c>
      <c r="P21" s="160" t="s">
        <v>43</v>
      </c>
      <c r="Q21" s="158" t="s">
        <v>31</v>
      </c>
      <c r="R21" s="159" t="s">
        <v>32</v>
      </c>
      <c r="S21" s="159" t="s">
        <v>33</v>
      </c>
      <c r="T21" s="159" t="s">
        <v>34</v>
      </c>
      <c r="U21" s="159" t="s">
        <v>35</v>
      </c>
      <c r="V21" s="159" t="s">
        <v>8</v>
      </c>
      <c r="W21" s="159" t="s">
        <v>36</v>
      </c>
      <c r="X21" s="159" t="s">
        <v>37</v>
      </c>
      <c r="Y21" s="159" t="s">
        <v>38</v>
      </c>
      <c r="Z21" s="159" t="s">
        <v>39</v>
      </c>
      <c r="AA21" s="159" t="s">
        <v>40</v>
      </c>
      <c r="AB21" s="159" t="s">
        <v>41</v>
      </c>
      <c r="AC21" s="159" t="s">
        <v>42</v>
      </c>
      <c r="AD21" s="160" t="s">
        <v>43</v>
      </c>
      <c r="AE21" s="3"/>
      <c r="AF21" s="3"/>
      <c r="BA21" s="327"/>
    </row>
    <row r="22" spans="1:53" ht="32.1" customHeight="1" x14ac:dyDescent="0.25">
      <c r="A22" s="512" t="s">
        <v>101</v>
      </c>
      <c r="B22" s="513"/>
      <c r="C22" s="179"/>
      <c r="D22" s="177"/>
      <c r="E22" s="177"/>
      <c r="F22" s="177"/>
      <c r="G22" s="177"/>
      <c r="H22" s="177"/>
      <c r="I22" s="177"/>
      <c r="J22" s="177"/>
      <c r="K22" s="177"/>
      <c r="L22" s="177"/>
      <c r="M22" s="177"/>
      <c r="N22" s="177"/>
      <c r="O22" s="177">
        <f>SUM(C22:N22)</f>
        <v>0</v>
      </c>
      <c r="P22" s="180"/>
      <c r="Q22" s="179">
        <v>425475150</v>
      </c>
      <c r="R22" s="177"/>
      <c r="S22" s="177">
        <v>19186925</v>
      </c>
      <c r="T22" s="177">
        <f>35000000+21559511</f>
        <v>56559511</v>
      </c>
      <c r="U22" s="177"/>
      <c r="V22" s="177">
        <f>2139477+34249272</f>
        <v>36388749</v>
      </c>
      <c r="W22" s="177"/>
      <c r="X22" s="177"/>
      <c r="Y22" s="177"/>
      <c r="Z22" s="177"/>
      <c r="AA22" s="177"/>
      <c r="AB22" s="177"/>
      <c r="AC22" s="177">
        <f>SUM(Q22:AB22)</f>
        <v>537610335</v>
      </c>
      <c r="AD22" s="184"/>
      <c r="AE22" s="3"/>
      <c r="AF22" s="3"/>
    </row>
    <row r="23" spans="1:53" ht="32.1" customHeight="1" x14ac:dyDescent="0.25">
      <c r="A23" s="520" t="s">
        <v>47</v>
      </c>
      <c r="B23" s="521"/>
      <c r="C23" s="175"/>
      <c r="D23" s="174"/>
      <c r="E23" s="174"/>
      <c r="F23" s="174"/>
      <c r="G23" s="174"/>
      <c r="H23" s="174"/>
      <c r="I23" s="174"/>
      <c r="J23" s="174"/>
      <c r="K23" s="174"/>
      <c r="L23" s="174"/>
      <c r="M23" s="174"/>
      <c r="N23" s="174"/>
      <c r="O23" s="174">
        <f>SUM(C23:N23)</f>
        <v>0</v>
      </c>
      <c r="P23" s="192" t="str">
        <f>IFERROR(O23/(SUMIF(C23:N23,"&gt;0",C22:N22))," ")</f>
        <v xml:space="preserve"> </v>
      </c>
      <c r="Q23" s="179">
        <v>45618029</v>
      </c>
      <c r="R23" s="179">
        <v>274389683</v>
      </c>
      <c r="S23" s="179">
        <v>37936095</v>
      </c>
      <c r="T23" s="174"/>
      <c r="U23" s="174"/>
      <c r="V23" s="174"/>
      <c r="W23" s="174"/>
      <c r="X23" s="174"/>
      <c r="Y23" s="174"/>
      <c r="Z23" s="174"/>
      <c r="AA23" s="174"/>
      <c r="AB23" s="174"/>
      <c r="AC23" s="174">
        <f>SUM(Q23:AB23)</f>
        <v>357943807</v>
      </c>
      <c r="AD23" s="182">
        <f>+AC23/AC22</f>
        <v>0.66580529371705621</v>
      </c>
      <c r="AE23" s="3"/>
      <c r="AF23" s="3"/>
    </row>
    <row r="24" spans="1:53" ht="32.1" customHeight="1" x14ac:dyDescent="0.25">
      <c r="A24" s="520" t="s">
        <v>103</v>
      </c>
      <c r="B24" s="521"/>
      <c r="C24" s="175">
        <f>25110242+1804187+19304540</f>
        <v>46218969</v>
      </c>
      <c r="D24" s="174">
        <f>1749515+3375000+3750000+461422+1166666+618000+432600+475860+4505045</f>
        <v>16534108</v>
      </c>
      <c r="E24" s="174">
        <v>4956875</v>
      </c>
      <c r="F24" s="174">
        <v>5038625</v>
      </c>
      <c r="G24" s="174"/>
      <c r="H24" s="174"/>
      <c r="I24" s="174"/>
      <c r="J24" s="174"/>
      <c r="K24" s="174"/>
      <c r="L24" s="174"/>
      <c r="M24" s="174"/>
      <c r="N24" s="174"/>
      <c r="O24" s="213">
        <f>SUM(C24:N24)</f>
        <v>72748577</v>
      </c>
      <c r="P24" s="178"/>
      <c r="Q24" s="175"/>
      <c r="R24" s="174">
        <v>18502650</v>
      </c>
      <c r="S24" s="174">
        <v>36997500</v>
      </c>
      <c r="T24" s="174">
        <f>36997500+1918693</f>
        <v>38916193</v>
      </c>
      <c r="U24" s="174">
        <f>36997500+1918693+3888889+21559511</f>
        <v>64364593</v>
      </c>
      <c r="V24" s="174">
        <f>36997500+1918693+3888889</f>
        <v>42805082</v>
      </c>
      <c r="W24" s="174">
        <f>36997500+1918693+2139477+3888889+11416424</f>
        <v>56360983</v>
      </c>
      <c r="X24" s="174">
        <f>36997500+1918693+3888889</f>
        <v>42805082</v>
      </c>
      <c r="Y24" s="174">
        <f>36997500+1918692+3888889+11416424</f>
        <v>54221505</v>
      </c>
      <c r="Z24" s="174">
        <f>36997500+1918692+3888889</f>
        <v>42805081</v>
      </c>
      <c r="AA24" s="174">
        <f>36997500+1918692+3888889+11416424</f>
        <v>54221505</v>
      </c>
      <c r="AB24" s="174">
        <f>73995000+3837384+7777777</f>
        <v>85610161</v>
      </c>
      <c r="AC24" s="174">
        <f>SUM(Q24:AB24)</f>
        <v>537610335</v>
      </c>
      <c r="AD24" s="182"/>
      <c r="AE24" s="3"/>
      <c r="AF24" s="3"/>
    </row>
    <row r="25" spans="1:53" ht="32.1" customHeight="1" x14ac:dyDescent="0.25">
      <c r="A25" s="522" t="s">
        <v>50</v>
      </c>
      <c r="B25" s="523"/>
      <c r="C25" s="175">
        <v>2894648</v>
      </c>
      <c r="D25" s="175">
        <v>31987653</v>
      </c>
      <c r="E25" s="175">
        <v>22040035</v>
      </c>
      <c r="F25" s="176"/>
      <c r="G25" s="176"/>
      <c r="H25" s="176"/>
      <c r="I25" s="176"/>
      <c r="J25" s="176"/>
      <c r="K25" s="176"/>
      <c r="L25" s="176"/>
      <c r="M25" s="176"/>
      <c r="N25" s="176"/>
      <c r="O25" s="176">
        <f>SUM(C25:N25)</f>
        <v>56922336</v>
      </c>
      <c r="P25" s="181">
        <f>+O25/O24</f>
        <v>0.78245291313395726</v>
      </c>
      <c r="Q25" s="179" t="s">
        <v>104</v>
      </c>
      <c r="R25" s="179">
        <v>944067</v>
      </c>
      <c r="S25" s="179">
        <v>14912614</v>
      </c>
      <c r="T25" s="176"/>
      <c r="U25" s="176"/>
      <c r="V25" s="176"/>
      <c r="W25" s="176"/>
      <c r="X25" s="176"/>
      <c r="Y25" s="176"/>
      <c r="Z25" s="176"/>
      <c r="AA25" s="176"/>
      <c r="AB25" s="176"/>
      <c r="AC25" s="176">
        <f>SUM(Q25:AB25)</f>
        <v>15856681</v>
      </c>
      <c r="AD25" s="183">
        <f>+AC25/AC23</f>
        <v>4.4299358418568753E-2</v>
      </c>
      <c r="AE25" s="3"/>
      <c r="AF25" s="3"/>
    </row>
    <row r="26" spans="1:53" ht="32.1" customHeight="1" x14ac:dyDescent="0.25">
      <c r="A26" s="59"/>
      <c r="B26" s="54"/>
      <c r="C26" s="80"/>
      <c r="D26" s="80"/>
      <c r="E26" s="80"/>
      <c r="F26" s="80"/>
      <c r="G26" s="80"/>
      <c r="H26" s="80"/>
      <c r="I26" s="80"/>
      <c r="J26" s="80"/>
      <c r="K26" s="80"/>
      <c r="L26" s="80"/>
      <c r="M26" s="80"/>
      <c r="N26" s="80"/>
      <c r="O26" s="80"/>
      <c r="P26" s="80"/>
      <c r="Q26" s="80"/>
      <c r="R26" s="80"/>
      <c r="S26" s="80"/>
      <c r="T26" s="80"/>
      <c r="U26" s="80"/>
      <c r="V26" s="80"/>
      <c r="W26" s="80"/>
      <c r="X26" s="80"/>
      <c r="Y26" s="80"/>
      <c r="Z26" s="80"/>
      <c r="AA26" s="80"/>
      <c r="AB26" s="80"/>
      <c r="AC26" s="60"/>
      <c r="AD26" s="173"/>
    </row>
    <row r="27" spans="1:53" ht="33.950000000000003" customHeight="1" x14ac:dyDescent="0.25">
      <c r="A27" s="516" t="s">
        <v>53</v>
      </c>
      <c r="B27" s="517"/>
      <c r="C27" s="518"/>
      <c r="D27" s="518"/>
      <c r="E27" s="518"/>
      <c r="F27" s="518"/>
      <c r="G27" s="518"/>
      <c r="H27" s="518"/>
      <c r="I27" s="518"/>
      <c r="J27" s="518"/>
      <c r="K27" s="518"/>
      <c r="L27" s="518"/>
      <c r="M27" s="518"/>
      <c r="N27" s="518"/>
      <c r="O27" s="518"/>
      <c r="P27" s="518"/>
      <c r="Q27" s="518"/>
      <c r="R27" s="518"/>
      <c r="S27" s="518"/>
      <c r="T27" s="518"/>
      <c r="U27" s="518"/>
      <c r="V27" s="518"/>
      <c r="W27" s="518"/>
      <c r="X27" s="518"/>
      <c r="Y27" s="518"/>
      <c r="Z27" s="518"/>
      <c r="AA27" s="518"/>
      <c r="AB27" s="518"/>
      <c r="AC27" s="518"/>
      <c r="AD27" s="519"/>
    </row>
    <row r="28" spans="1:53" ht="15" customHeight="1" x14ac:dyDescent="0.25">
      <c r="A28" s="541" t="s">
        <v>54</v>
      </c>
      <c r="B28" s="543" t="s">
        <v>55</v>
      </c>
      <c r="C28" s="544"/>
      <c r="D28" s="521" t="s">
        <v>56</v>
      </c>
      <c r="E28" s="547"/>
      <c r="F28" s="547"/>
      <c r="G28" s="547"/>
      <c r="H28" s="547"/>
      <c r="I28" s="547"/>
      <c r="J28" s="547"/>
      <c r="K28" s="547"/>
      <c r="L28" s="547"/>
      <c r="M28" s="547"/>
      <c r="N28" s="547"/>
      <c r="O28" s="548"/>
      <c r="P28" s="549" t="s">
        <v>42</v>
      </c>
      <c r="Q28" s="549" t="s">
        <v>57</v>
      </c>
      <c r="R28" s="549"/>
      <c r="S28" s="549"/>
      <c r="T28" s="549"/>
      <c r="U28" s="549"/>
      <c r="V28" s="549"/>
      <c r="W28" s="549"/>
      <c r="X28" s="549"/>
      <c r="Y28" s="549"/>
      <c r="Z28" s="549"/>
      <c r="AA28" s="549"/>
      <c r="AB28" s="549"/>
      <c r="AC28" s="549"/>
      <c r="AD28" s="550"/>
    </row>
    <row r="29" spans="1:53" ht="27" customHeight="1" x14ac:dyDescent="0.25">
      <c r="A29" s="542"/>
      <c r="B29" s="545"/>
      <c r="C29" s="546"/>
      <c r="D29" s="88" t="s">
        <v>31</v>
      </c>
      <c r="E29" s="88" t="s">
        <v>32</v>
      </c>
      <c r="F29" s="88" t="s">
        <v>33</v>
      </c>
      <c r="G29" s="88" t="s">
        <v>34</v>
      </c>
      <c r="H29" s="88" t="s">
        <v>35</v>
      </c>
      <c r="I29" s="88" t="s">
        <v>8</v>
      </c>
      <c r="J29" s="88" t="s">
        <v>36</v>
      </c>
      <c r="K29" s="88" t="s">
        <v>37</v>
      </c>
      <c r="L29" s="88" t="s">
        <v>38</v>
      </c>
      <c r="M29" s="88" t="s">
        <v>39</v>
      </c>
      <c r="N29" s="88" t="s">
        <v>40</v>
      </c>
      <c r="O29" s="88" t="s">
        <v>41</v>
      </c>
      <c r="P29" s="548"/>
      <c r="Q29" s="549"/>
      <c r="R29" s="549"/>
      <c r="S29" s="549"/>
      <c r="T29" s="549"/>
      <c r="U29" s="549"/>
      <c r="V29" s="549"/>
      <c r="W29" s="549"/>
      <c r="X29" s="549"/>
      <c r="Y29" s="549"/>
      <c r="Z29" s="549"/>
      <c r="AA29" s="549"/>
      <c r="AB29" s="549"/>
      <c r="AC29" s="549"/>
      <c r="AD29" s="550"/>
    </row>
    <row r="30" spans="1:53" ht="68.25" customHeight="1" thickBot="1" x14ac:dyDescent="0.3">
      <c r="A30" s="85" t="s">
        <v>139</v>
      </c>
      <c r="B30" s="551"/>
      <c r="C30" s="552"/>
      <c r="D30" s="89"/>
      <c r="E30" s="89"/>
      <c r="F30" s="89"/>
      <c r="G30" s="89"/>
      <c r="H30" s="89"/>
      <c r="I30" s="89"/>
      <c r="J30" s="89"/>
      <c r="K30" s="89"/>
      <c r="L30" s="89"/>
      <c r="M30" s="89"/>
      <c r="N30" s="89"/>
      <c r="O30" s="89"/>
      <c r="P30" s="86">
        <f>SUM(D30:O30)</f>
        <v>0</v>
      </c>
      <c r="Q30" s="553"/>
      <c r="R30" s="553"/>
      <c r="S30" s="553"/>
      <c r="T30" s="553"/>
      <c r="U30" s="553"/>
      <c r="V30" s="553"/>
      <c r="W30" s="553"/>
      <c r="X30" s="553"/>
      <c r="Y30" s="553"/>
      <c r="Z30" s="553"/>
      <c r="AA30" s="553"/>
      <c r="AB30" s="553"/>
      <c r="AC30" s="553"/>
      <c r="AD30" s="554"/>
    </row>
    <row r="31" spans="1:53" ht="45" customHeight="1" thickBot="1" x14ac:dyDescent="0.3">
      <c r="A31" s="555" t="s">
        <v>59</v>
      </c>
      <c r="B31" s="556"/>
      <c r="C31" s="556"/>
      <c r="D31" s="556"/>
      <c r="E31" s="556"/>
      <c r="F31" s="556"/>
      <c r="G31" s="556"/>
      <c r="H31" s="556"/>
      <c r="I31" s="556"/>
      <c r="J31" s="556"/>
      <c r="K31" s="556"/>
      <c r="L31" s="556"/>
      <c r="M31" s="556"/>
      <c r="N31" s="556"/>
      <c r="O31" s="556"/>
      <c r="P31" s="556"/>
      <c r="Q31" s="556"/>
      <c r="R31" s="556"/>
      <c r="S31" s="556"/>
      <c r="T31" s="556"/>
      <c r="U31" s="556"/>
      <c r="V31" s="556"/>
      <c r="W31" s="556"/>
      <c r="X31" s="556"/>
      <c r="Y31" s="556"/>
      <c r="Z31" s="556"/>
      <c r="AA31" s="556"/>
      <c r="AB31" s="556"/>
      <c r="AC31" s="556"/>
      <c r="AD31" s="557"/>
    </row>
    <row r="32" spans="1:53" ht="23.1" customHeight="1" x14ac:dyDescent="0.25">
      <c r="A32" s="512" t="s">
        <v>60</v>
      </c>
      <c r="B32" s="558" t="s">
        <v>61</v>
      </c>
      <c r="C32" s="558" t="s">
        <v>55</v>
      </c>
      <c r="D32" s="561" t="s">
        <v>62</v>
      </c>
      <c r="E32" s="558"/>
      <c r="F32" s="558"/>
      <c r="G32" s="558"/>
      <c r="H32" s="558"/>
      <c r="I32" s="558"/>
      <c r="J32" s="558"/>
      <c r="K32" s="558"/>
      <c r="L32" s="558"/>
      <c r="M32" s="558"/>
      <c r="N32" s="558"/>
      <c r="O32" s="558"/>
      <c r="P32" s="559"/>
      <c r="Q32" s="512" t="s">
        <v>63</v>
      </c>
      <c r="R32" s="558"/>
      <c r="S32" s="558"/>
      <c r="T32" s="558"/>
      <c r="U32" s="558"/>
      <c r="V32" s="558"/>
      <c r="W32" s="558"/>
      <c r="X32" s="558"/>
      <c r="Y32" s="558"/>
      <c r="Z32" s="558"/>
      <c r="AA32" s="558"/>
      <c r="AB32" s="558"/>
      <c r="AC32" s="558"/>
      <c r="AD32" s="559"/>
      <c r="AG32" s="87"/>
      <c r="AH32" s="87"/>
      <c r="AI32" s="87"/>
      <c r="AJ32" s="87"/>
      <c r="AK32" s="87"/>
      <c r="AL32" s="87"/>
      <c r="AM32" s="87"/>
      <c r="AN32" s="87"/>
      <c r="AO32" s="87"/>
    </row>
    <row r="33" spans="1:41" ht="27" customHeight="1" thickBot="1" x14ac:dyDescent="0.3">
      <c r="A33" s="520"/>
      <c r="B33" s="549"/>
      <c r="C33" s="719"/>
      <c r="D33" s="274" t="s">
        <v>31</v>
      </c>
      <c r="E33" s="265" t="s">
        <v>32</v>
      </c>
      <c r="F33" s="265" t="s">
        <v>33</v>
      </c>
      <c r="G33" s="265" t="s">
        <v>34</v>
      </c>
      <c r="H33" s="265" t="s">
        <v>35</v>
      </c>
      <c r="I33" s="265" t="s">
        <v>8</v>
      </c>
      <c r="J33" s="265" t="s">
        <v>36</v>
      </c>
      <c r="K33" s="265" t="s">
        <v>37</v>
      </c>
      <c r="L33" s="265" t="s">
        <v>38</v>
      </c>
      <c r="M33" s="265" t="s">
        <v>39</v>
      </c>
      <c r="N33" s="265" t="s">
        <v>40</v>
      </c>
      <c r="O33" s="265" t="s">
        <v>41</v>
      </c>
      <c r="P33" s="266" t="s">
        <v>42</v>
      </c>
      <c r="Q33" s="522" t="s">
        <v>64</v>
      </c>
      <c r="R33" s="593"/>
      <c r="S33" s="593"/>
      <c r="T33" s="593" t="s">
        <v>65</v>
      </c>
      <c r="U33" s="593"/>
      <c r="V33" s="593"/>
      <c r="W33" s="657" t="s">
        <v>106</v>
      </c>
      <c r="X33" s="510"/>
      <c r="Y33" s="510"/>
      <c r="Z33" s="658"/>
      <c r="AA33" s="657" t="s">
        <v>67</v>
      </c>
      <c r="AB33" s="510"/>
      <c r="AC33" s="510"/>
      <c r="AD33" s="511"/>
      <c r="AG33" s="87"/>
      <c r="AH33" s="87"/>
      <c r="AI33" s="87"/>
      <c r="AJ33" s="87"/>
      <c r="AK33" s="87"/>
      <c r="AL33" s="87"/>
      <c r="AM33" s="87"/>
      <c r="AN33" s="87"/>
      <c r="AO33" s="87"/>
    </row>
    <row r="34" spans="1:41" ht="53.25" customHeight="1" x14ac:dyDescent="0.25">
      <c r="A34" s="684" t="s">
        <v>139</v>
      </c>
      <c r="B34" s="565">
        <v>0.2</v>
      </c>
      <c r="C34" s="102" t="s">
        <v>68</v>
      </c>
      <c r="D34" s="271">
        <f>D69</f>
        <v>0</v>
      </c>
      <c r="E34" s="272">
        <f t="shared" ref="E34:O34" si="0">E69</f>
        <v>9.9750000000000005E-2</v>
      </c>
      <c r="F34" s="272">
        <f t="shared" si="0"/>
        <v>7.5250000000000011E-2</v>
      </c>
      <c r="G34" s="272">
        <f t="shared" si="0"/>
        <v>0.11675000000000001</v>
      </c>
      <c r="H34" s="272">
        <f t="shared" si="0"/>
        <v>7.5250000000000011E-2</v>
      </c>
      <c r="I34" s="272">
        <f t="shared" si="0"/>
        <v>0.11675000000000001</v>
      </c>
      <c r="J34" s="272">
        <f t="shared" si="0"/>
        <v>7.5250000000000011E-2</v>
      </c>
      <c r="K34" s="272">
        <f t="shared" si="0"/>
        <v>0.11675000000000001</v>
      </c>
      <c r="L34" s="272">
        <f t="shared" si="0"/>
        <v>7.5250000000000011E-2</v>
      </c>
      <c r="M34" s="272">
        <f t="shared" si="0"/>
        <v>0.11675000000000001</v>
      </c>
      <c r="N34" s="272">
        <f t="shared" si="0"/>
        <v>7.325000000000001E-2</v>
      </c>
      <c r="O34" s="273">
        <f t="shared" si="0"/>
        <v>5.9000000000000004E-2</v>
      </c>
      <c r="P34" s="267">
        <f>SUM(D34:O34)</f>
        <v>1.0000000000000002</v>
      </c>
      <c r="Q34" s="727" t="s">
        <v>140</v>
      </c>
      <c r="R34" s="727"/>
      <c r="S34" s="732"/>
      <c r="T34" s="727" t="s">
        <v>141</v>
      </c>
      <c r="U34" s="727"/>
      <c r="V34" s="732"/>
      <c r="W34" s="745" t="s">
        <v>142</v>
      </c>
      <c r="X34" s="746"/>
      <c r="Y34" s="746"/>
      <c r="Z34" s="747"/>
      <c r="AA34" s="726"/>
      <c r="AB34" s="727"/>
      <c r="AC34" s="727"/>
      <c r="AD34" s="728"/>
      <c r="AG34" s="87"/>
      <c r="AH34" s="87"/>
      <c r="AI34" s="87"/>
      <c r="AJ34" s="87"/>
      <c r="AK34" s="87"/>
      <c r="AL34" s="87"/>
      <c r="AM34" s="87"/>
      <c r="AN34" s="87"/>
      <c r="AO34" s="87"/>
    </row>
    <row r="35" spans="1:41" ht="53.25" customHeight="1" thickBot="1" x14ac:dyDescent="0.3">
      <c r="A35" s="685"/>
      <c r="B35" s="477"/>
      <c r="C35" s="91" t="s">
        <v>72</v>
      </c>
      <c r="D35" s="269">
        <f>D66</f>
        <v>0</v>
      </c>
      <c r="E35" s="259">
        <f t="shared" ref="E35:O35" si="1">E66</f>
        <v>0.10150000000000001</v>
      </c>
      <c r="F35" s="259">
        <f t="shared" si="1"/>
        <v>7.5250000000000011E-2</v>
      </c>
      <c r="G35" s="259">
        <f t="shared" si="1"/>
        <v>0</v>
      </c>
      <c r="H35" s="259">
        <f t="shared" si="1"/>
        <v>0</v>
      </c>
      <c r="I35" s="259">
        <f t="shared" si="1"/>
        <v>0</v>
      </c>
      <c r="J35" s="259">
        <f t="shared" si="1"/>
        <v>0</v>
      </c>
      <c r="K35" s="259">
        <f t="shared" si="1"/>
        <v>0</v>
      </c>
      <c r="L35" s="259">
        <f t="shared" si="1"/>
        <v>0</v>
      </c>
      <c r="M35" s="259">
        <f t="shared" si="1"/>
        <v>0</v>
      </c>
      <c r="N35" s="259">
        <f t="shared" si="1"/>
        <v>0</v>
      </c>
      <c r="O35" s="260">
        <f t="shared" si="1"/>
        <v>0</v>
      </c>
      <c r="P35" s="268">
        <f>SUM(D35:O35)</f>
        <v>0.17675000000000002</v>
      </c>
      <c r="Q35" s="730"/>
      <c r="R35" s="730"/>
      <c r="S35" s="733"/>
      <c r="T35" s="730"/>
      <c r="U35" s="730"/>
      <c r="V35" s="733"/>
      <c r="W35" s="748"/>
      <c r="X35" s="749"/>
      <c r="Y35" s="749"/>
      <c r="Z35" s="750"/>
      <c r="AA35" s="729"/>
      <c r="AB35" s="730"/>
      <c r="AC35" s="730"/>
      <c r="AD35" s="731"/>
      <c r="AE35" s="49"/>
      <c r="AG35" s="87"/>
      <c r="AH35" s="87"/>
      <c r="AI35" s="87"/>
      <c r="AJ35" s="87"/>
      <c r="AK35" s="87"/>
      <c r="AL35" s="87"/>
      <c r="AM35" s="87"/>
      <c r="AN35" s="87"/>
      <c r="AO35" s="87"/>
    </row>
    <row r="36" spans="1:41" ht="26.1" customHeight="1" x14ac:dyDescent="0.25">
      <c r="A36" s="512" t="s">
        <v>73</v>
      </c>
      <c r="B36" s="558" t="s">
        <v>74</v>
      </c>
      <c r="C36" s="561" t="s">
        <v>75</v>
      </c>
      <c r="D36" s="558"/>
      <c r="E36" s="558"/>
      <c r="F36" s="558"/>
      <c r="G36" s="558"/>
      <c r="H36" s="558"/>
      <c r="I36" s="558"/>
      <c r="J36" s="558"/>
      <c r="K36" s="558"/>
      <c r="L36" s="558"/>
      <c r="M36" s="558"/>
      <c r="N36" s="558"/>
      <c r="O36" s="558"/>
      <c r="P36" s="559"/>
      <c r="Q36" s="594" t="s">
        <v>76</v>
      </c>
      <c r="R36" s="595"/>
      <c r="S36" s="595"/>
      <c r="T36" s="595"/>
      <c r="U36" s="595"/>
      <c r="V36" s="595"/>
      <c r="W36" s="595"/>
      <c r="X36" s="595"/>
      <c r="Y36" s="595"/>
      <c r="Z36" s="595"/>
      <c r="AA36" s="595"/>
      <c r="AB36" s="595"/>
      <c r="AC36" s="595"/>
      <c r="AD36" s="596"/>
      <c r="AG36" s="87"/>
      <c r="AH36" s="87"/>
      <c r="AI36" s="87"/>
      <c r="AJ36" s="87"/>
      <c r="AK36" s="87"/>
      <c r="AL36" s="87"/>
      <c r="AM36" s="87"/>
      <c r="AN36" s="87"/>
      <c r="AO36" s="87"/>
    </row>
    <row r="37" spans="1:41" ht="26.1" customHeight="1" thickBot="1" x14ac:dyDescent="0.3">
      <c r="A37" s="522"/>
      <c r="B37" s="593"/>
      <c r="C37" s="274" t="s">
        <v>77</v>
      </c>
      <c r="D37" s="265" t="s">
        <v>78</v>
      </c>
      <c r="E37" s="265" t="s">
        <v>79</v>
      </c>
      <c r="F37" s="265" t="s">
        <v>80</v>
      </c>
      <c r="G37" s="265" t="s">
        <v>81</v>
      </c>
      <c r="H37" s="265" t="s">
        <v>82</v>
      </c>
      <c r="I37" s="265" t="s">
        <v>83</v>
      </c>
      <c r="J37" s="265" t="s">
        <v>84</v>
      </c>
      <c r="K37" s="265" t="s">
        <v>85</v>
      </c>
      <c r="L37" s="265" t="s">
        <v>86</v>
      </c>
      <c r="M37" s="265" t="s">
        <v>87</v>
      </c>
      <c r="N37" s="265" t="s">
        <v>88</v>
      </c>
      <c r="O37" s="265" t="s">
        <v>89</v>
      </c>
      <c r="P37" s="266" t="s">
        <v>90</v>
      </c>
      <c r="Q37" s="597" t="s">
        <v>91</v>
      </c>
      <c r="R37" s="598"/>
      <c r="S37" s="598"/>
      <c r="T37" s="598"/>
      <c r="U37" s="598"/>
      <c r="V37" s="598"/>
      <c r="W37" s="598"/>
      <c r="X37" s="598"/>
      <c r="Y37" s="598"/>
      <c r="Z37" s="598"/>
      <c r="AA37" s="598"/>
      <c r="AB37" s="598"/>
      <c r="AC37" s="598"/>
      <c r="AD37" s="599"/>
      <c r="AG37" s="94"/>
      <c r="AH37" s="94"/>
      <c r="AI37" s="94"/>
      <c r="AJ37" s="94"/>
      <c r="AK37" s="94"/>
      <c r="AL37" s="94"/>
      <c r="AM37" s="94"/>
      <c r="AN37" s="94"/>
      <c r="AO37" s="94"/>
    </row>
    <row r="38" spans="1:41" ht="46.5" customHeight="1" x14ac:dyDescent="0.25">
      <c r="A38" s="738" t="s">
        <v>143</v>
      </c>
      <c r="B38" s="601">
        <v>0.08</v>
      </c>
      <c r="C38" s="224" t="s">
        <v>68</v>
      </c>
      <c r="D38" s="282">
        <v>0</v>
      </c>
      <c r="E38" s="282">
        <v>0.06</v>
      </c>
      <c r="F38" s="206">
        <v>0.105</v>
      </c>
      <c r="G38" s="206">
        <v>0.105</v>
      </c>
      <c r="H38" s="206">
        <v>0.105</v>
      </c>
      <c r="I38" s="206">
        <v>0.105</v>
      </c>
      <c r="J38" s="206">
        <v>0.105</v>
      </c>
      <c r="K38" s="206">
        <v>0.105</v>
      </c>
      <c r="L38" s="206">
        <v>0.105</v>
      </c>
      <c r="M38" s="206">
        <v>0.105</v>
      </c>
      <c r="N38" s="206">
        <v>0.1</v>
      </c>
      <c r="O38" s="206">
        <v>0</v>
      </c>
      <c r="P38" s="262">
        <f t="shared" ref="P38:P43" si="2">SUM(D38:O38)</f>
        <v>0.99999999999999989</v>
      </c>
      <c r="Q38" s="722" t="s">
        <v>144</v>
      </c>
      <c r="R38" s="722"/>
      <c r="S38" s="722"/>
      <c r="T38" s="722"/>
      <c r="U38" s="722"/>
      <c r="V38" s="722"/>
      <c r="W38" s="722"/>
      <c r="X38" s="722"/>
      <c r="Y38" s="722"/>
      <c r="Z38" s="722"/>
      <c r="AA38" s="722"/>
      <c r="AB38" s="722"/>
      <c r="AC38" s="722"/>
      <c r="AD38" s="723"/>
      <c r="AE38" s="97"/>
      <c r="AG38" s="98"/>
      <c r="AH38" s="98"/>
      <c r="AI38" s="98"/>
      <c r="AJ38" s="98"/>
      <c r="AK38" s="98"/>
      <c r="AL38" s="98"/>
      <c r="AM38" s="98"/>
      <c r="AN38" s="98"/>
      <c r="AO38" s="98"/>
    </row>
    <row r="39" spans="1:41" ht="46.5" customHeight="1" x14ac:dyDescent="0.25">
      <c r="A39" s="668"/>
      <c r="B39" s="602"/>
      <c r="C39" s="225" t="s">
        <v>72</v>
      </c>
      <c r="D39" s="287"/>
      <c r="E39" s="283">
        <v>0.06</v>
      </c>
      <c r="F39" s="283">
        <v>0.105</v>
      </c>
      <c r="G39" s="100"/>
      <c r="H39" s="100"/>
      <c r="I39" s="100"/>
      <c r="J39" s="100"/>
      <c r="K39" s="100"/>
      <c r="L39" s="100"/>
      <c r="M39" s="100"/>
      <c r="N39" s="100"/>
      <c r="O39" s="100"/>
      <c r="P39" s="263">
        <f t="shared" si="2"/>
        <v>0.16499999999999998</v>
      </c>
      <c r="Q39" s="722"/>
      <c r="R39" s="722"/>
      <c r="S39" s="722"/>
      <c r="T39" s="722"/>
      <c r="U39" s="722"/>
      <c r="V39" s="722"/>
      <c r="W39" s="722"/>
      <c r="X39" s="722"/>
      <c r="Y39" s="722"/>
      <c r="Z39" s="722"/>
      <c r="AA39" s="722"/>
      <c r="AB39" s="722"/>
      <c r="AC39" s="722"/>
      <c r="AD39" s="723"/>
      <c r="AE39" s="97"/>
    </row>
    <row r="40" spans="1:41" ht="46.5" customHeight="1" x14ac:dyDescent="0.25">
      <c r="A40" s="659" t="s">
        <v>145</v>
      </c>
      <c r="B40" s="584">
        <v>7.0000000000000007E-2</v>
      </c>
      <c r="C40" s="226" t="s">
        <v>68</v>
      </c>
      <c r="D40" s="288">
        <v>0</v>
      </c>
      <c r="E40" s="220">
        <v>9.5000000000000001E-2</v>
      </c>
      <c r="F40" s="220">
        <v>9.5000000000000001E-2</v>
      </c>
      <c r="G40" s="220">
        <v>9.5000000000000001E-2</v>
      </c>
      <c r="H40" s="220">
        <v>9.5000000000000001E-2</v>
      </c>
      <c r="I40" s="220">
        <v>9.5000000000000001E-2</v>
      </c>
      <c r="J40" s="220">
        <v>9.5000000000000001E-2</v>
      </c>
      <c r="K40" s="220">
        <v>9.5000000000000001E-2</v>
      </c>
      <c r="L40" s="220">
        <v>9.5000000000000001E-2</v>
      </c>
      <c r="M40" s="220">
        <v>9.5000000000000001E-2</v>
      </c>
      <c r="N40" s="220">
        <v>9.5000000000000001E-2</v>
      </c>
      <c r="O40" s="220">
        <v>0.05</v>
      </c>
      <c r="P40" s="263">
        <f t="shared" si="2"/>
        <v>0.99999999999999989</v>
      </c>
      <c r="Q40" s="743" t="s">
        <v>146</v>
      </c>
      <c r="R40" s="743"/>
      <c r="S40" s="743"/>
      <c r="T40" s="743"/>
      <c r="U40" s="743"/>
      <c r="V40" s="743"/>
      <c r="W40" s="743"/>
      <c r="X40" s="743"/>
      <c r="Y40" s="743"/>
      <c r="Z40" s="743"/>
      <c r="AA40" s="743"/>
      <c r="AB40" s="743"/>
      <c r="AC40" s="743"/>
      <c r="AD40" s="744"/>
      <c r="AE40" s="97"/>
    </row>
    <row r="41" spans="1:41" ht="46.5" customHeight="1" x14ac:dyDescent="0.25">
      <c r="A41" s="668"/>
      <c r="B41" s="602"/>
      <c r="C41" s="225" t="s">
        <v>72</v>
      </c>
      <c r="D41" s="287"/>
      <c r="E41" s="283">
        <v>0.1</v>
      </c>
      <c r="F41" s="283">
        <v>9.5000000000000001E-2</v>
      </c>
      <c r="G41" s="100"/>
      <c r="H41" s="100"/>
      <c r="I41" s="100"/>
      <c r="J41" s="100"/>
      <c r="K41" s="100"/>
      <c r="L41" s="100"/>
      <c r="M41" s="100"/>
      <c r="N41" s="100"/>
      <c r="O41" s="100"/>
      <c r="P41" s="263">
        <f t="shared" si="2"/>
        <v>0.19500000000000001</v>
      </c>
      <c r="Q41" s="722"/>
      <c r="R41" s="722"/>
      <c r="S41" s="722"/>
      <c r="T41" s="722"/>
      <c r="U41" s="722"/>
      <c r="V41" s="722"/>
      <c r="W41" s="722"/>
      <c r="X41" s="722"/>
      <c r="Y41" s="722"/>
      <c r="Z41" s="722"/>
      <c r="AA41" s="722"/>
      <c r="AB41" s="722"/>
      <c r="AC41" s="722"/>
      <c r="AD41" s="723"/>
      <c r="AE41" s="97"/>
    </row>
    <row r="42" spans="1:41" ht="46.5" customHeight="1" x14ac:dyDescent="0.25">
      <c r="A42" s="693" t="s">
        <v>147</v>
      </c>
      <c r="B42" s="601">
        <v>0.05</v>
      </c>
      <c r="C42" s="226" t="s">
        <v>68</v>
      </c>
      <c r="D42" s="288">
        <v>0</v>
      </c>
      <c r="E42" s="288">
        <v>0.17</v>
      </c>
      <c r="F42" s="220">
        <v>0</v>
      </c>
      <c r="G42" s="220">
        <v>0.16600000000000001</v>
      </c>
      <c r="H42" s="220">
        <v>0</v>
      </c>
      <c r="I42" s="220">
        <v>0.16600000000000001</v>
      </c>
      <c r="J42" s="220">
        <v>0</v>
      </c>
      <c r="K42" s="220">
        <v>0.16600000000000001</v>
      </c>
      <c r="L42" s="220">
        <v>0</v>
      </c>
      <c r="M42" s="220">
        <v>0.16600000000000001</v>
      </c>
      <c r="N42" s="220">
        <v>0</v>
      </c>
      <c r="O42" s="220">
        <v>0.16600000000000001</v>
      </c>
      <c r="P42" s="263">
        <f t="shared" si="2"/>
        <v>1</v>
      </c>
      <c r="Q42" s="739" t="s">
        <v>148</v>
      </c>
      <c r="R42" s="739"/>
      <c r="S42" s="739"/>
      <c r="T42" s="739"/>
      <c r="U42" s="739"/>
      <c r="V42" s="739"/>
      <c r="W42" s="739"/>
      <c r="X42" s="739"/>
      <c r="Y42" s="739"/>
      <c r="Z42" s="739"/>
      <c r="AA42" s="739"/>
      <c r="AB42" s="739"/>
      <c r="AC42" s="739"/>
      <c r="AD42" s="740"/>
      <c r="AE42" s="97"/>
    </row>
    <row r="43" spans="1:41" ht="46.5" customHeight="1" thickBot="1" x14ac:dyDescent="0.3">
      <c r="A43" s="694"/>
      <c r="B43" s="585"/>
      <c r="C43" s="280" t="s">
        <v>72</v>
      </c>
      <c r="D43" s="291"/>
      <c r="E43" s="284">
        <v>0.17</v>
      </c>
      <c r="F43" s="105">
        <v>0</v>
      </c>
      <c r="G43" s="105"/>
      <c r="H43" s="105"/>
      <c r="I43" s="105"/>
      <c r="J43" s="105"/>
      <c r="K43" s="105"/>
      <c r="L43" s="105"/>
      <c r="M43" s="105"/>
      <c r="N43" s="105"/>
      <c r="O43" s="105"/>
      <c r="P43" s="264">
        <f t="shared" si="2"/>
        <v>0.17</v>
      </c>
      <c r="Q43" s="741"/>
      <c r="R43" s="741"/>
      <c r="S43" s="741"/>
      <c r="T43" s="741"/>
      <c r="U43" s="741"/>
      <c r="V43" s="741"/>
      <c r="W43" s="741"/>
      <c r="X43" s="741"/>
      <c r="Y43" s="741"/>
      <c r="Z43" s="741"/>
      <c r="AA43" s="741"/>
      <c r="AB43" s="741"/>
      <c r="AC43" s="741"/>
      <c r="AD43" s="742"/>
      <c r="AE43" s="97"/>
    </row>
    <row r="44" spans="1:41" x14ac:dyDescent="0.25">
      <c r="A44" s="50" t="s">
        <v>95</v>
      </c>
    </row>
    <row r="55" spans="1:30" x14ac:dyDescent="0.25">
      <c r="A55" s="613" t="s">
        <v>96</v>
      </c>
      <c r="B55" s="615" t="s">
        <v>74</v>
      </c>
      <c r="C55" s="617" t="s">
        <v>75</v>
      </c>
      <c r="D55" s="618"/>
      <c r="E55" s="618"/>
      <c r="F55" s="618"/>
      <c r="G55" s="618"/>
      <c r="H55" s="618"/>
      <c r="I55" s="618"/>
      <c r="J55" s="618"/>
      <c r="K55" s="618"/>
      <c r="L55" s="618"/>
      <c r="M55" s="618"/>
      <c r="N55" s="618"/>
      <c r="O55" s="618"/>
      <c r="P55" s="619"/>
      <c r="Q55" s="228"/>
      <c r="R55" s="228"/>
      <c r="S55" s="229"/>
      <c r="T55" s="229"/>
      <c r="U55" s="229"/>
      <c r="V55" s="229"/>
      <c r="W55" s="229"/>
      <c r="X55" s="229"/>
      <c r="Y55" s="229"/>
      <c r="Z55" s="229"/>
      <c r="AA55" s="229"/>
      <c r="AB55" s="229"/>
      <c r="AC55" s="229"/>
      <c r="AD55" s="229"/>
    </row>
    <row r="56" spans="1:30" ht="21" x14ac:dyDescent="0.25">
      <c r="A56" s="614"/>
      <c r="B56" s="616"/>
      <c r="C56" s="230" t="s">
        <v>77</v>
      </c>
      <c r="D56" s="230" t="s">
        <v>78</v>
      </c>
      <c r="E56" s="230" t="s">
        <v>79</v>
      </c>
      <c r="F56" s="230" t="s">
        <v>80</v>
      </c>
      <c r="G56" s="230" t="s">
        <v>81</v>
      </c>
      <c r="H56" s="230" t="s">
        <v>82</v>
      </c>
      <c r="I56" s="230" t="s">
        <v>83</v>
      </c>
      <c r="J56" s="230" t="s">
        <v>84</v>
      </c>
      <c r="K56" s="230" t="s">
        <v>85</v>
      </c>
      <c r="L56" s="230" t="s">
        <v>86</v>
      </c>
      <c r="M56" s="230" t="s">
        <v>87</v>
      </c>
      <c r="N56" s="230" t="s">
        <v>88</v>
      </c>
      <c r="O56" s="230" t="s">
        <v>89</v>
      </c>
      <c r="P56" s="230" t="s">
        <v>90</v>
      </c>
      <c r="Q56" s="228"/>
      <c r="R56" s="228"/>
      <c r="S56" s="229"/>
      <c r="T56" s="229"/>
      <c r="U56" s="229"/>
      <c r="V56" s="229"/>
      <c r="W56" s="229"/>
      <c r="X56" s="229"/>
      <c r="Y56" s="229"/>
      <c r="Z56" s="229"/>
      <c r="AA56" s="229"/>
      <c r="AB56" s="229"/>
      <c r="AC56" s="229"/>
      <c r="AD56" s="229"/>
    </row>
    <row r="57" spans="1:30" x14ac:dyDescent="0.25">
      <c r="A57" s="620" t="str">
        <f>A38</f>
        <v xml:space="preserve">13. Implementar los talleres de cambio cultural </v>
      </c>
      <c r="B57" s="622">
        <f>B38</f>
        <v>0.08</v>
      </c>
      <c r="C57" s="231" t="s">
        <v>68</v>
      </c>
      <c r="D57" s="232">
        <f>D38*$B$38/$P$38</f>
        <v>0</v>
      </c>
      <c r="E57" s="232">
        <f t="shared" ref="D57:O58" si="3">E38*$B$38/$P$38</f>
        <v>4.8000000000000004E-3</v>
      </c>
      <c r="F57" s="232">
        <f t="shared" si="3"/>
        <v>8.4000000000000012E-3</v>
      </c>
      <c r="G57" s="232">
        <f t="shared" si="3"/>
        <v>8.4000000000000012E-3</v>
      </c>
      <c r="H57" s="232">
        <f t="shared" si="3"/>
        <v>8.4000000000000012E-3</v>
      </c>
      <c r="I57" s="232">
        <f t="shared" si="3"/>
        <v>8.4000000000000012E-3</v>
      </c>
      <c r="J57" s="232">
        <f t="shared" si="3"/>
        <v>8.4000000000000012E-3</v>
      </c>
      <c r="K57" s="232">
        <f t="shared" si="3"/>
        <v>8.4000000000000012E-3</v>
      </c>
      <c r="L57" s="232">
        <f t="shared" si="3"/>
        <v>8.4000000000000012E-3</v>
      </c>
      <c r="M57" s="232">
        <f t="shared" si="3"/>
        <v>8.4000000000000012E-3</v>
      </c>
      <c r="N57" s="232">
        <f t="shared" si="3"/>
        <v>8.0000000000000019E-3</v>
      </c>
      <c r="O57" s="232">
        <f t="shared" si="3"/>
        <v>0</v>
      </c>
      <c r="P57" s="233">
        <f t="shared" ref="P57:P62" si="4">SUM(D57:O57)</f>
        <v>8.0000000000000029E-2</v>
      </c>
      <c r="Q57" s="234">
        <v>0.05</v>
      </c>
      <c r="R57" s="235">
        <f t="shared" ref="R57:R65" si="5">+P57-Q57</f>
        <v>3.0000000000000027E-2</v>
      </c>
      <c r="S57" s="229"/>
      <c r="T57" s="229"/>
      <c r="U57" s="229"/>
      <c r="V57" s="229"/>
      <c r="W57" s="229"/>
      <c r="X57" s="229"/>
      <c r="Y57" s="229"/>
      <c r="Z57" s="229"/>
      <c r="AA57" s="229"/>
      <c r="AB57" s="229"/>
      <c r="AC57" s="229"/>
      <c r="AD57" s="229"/>
    </row>
    <row r="58" spans="1:30" x14ac:dyDescent="0.25">
      <c r="A58" s="621"/>
      <c r="B58" s="623"/>
      <c r="C58" s="236" t="s">
        <v>72</v>
      </c>
      <c r="D58" s="237">
        <f t="shared" si="3"/>
        <v>0</v>
      </c>
      <c r="E58" s="237">
        <f t="shared" si="3"/>
        <v>4.8000000000000004E-3</v>
      </c>
      <c r="F58" s="237">
        <f t="shared" si="3"/>
        <v>8.4000000000000012E-3</v>
      </c>
      <c r="G58" s="237">
        <f t="shared" si="3"/>
        <v>0</v>
      </c>
      <c r="H58" s="237">
        <f t="shared" si="3"/>
        <v>0</v>
      </c>
      <c r="I58" s="237">
        <f t="shared" si="3"/>
        <v>0</v>
      </c>
      <c r="J58" s="237">
        <f t="shared" si="3"/>
        <v>0</v>
      </c>
      <c r="K58" s="237">
        <f t="shared" si="3"/>
        <v>0</v>
      </c>
      <c r="L58" s="237">
        <f t="shared" si="3"/>
        <v>0</v>
      </c>
      <c r="M58" s="237">
        <f t="shared" si="3"/>
        <v>0</v>
      </c>
      <c r="N58" s="237">
        <f t="shared" si="3"/>
        <v>0</v>
      </c>
      <c r="O58" s="237">
        <f t="shared" si="3"/>
        <v>0</v>
      </c>
      <c r="P58" s="238">
        <f t="shared" si="4"/>
        <v>1.3200000000000002E-2</v>
      </c>
      <c r="Q58" s="239">
        <f>+P58</f>
        <v>1.3200000000000002E-2</v>
      </c>
      <c r="R58" s="235">
        <f t="shared" si="5"/>
        <v>0</v>
      </c>
      <c r="S58" s="229"/>
      <c r="T58" s="229"/>
      <c r="U58" s="229"/>
      <c r="V58" s="229"/>
      <c r="W58" s="229"/>
      <c r="X58" s="229"/>
      <c r="Y58" s="229"/>
      <c r="Z58" s="229"/>
      <c r="AA58" s="229"/>
      <c r="AB58" s="229"/>
      <c r="AC58" s="229"/>
      <c r="AD58" s="229"/>
    </row>
    <row r="59" spans="1:30" x14ac:dyDescent="0.25">
      <c r="A59" s="620" t="str">
        <f>A40</f>
        <v>14. Implementar la Red de Alianzas del Cuidado</v>
      </c>
      <c r="B59" s="625">
        <f>B40</f>
        <v>7.0000000000000007E-2</v>
      </c>
      <c r="C59" s="231" t="s">
        <v>68</v>
      </c>
      <c r="D59" s="232">
        <f t="shared" ref="D59:O60" si="6">D40*$B$40/$P$40</f>
        <v>0</v>
      </c>
      <c r="E59" s="232">
        <f t="shared" si="6"/>
        <v>6.6500000000000014E-3</v>
      </c>
      <c r="F59" s="232">
        <f t="shared" si="6"/>
        <v>6.6500000000000014E-3</v>
      </c>
      <c r="G59" s="232">
        <f t="shared" si="6"/>
        <v>6.6500000000000014E-3</v>
      </c>
      <c r="H59" s="232">
        <f t="shared" si="6"/>
        <v>6.6500000000000014E-3</v>
      </c>
      <c r="I59" s="232">
        <f t="shared" si="6"/>
        <v>6.6500000000000014E-3</v>
      </c>
      <c r="J59" s="232">
        <f t="shared" si="6"/>
        <v>6.6500000000000014E-3</v>
      </c>
      <c r="K59" s="232">
        <f t="shared" si="6"/>
        <v>6.6500000000000014E-3</v>
      </c>
      <c r="L59" s="232">
        <f t="shared" si="6"/>
        <v>6.6500000000000014E-3</v>
      </c>
      <c r="M59" s="232">
        <f t="shared" si="6"/>
        <v>6.6500000000000014E-3</v>
      </c>
      <c r="N59" s="232">
        <f t="shared" si="6"/>
        <v>6.6500000000000014E-3</v>
      </c>
      <c r="O59" s="232">
        <f t="shared" si="6"/>
        <v>3.5000000000000009E-3</v>
      </c>
      <c r="P59" s="233">
        <f t="shared" si="4"/>
        <v>7.0000000000000021E-2</v>
      </c>
      <c r="Q59" s="234">
        <v>2.5000000000000001E-2</v>
      </c>
      <c r="R59" s="235">
        <f t="shared" si="5"/>
        <v>4.5000000000000019E-2</v>
      </c>
      <c r="S59" s="229"/>
      <c r="T59" s="229"/>
      <c r="U59" s="229"/>
      <c r="V59" s="229"/>
      <c r="W59" s="229"/>
      <c r="X59" s="229"/>
      <c r="Y59" s="229"/>
      <c r="Z59" s="229"/>
      <c r="AA59" s="229"/>
      <c r="AB59" s="229"/>
      <c r="AC59" s="229"/>
      <c r="AD59" s="229"/>
    </row>
    <row r="60" spans="1:30" x14ac:dyDescent="0.25">
      <c r="A60" s="624"/>
      <c r="B60" s="626"/>
      <c r="C60" s="236" t="s">
        <v>72</v>
      </c>
      <c r="D60" s="237">
        <f t="shared" si="6"/>
        <v>0</v>
      </c>
      <c r="E60" s="237">
        <f t="shared" si="6"/>
        <v>7.0000000000000019E-3</v>
      </c>
      <c r="F60" s="237">
        <f t="shared" si="6"/>
        <v>6.6500000000000014E-3</v>
      </c>
      <c r="G60" s="237">
        <f t="shared" si="6"/>
        <v>0</v>
      </c>
      <c r="H60" s="237">
        <f t="shared" si="6"/>
        <v>0</v>
      </c>
      <c r="I60" s="237">
        <f t="shared" si="6"/>
        <v>0</v>
      </c>
      <c r="J60" s="237">
        <f t="shared" si="6"/>
        <v>0</v>
      </c>
      <c r="K60" s="237">
        <f t="shared" si="6"/>
        <v>0</v>
      </c>
      <c r="L60" s="237">
        <f t="shared" si="6"/>
        <v>0</v>
      </c>
      <c r="M60" s="237">
        <f t="shared" si="6"/>
        <v>0</v>
      </c>
      <c r="N60" s="237">
        <f t="shared" si="6"/>
        <v>0</v>
      </c>
      <c r="O60" s="237">
        <f t="shared" si="6"/>
        <v>0</v>
      </c>
      <c r="P60" s="238">
        <f t="shared" si="4"/>
        <v>1.3650000000000002E-2</v>
      </c>
      <c r="Q60" s="239">
        <f>+P60</f>
        <v>1.3650000000000002E-2</v>
      </c>
      <c r="R60" s="235">
        <f t="shared" si="5"/>
        <v>0</v>
      </c>
      <c r="S60" s="229"/>
      <c r="T60" s="229"/>
      <c r="U60" s="229"/>
      <c r="V60" s="229"/>
      <c r="W60" s="229"/>
      <c r="X60" s="229"/>
      <c r="Y60" s="229"/>
      <c r="Z60" s="229"/>
      <c r="AA60" s="229"/>
      <c r="AB60" s="229"/>
      <c r="AC60" s="229"/>
      <c r="AD60" s="229"/>
    </row>
    <row r="61" spans="1:30" x14ac:dyDescent="0.25">
      <c r="A61" s="620" t="str">
        <f>A42</f>
        <v>15. Convocar y gestionar las sesiones de la Mesa de Transformación Cultural de la Unidad Técnica de Apoyo de la Comisión Intersectorial del Sistema de Cuidado</v>
      </c>
      <c r="B61" s="625">
        <f>B42</f>
        <v>0.05</v>
      </c>
      <c r="C61" s="231" t="s">
        <v>68</v>
      </c>
      <c r="D61" s="232">
        <f t="shared" ref="D61:O62" si="7">D42*$B$42/$P$42</f>
        <v>0</v>
      </c>
      <c r="E61" s="232">
        <f t="shared" si="7"/>
        <v>8.5000000000000006E-3</v>
      </c>
      <c r="F61" s="232">
        <f t="shared" si="7"/>
        <v>0</v>
      </c>
      <c r="G61" s="232">
        <f t="shared" si="7"/>
        <v>8.3000000000000001E-3</v>
      </c>
      <c r="H61" s="232">
        <f t="shared" si="7"/>
        <v>0</v>
      </c>
      <c r="I61" s="232">
        <f t="shared" si="7"/>
        <v>8.3000000000000001E-3</v>
      </c>
      <c r="J61" s="232">
        <f t="shared" si="7"/>
        <v>0</v>
      </c>
      <c r="K61" s="232">
        <f t="shared" si="7"/>
        <v>8.3000000000000001E-3</v>
      </c>
      <c r="L61" s="232">
        <f t="shared" si="7"/>
        <v>0</v>
      </c>
      <c r="M61" s="232">
        <f t="shared" si="7"/>
        <v>8.3000000000000001E-3</v>
      </c>
      <c r="N61" s="232">
        <f t="shared" si="7"/>
        <v>0</v>
      </c>
      <c r="O61" s="232">
        <f t="shared" si="7"/>
        <v>8.3000000000000001E-3</v>
      </c>
      <c r="P61" s="233">
        <f t="shared" si="4"/>
        <v>5.000000000000001E-2</v>
      </c>
      <c r="Q61" s="234">
        <v>2.5000000000000001E-2</v>
      </c>
      <c r="R61" s="235">
        <f t="shared" si="5"/>
        <v>2.5000000000000008E-2</v>
      </c>
      <c r="S61" s="229"/>
      <c r="T61" s="229"/>
      <c r="U61" s="229"/>
      <c r="V61" s="229"/>
      <c r="W61" s="229"/>
      <c r="X61" s="229"/>
      <c r="Y61" s="229"/>
      <c r="Z61" s="229"/>
      <c r="AA61" s="229"/>
      <c r="AB61" s="229"/>
      <c r="AC61" s="229"/>
      <c r="AD61" s="229"/>
    </row>
    <row r="62" spans="1:30" x14ac:dyDescent="0.25">
      <c r="A62" s="624"/>
      <c r="B62" s="626"/>
      <c r="C62" s="236" t="s">
        <v>72</v>
      </c>
      <c r="D62" s="237">
        <f t="shared" si="7"/>
        <v>0</v>
      </c>
      <c r="E62" s="237">
        <f t="shared" si="7"/>
        <v>8.5000000000000006E-3</v>
      </c>
      <c r="F62" s="237">
        <f t="shared" si="7"/>
        <v>0</v>
      </c>
      <c r="G62" s="237">
        <f t="shared" si="7"/>
        <v>0</v>
      </c>
      <c r="H62" s="237">
        <f t="shared" si="7"/>
        <v>0</v>
      </c>
      <c r="I62" s="237">
        <f t="shared" si="7"/>
        <v>0</v>
      </c>
      <c r="J62" s="237">
        <f t="shared" si="7"/>
        <v>0</v>
      </c>
      <c r="K62" s="237">
        <f t="shared" si="7"/>
        <v>0</v>
      </c>
      <c r="L62" s="237">
        <f t="shared" si="7"/>
        <v>0</v>
      </c>
      <c r="M62" s="237">
        <f t="shared" si="7"/>
        <v>0</v>
      </c>
      <c r="N62" s="237">
        <f t="shared" si="7"/>
        <v>0</v>
      </c>
      <c r="O62" s="237">
        <f t="shared" si="7"/>
        <v>0</v>
      </c>
      <c r="P62" s="238">
        <f t="shared" si="4"/>
        <v>8.5000000000000006E-3</v>
      </c>
      <c r="Q62" s="239">
        <f>+P62</f>
        <v>8.5000000000000006E-3</v>
      </c>
      <c r="R62" s="235">
        <f t="shared" si="5"/>
        <v>0</v>
      </c>
      <c r="S62" s="229"/>
      <c r="T62" s="229"/>
      <c r="U62" s="229"/>
      <c r="V62" s="229"/>
      <c r="W62" s="229"/>
      <c r="X62" s="229"/>
      <c r="Y62" s="229"/>
      <c r="Z62" s="229"/>
      <c r="AA62" s="229"/>
      <c r="AB62" s="229"/>
      <c r="AC62" s="229"/>
      <c r="AD62" s="229"/>
    </row>
    <row r="63" spans="1:30" x14ac:dyDescent="0.25">
      <c r="A63" s="241"/>
      <c r="B63" s="242"/>
      <c r="C63" s="243"/>
      <c r="D63" s="232"/>
      <c r="E63" s="232"/>
      <c r="F63" s="232"/>
      <c r="G63" s="232"/>
      <c r="H63" s="232"/>
      <c r="I63" s="232"/>
      <c r="J63" s="232"/>
      <c r="K63" s="232"/>
      <c r="L63" s="232"/>
      <c r="M63" s="232"/>
      <c r="N63" s="232"/>
      <c r="O63" s="232"/>
      <c r="P63" s="244"/>
      <c r="Q63" s="234"/>
      <c r="R63" s="235"/>
      <c r="S63" s="229"/>
      <c r="T63" s="229"/>
      <c r="U63" s="229"/>
      <c r="V63" s="229"/>
      <c r="W63" s="229"/>
      <c r="X63" s="229"/>
      <c r="Y63" s="229"/>
      <c r="Z63" s="229"/>
      <c r="AA63" s="229"/>
      <c r="AB63" s="229"/>
      <c r="AC63" s="229"/>
      <c r="AD63" s="229"/>
    </row>
    <row r="64" spans="1:30" x14ac:dyDescent="0.25">
      <c r="A64" s="245"/>
      <c r="B64" s="246"/>
      <c r="C64" s="243"/>
      <c r="D64" s="247"/>
      <c r="E64" s="247"/>
      <c r="F64" s="247"/>
      <c r="G64" s="247"/>
      <c r="H64" s="247"/>
      <c r="I64" s="247"/>
      <c r="J64" s="247"/>
      <c r="K64" s="247"/>
      <c r="L64" s="247"/>
      <c r="M64" s="247"/>
      <c r="N64" s="247"/>
      <c r="O64" s="247"/>
      <c r="P64" s="244"/>
      <c r="Q64" s="239"/>
      <c r="R64" s="235"/>
      <c r="S64" s="229"/>
      <c r="T64" s="229"/>
      <c r="U64" s="229"/>
      <c r="V64" s="229"/>
      <c r="W64" s="229"/>
      <c r="X64" s="229"/>
      <c r="Y64" s="229"/>
      <c r="Z64" s="229"/>
      <c r="AA64" s="229"/>
      <c r="AB64" s="229"/>
      <c r="AC64" s="229"/>
      <c r="AD64" s="229"/>
    </row>
    <row r="65" spans="1:30" x14ac:dyDescent="0.25">
      <c r="A65" s="228"/>
      <c r="B65" s="248"/>
      <c r="C65" s="249"/>
      <c r="D65" s="250">
        <f>D58+D60+D62</f>
        <v>0</v>
      </c>
      <c r="E65" s="250">
        <f t="shared" ref="E65:O65" si="8">E58+E60+E62</f>
        <v>2.0300000000000002E-2</v>
      </c>
      <c r="F65" s="250">
        <f t="shared" si="8"/>
        <v>1.5050000000000003E-2</v>
      </c>
      <c r="G65" s="250">
        <f t="shared" si="8"/>
        <v>0</v>
      </c>
      <c r="H65" s="250">
        <f t="shared" si="8"/>
        <v>0</v>
      </c>
      <c r="I65" s="250">
        <f t="shared" si="8"/>
        <v>0</v>
      </c>
      <c r="J65" s="250">
        <f t="shared" si="8"/>
        <v>0</v>
      </c>
      <c r="K65" s="250">
        <f t="shared" si="8"/>
        <v>0</v>
      </c>
      <c r="L65" s="250">
        <f t="shared" si="8"/>
        <v>0</v>
      </c>
      <c r="M65" s="250">
        <f t="shared" si="8"/>
        <v>0</v>
      </c>
      <c r="N65" s="250">
        <f t="shared" si="8"/>
        <v>0</v>
      </c>
      <c r="O65" s="250">
        <f t="shared" si="8"/>
        <v>0</v>
      </c>
      <c r="P65" s="250">
        <f>P58+P60+P62</f>
        <v>3.5350000000000006E-2</v>
      </c>
      <c r="Q65" s="228"/>
      <c r="R65" s="235">
        <f t="shared" si="5"/>
        <v>3.5350000000000006E-2</v>
      </c>
      <c r="S65" s="229"/>
      <c r="T65" s="229"/>
      <c r="U65" s="229"/>
      <c r="V65" s="229"/>
      <c r="W65" s="229"/>
      <c r="X65" s="229"/>
      <c r="Y65" s="229"/>
      <c r="Z65" s="229"/>
      <c r="AA65" s="229"/>
      <c r="AB65" s="229"/>
      <c r="AC65" s="229"/>
      <c r="AD65" s="229"/>
    </row>
    <row r="66" spans="1:30" x14ac:dyDescent="0.25">
      <c r="A66" s="228"/>
      <c r="B66" s="251"/>
      <c r="C66" s="252" t="s">
        <v>72</v>
      </c>
      <c r="D66" s="253">
        <f>D65*$W$17/$B$34</f>
        <v>0</v>
      </c>
      <c r="E66" s="253">
        <f t="shared" ref="E66:O66" si="9">E65*$W$17/$B$34</f>
        <v>0.10150000000000001</v>
      </c>
      <c r="F66" s="253">
        <f t="shared" si="9"/>
        <v>7.5250000000000011E-2</v>
      </c>
      <c r="G66" s="253">
        <f t="shared" si="9"/>
        <v>0</v>
      </c>
      <c r="H66" s="253">
        <f t="shared" si="9"/>
        <v>0</v>
      </c>
      <c r="I66" s="253">
        <f t="shared" si="9"/>
        <v>0</v>
      </c>
      <c r="J66" s="253">
        <f t="shared" si="9"/>
        <v>0</v>
      </c>
      <c r="K66" s="253">
        <f t="shared" si="9"/>
        <v>0</v>
      </c>
      <c r="L66" s="253">
        <f t="shared" si="9"/>
        <v>0</v>
      </c>
      <c r="M66" s="253">
        <f t="shared" si="9"/>
        <v>0</v>
      </c>
      <c r="N66" s="253">
        <f t="shared" si="9"/>
        <v>0</v>
      </c>
      <c r="O66" s="253">
        <f t="shared" si="9"/>
        <v>0</v>
      </c>
      <c r="P66" s="254">
        <f>SUM(D66:O66)</f>
        <v>0.17675000000000002</v>
      </c>
      <c r="Q66" s="255"/>
      <c r="R66" s="228"/>
      <c r="S66" s="229"/>
      <c r="T66" s="229"/>
      <c r="U66" s="229"/>
      <c r="V66" s="229"/>
      <c r="W66" s="229"/>
      <c r="X66" s="229"/>
      <c r="Y66" s="229"/>
      <c r="Z66" s="229"/>
      <c r="AA66" s="229"/>
      <c r="AB66" s="229"/>
      <c r="AC66" s="229"/>
      <c r="AD66" s="229"/>
    </row>
    <row r="67" spans="1:30" x14ac:dyDescent="0.25">
      <c r="A67" s="255"/>
      <c r="B67" s="256"/>
      <c r="C67" s="256"/>
      <c r="D67" s="256"/>
      <c r="E67" s="256"/>
      <c r="F67" s="256"/>
      <c r="G67" s="256"/>
      <c r="H67" s="256"/>
      <c r="I67" s="256"/>
      <c r="J67" s="256"/>
      <c r="K67" s="256"/>
      <c r="L67" s="256"/>
      <c r="M67" s="256"/>
      <c r="N67" s="256"/>
      <c r="O67" s="256"/>
      <c r="P67" s="256"/>
      <c r="Q67" s="255"/>
      <c r="R67" s="255"/>
      <c r="S67" s="229"/>
      <c r="T67" s="229"/>
      <c r="U67" s="229"/>
      <c r="V67" s="229"/>
      <c r="W67" s="229"/>
      <c r="X67" s="229"/>
      <c r="Y67" s="229"/>
      <c r="Z67" s="229"/>
      <c r="AA67" s="229"/>
      <c r="AB67" s="229"/>
      <c r="AC67" s="229"/>
      <c r="AD67" s="229"/>
    </row>
    <row r="68" spans="1:30" x14ac:dyDescent="0.25">
      <c r="A68" s="234"/>
      <c r="B68" s="108"/>
      <c r="C68" s="108"/>
      <c r="D68" s="250">
        <f t="shared" ref="D68:P68" si="10">+D57+D59+D61</f>
        <v>0</v>
      </c>
      <c r="E68" s="250">
        <f t="shared" si="10"/>
        <v>1.9950000000000002E-2</v>
      </c>
      <c r="F68" s="250">
        <f t="shared" si="10"/>
        <v>1.5050000000000003E-2</v>
      </c>
      <c r="G68" s="250">
        <f t="shared" si="10"/>
        <v>2.3350000000000003E-2</v>
      </c>
      <c r="H68" s="250">
        <f t="shared" si="10"/>
        <v>1.5050000000000003E-2</v>
      </c>
      <c r="I68" s="250">
        <f t="shared" si="10"/>
        <v>2.3350000000000003E-2</v>
      </c>
      <c r="J68" s="250">
        <f t="shared" si="10"/>
        <v>1.5050000000000003E-2</v>
      </c>
      <c r="K68" s="250">
        <f t="shared" si="10"/>
        <v>2.3350000000000003E-2</v>
      </c>
      <c r="L68" s="250">
        <f t="shared" si="10"/>
        <v>1.5050000000000003E-2</v>
      </c>
      <c r="M68" s="250">
        <f t="shared" si="10"/>
        <v>2.3350000000000003E-2</v>
      </c>
      <c r="N68" s="250">
        <f t="shared" si="10"/>
        <v>1.4650000000000003E-2</v>
      </c>
      <c r="O68" s="250">
        <f t="shared" si="10"/>
        <v>1.1800000000000001E-2</v>
      </c>
      <c r="P68" s="250">
        <f t="shared" si="10"/>
        <v>0.20000000000000007</v>
      </c>
      <c r="Q68" s="234"/>
      <c r="R68" s="234"/>
      <c r="S68" s="229"/>
      <c r="T68" s="229"/>
      <c r="U68" s="229"/>
      <c r="V68" s="229"/>
      <c r="W68" s="229"/>
      <c r="X68" s="229"/>
      <c r="Y68" s="229"/>
      <c r="Z68" s="229"/>
      <c r="AA68" s="229"/>
      <c r="AB68" s="229"/>
      <c r="AC68" s="229"/>
      <c r="AD68" s="229"/>
    </row>
    <row r="69" spans="1:30" x14ac:dyDescent="0.25">
      <c r="A69" s="234"/>
      <c r="B69" s="108"/>
      <c r="C69" s="252" t="s">
        <v>68</v>
      </c>
      <c r="D69" s="253">
        <f t="shared" ref="D69:O69" si="11">D68*$W$17/$B$34</f>
        <v>0</v>
      </c>
      <c r="E69" s="253">
        <f t="shared" si="11"/>
        <v>9.9750000000000005E-2</v>
      </c>
      <c r="F69" s="253">
        <f t="shared" si="11"/>
        <v>7.5250000000000011E-2</v>
      </c>
      <c r="G69" s="253">
        <f t="shared" si="11"/>
        <v>0.11675000000000001</v>
      </c>
      <c r="H69" s="253">
        <f t="shared" si="11"/>
        <v>7.5250000000000011E-2</v>
      </c>
      <c r="I69" s="253">
        <f t="shared" si="11"/>
        <v>0.11675000000000001</v>
      </c>
      <c r="J69" s="253">
        <f t="shared" si="11"/>
        <v>7.5250000000000011E-2</v>
      </c>
      <c r="K69" s="253">
        <f t="shared" si="11"/>
        <v>0.11675000000000001</v>
      </c>
      <c r="L69" s="253">
        <f t="shared" si="11"/>
        <v>7.5250000000000011E-2</v>
      </c>
      <c r="M69" s="253">
        <f t="shared" si="11"/>
        <v>0.11675000000000001</v>
      </c>
      <c r="N69" s="253">
        <f t="shared" si="11"/>
        <v>7.325000000000001E-2</v>
      </c>
      <c r="O69" s="253">
        <f t="shared" si="11"/>
        <v>5.9000000000000004E-2</v>
      </c>
      <c r="P69" s="254">
        <f>SUM(D69:O69)</f>
        <v>1.0000000000000002</v>
      </c>
      <c r="Q69" s="234"/>
      <c r="R69" s="234"/>
      <c r="S69" s="229"/>
      <c r="T69" s="229"/>
      <c r="U69" s="229"/>
      <c r="V69" s="229"/>
      <c r="W69" s="229"/>
      <c r="X69" s="229"/>
      <c r="Y69" s="229"/>
      <c r="Z69" s="229"/>
      <c r="AA69" s="229"/>
      <c r="AB69" s="229"/>
      <c r="AC69" s="229"/>
      <c r="AD69" s="229"/>
    </row>
    <row r="70" spans="1:30" x14ac:dyDescent="0.25">
      <c r="A70" s="229"/>
      <c r="Q70" s="229"/>
      <c r="R70" s="229"/>
      <c r="S70" s="229"/>
      <c r="T70" s="229"/>
      <c r="U70" s="229"/>
      <c r="V70" s="229"/>
      <c r="W70" s="229"/>
      <c r="X70" s="229"/>
      <c r="Y70" s="229"/>
      <c r="Z70" s="229"/>
      <c r="AA70" s="229"/>
      <c r="AB70" s="229"/>
      <c r="AC70" s="229"/>
      <c r="AD70" s="229"/>
    </row>
    <row r="71" spans="1:30" x14ac:dyDescent="0.25">
      <c r="A71" s="229"/>
      <c r="Q71" s="229"/>
      <c r="R71" s="229"/>
      <c r="S71" s="229"/>
      <c r="T71" s="229"/>
      <c r="U71" s="229"/>
      <c r="V71" s="229"/>
      <c r="W71" s="229"/>
      <c r="X71" s="229"/>
      <c r="Y71" s="229"/>
      <c r="Z71" s="229"/>
      <c r="AA71" s="229"/>
      <c r="AB71" s="229"/>
      <c r="AC71" s="229"/>
      <c r="AD71" s="229"/>
    </row>
    <row r="72" spans="1:30" x14ac:dyDescent="0.25">
      <c r="A72" s="229"/>
      <c r="Q72" s="229"/>
      <c r="R72" s="229"/>
      <c r="S72" s="229"/>
      <c r="T72" s="229"/>
      <c r="U72" s="229"/>
      <c r="V72" s="229"/>
      <c r="W72" s="229"/>
      <c r="X72" s="229"/>
      <c r="Y72" s="229"/>
      <c r="Z72" s="229"/>
      <c r="AA72" s="229"/>
      <c r="AB72" s="229"/>
      <c r="AC72" s="229"/>
      <c r="AD72" s="229"/>
    </row>
    <row r="73" spans="1:30" x14ac:dyDescent="0.25">
      <c r="A73" s="229"/>
      <c r="Q73" s="229"/>
      <c r="R73" s="229"/>
      <c r="S73" s="229"/>
      <c r="T73" s="229"/>
      <c r="U73" s="229"/>
      <c r="V73" s="229"/>
      <c r="W73" s="229"/>
      <c r="X73" s="229"/>
      <c r="Y73" s="229"/>
      <c r="Z73" s="229"/>
      <c r="AA73" s="229"/>
      <c r="AB73" s="229"/>
      <c r="AC73" s="229"/>
      <c r="AD73" s="229"/>
    </row>
    <row r="74" spans="1:30" x14ac:dyDescent="0.25">
      <c r="A74" s="229"/>
      <c r="Q74" s="229"/>
      <c r="R74" s="229"/>
      <c r="S74" s="229"/>
      <c r="T74" s="229"/>
      <c r="U74" s="229"/>
      <c r="V74" s="229"/>
      <c r="W74" s="229"/>
      <c r="X74" s="229"/>
      <c r="Y74" s="229"/>
      <c r="Z74" s="229"/>
      <c r="AA74" s="229"/>
      <c r="AB74" s="229"/>
      <c r="AC74" s="229"/>
      <c r="AD74" s="229"/>
    </row>
  </sheetData>
  <mergeCells count="88">
    <mergeCell ref="A55:A56"/>
    <mergeCell ref="B55:B56"/>
    <mergeCell ref="C55:P55"/>
    <mergeCell ref="A57:A58"/>
    <mergeCell ref="B57:B58"/>
    <mergeCell ref="A59:A60"/>
    <mergeCell ref="B59:B60"/>
    <mergeCell ref="A61:A62"/>
    <mergeCell ref="B61:B62"/>
    <mergeCell ref="I7:J9"/>
    <mergeCell ref="A11:B13"/>
    <mergeCell ref="C11:AD13"/>
    <mergeCell ref="A15:B15"/>
    <mergeCell ref="C15:K15"/>
    <mergeCell ref="L15:Q15"/>
    <mergeCell ref="R15:X15"/>
    <mergeCell ref="Y15:Z15"/>
    <mergeCell ref="AA15:AD15"/>
    <mergeCell ref="C16:AB16"/>
    <mergeCell ref="A17:B17"/>
    <mergeCell ref="C17:Q17"/>
    <mergeCell ref="K7:L9"/>
    <mergeCell ref="M7:N7"/>
    <mergeCell ref="A1:A4"/>
    <mergeCell ref="B1:AA1"/>
    <mergeCell ref="M8:N8"/>
    <mergeCell ref="O8:P8"/>
    <mergeCell ref="M9:N9"/>
    <mergeCell ref="O7:P7"/>
    <mergeCell ref="O9:P9"/>
    <mergeCell ref="A7:B9"/>
    <mergeCell ref="C7:C9"/>
    <mergeCell ref="D7:H9"/>
    <mergeCell ref="AB1:AD1"/>
    <mergeCell ref="B2:AA2"/>
    <mergeCell ref="AB2:AD2"/>
    <mergeCell ref="B3:AA4"/>
    <mergeCell ref="AB3:AD3"/>
    <mergeCell ref="AB4:AD4"/>
    <mergeCell ref="R17:V17"/>
    <mergeCell ref="W17:X17"/>
    <mergeCell ref="Y17:AB17"/>
    <mergeCell ref="AC17:AD17"/>
    <mergeCell ref="A19:AD19"/>
    <mergeCell ref="C20:P20"/>
    <mergeCell ref="Q20:AD20"/>
    <mergeCell ref="A22:B22"/>
    <mergeCell ref="A23:B23"/>
    <mergeCell ref="A24:B24"/>
    <mergeCell ref="A25:B25"/>
    <mergeCell ref="A27:AD27"/>
    <mergeCell ref="A28:A29"/>
    <mergeCell ref="B28:C29"/>
    <mergeCell ref="D28:O28"/>
    <mergeCell ref="P28:P29"/>
    <mergeCell ref="Q28:AD29"/>
    <mergeCell ref="B30:C30"/>
    <mergeCell ref="Q30:AD30"/>
    <mergeCell ref="A31:AD31"/>
    <mergeCell ref="A32:A33"/>
    <mergeCell ref="B32:B33"/>
    <mergeCell ref="C32:C33"/>
    <mergeCell ref="D32:P32"/>
    <mergeCell ref="Q32:AD32"/>
    <mergeCell ref="Q33:S33"/>
    <mergeCell ref="T33:V33"/>
    <mergeCell ref="W33:Z33"/>
    <mergeCell ref="AA33:AD33"/>
    <mergeCell ref="AA34:AD35"/>
    <mergeCell ref="A36:A37"/>
    <mergeCell ref="B36:B37"/>
    <mergeCell ref="C36:P36"/>
    <mergeCell ref="Q36:AD36"/>
    <mergeCell ref="Q37:AD37"/>
    <mergeCell ref="A34:A35"/>
    <mergeCell ref="B34:B35"/>
    <mergeCell ref="Q34:S35"/>
    <mergeCell ref="T34:V35"/>
    <mergeCell ref="W34:Z35"/>
    <mergeCell ref="A38:A39"/>
    <mergeCell ref="B38:B39"/>
    <mergeCell ref="Q38:AD39"/>
    <mergeCell ref="A42:A43"/>
    <mergeCell ref="B42:B43"/>
    <mergeCell ref="Q42:AD43"/>
    <mergeCell ref="A40:A41"/>
    <mergeCell ref="B40:B41"/>
    <mergeCell ref="Q40:AD41"/>
  </mergeCells>
  <dataValidations count="3">
    <dataValidation type="textLength" operator="lessThanOrEqual" allowBlank="1" showInputMessage="1" showErrorMessage="1" errorTitle="Máximo 2.000 caracteres" error="Máximo 2.000 caracteres" sqref="AA34 Q34 W34 Q38:AD43" xr:uid="{00000000-0002-0000-0500-000000000000}">
      <formula1>2000</formula1>
    </dataValidation>
    <dataValidation type="textLength" operator="lessThanOrEqual" allowBlank="1" showInputMessage="1" showErrorMessage="1" errorTitle="Máximo 2.000 caracteres" error="Máximo 2.000 caracteres" promptTitle="2.000 caracteres" sqref="Q30:AD30" xr:uid="{00000000-0002-0000-0500-000001000000}">
      <formula1>2000</formula1>
    </dataValidation>
    <dataValidation type="list" allowBlank="1" showInputMessage="1" showErrorMessage="1" sqref="C7:C9" xr:uid="{00000000-0002-0000-0500-000002000000}">
      <formula1>$C$21:$N$21</formula1>
    </dataValidation>
  </dataValidations>
  <pageMargins left="0.25" right="0.25" top="0.75" bottom="0.75" header="0.3" footer="0.3"/>
  <pageSetup scale="20" orientation="landscape"/>
  <customProperties>
    <customPr name="_pios_id" r:id="rId1"/>
  </customProperties>
  <ignoredErrors>
    <ignoredError sqref="W24 Z24" formula="1"/>
  </ignoredErrors>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69CB15-2246-F441-B001-E1E91C1D5E34}">
  <sheetPr>
    <tabColor theme="7" tint="0.39997558519241921"/>
    <pageSetUpPr fitToPage="1"/>
  </sheetPr>
  <dimension ref="A1:AX62"/>
  <sheetViews>
    <sheetView showGridLines="0" topLeftCell="A23" zoomScale="60" zoomScaleNormal="60" workbookViewId="0">
      <selection activeCell="A27" sqref="A27:AD27"/>
    </sheetView>
  </sheetViews>
  <sheetFormatPr baseColWidth="10" defaultColWidth="10.85546875" defaultRowHeight="15" x14ac:dyDescent="0.25"/>
  <cols>
    <col min="1" max="1" width="38.42578125" style="50" customWidth="1"/>
    <col min="2" max="2" width="15.42578125" style="50" customWidth="1"/>
    <col min="3" max="14" width="20.7109375" style="50" customWidth="1"/>
    <col min="15" max="15" width="16.140625" style="50" customWidth="1"/>
    <col min="16" max="18" width="18.140625" style="50" customWidth="1"/>
    <col min="19" max="19" width="20.28515625" style="50" customWidth="1"/>
    <col min="20" max="27" width="18.140625" style="50" customWidth="1"/>
    <col min="28" max="28" width="22.7109375" style="50" customWidth="1"/>
    <col min="29" max="29" width="19" style="50" customWidth="1"/>
    <col min="30" max="30" width="19.42578125" style="50" customWidth="1"/>
    <col min="31" max="31" width="6.28515625" style="50" bestFit="1" customWidth="1"/>
    <col min="32" max="32" width="22.85546875" style="50" customWidth="1"/>
    <col min="33" max="33" width="18.42578125" style="50" bestFit="1" customWidth="1"/>
    <col min="34" max="34" width="8.42578125" style="50" customWidth="1"/>
    <col min="35" max="35" width="18.42578125" style="50" bestFit="1" customWidth="1"/>
    <col min="36" max="36" width="5.7109375" style="50" customWidth="1"/>
    <col min="37" max="37" width="18.42578125" style="50" bestFit="1" customWidth="1"/>
    <col min="38" max="38" width="4.7109375" style="50" customWidth="1"/>
    <col min="39" max="39" width="23" style="50" bestFit="1" customWidth="1"/>
    <col min="40" max="40" width="10.85546875" style="50"/>
    <col min="41" max="41" width="18.42578125" style="50" bestFit="1" customWidth="1"/>
    <col min="42" max="42" width="16.140625" style="50" customWidth="1"/>
    <col min="43" max="16384" width="10.85546875" style="50"/>
  </cols>
  <sheetData>
    <row r="1" spans="1:50" ht="32.25" customHeight="1" thickBot="1" x14ac:dyDescent="0.3">
      <c r="A1" s="443"/>
      <c r="B1" s="446" t="s">
        <v>0</v>
      </c>
      <c r="C1" s="447"/>
      <c r="D1" s="447"/>
      <c r="E1" s="447"/>
      <c r="F1" s="447"/>
      <c r="G1" s="447"/>
      <c r="H1" s="447"/>
      <c r="I1" s="447"/>
      <c r="J1" s="447"/>
      <c r="K1" s="447"/>
      <c r="L1" s="447"/>
      <c r="M1" s="447"/>
      <c r="N1" s="447"/>
      <c r="O1" s="447"/>
      <c r="P1" s="447"/>
      <c r="Q1" s="447"/>
      <c r="R1" s="447"/>
      <c r="S1" s="447"/>
      <c r="T1" s="447"/>
      <c r="U1" s="447"/>
      <c r="V1" s="447"/>
      <c r="W1" s="447"/>
      <c r="X1" s="447"/>
      <c r="Y1" s="447"/>
      <c r="Z1" s="447"/>
      <c r="AA1" s="448"/>
      <c r="AB1" s="449" t="s">
        <v>1</v>
      </c>
      <c r="AC1" s="450"/>
      <c r="AD1" s="451"/>
    </row>
    <row r="2" spans="1:50" ht="30.75" customHeight="1" thickBot="1" x14ac:dyDescent="0.3">
      <c r="A2" s="444"/>
      <c r="B2" s="446" t="s">
        <v>97</v>
      </c>
      <c r="C2" s="447"/>
      <c r="D2" s="447"/>
      <c r="E2" s="447"/>
      <c r="F2" s="447"/>
      <c r="G2" s="447"/>
      <c r="H2" s="447"/>
      <c r="I2" s="447"/>
      <c r="J2" s="447"/>
      <c r="K2" s="447"/>
      <c r="L2" s="447"/>
      <c r="M2" s="447"/>
      <c r="N2" s="447"/>
      <c r="O2" s="447"/>
      <c r="P2" s="447"/>
      <c r="Q2" s="447"/>
      <c r="R2" s="447"/>
      <c r="S2" s="447"/>
      <c r="T2" s="447"/>
      <c r="U2" s="447"/>
      <c r="V2" s="447"/>
      <c r="W2" s="447"/>
      <c r="X2" s="447"/>
      <c r="Y2" s="447"/>
      <c r="Z2" s="447"/>
      <c r="AA2" s="448"/>
      <c r="AB2" s="470" t="s">
        <v>3</v>
      </c>
      <c r="AC2" s="471"/>
      <c r="AD2" s="472"/>
    </row>
    <row r="3" spans="1:50" ht="24" customHeight="1" x14ac:dyDescent="0.25">
      <c r="A3" s="444"/>
      <c r="B3" s="473" t="s">
        <v>4</v>
      </c>
      <c r="C3" s="474"/>
      <c r="D3" s="474"/>
      <c r="E3" s="474"/>
      <c r="F3" s="474"/>
      <c r="G3" s="474"/>
      <c r="H3" s="474"/>
      <c r="I3" s="474"/>
      <c r="J3" s="474"/>
      <c r="K3" s="474"/>
      <c r="L3" s="474"/>
      <c r="M3" s="474"/>
      <c r="N3" s="474"/>
      <c r="O3" s="474"/>
      <c r="P3" s="474"/>
      <c r="Q3" s="474"/>
      <c r="R3" s="474"/>
      <c r="S3" s="474"/>
      <c r="T3" s="474"/>
      <c r="U3" s="474"/>
      <c r="V3" s="474"/>
      <c r="W3" s="474"/>
      <c r="X3" s="474"/>
      <c r="Y3" s="474"/>
      <c r="Z3" s="474"/>
      <c r="AA3" s="475"/>
      <c r="AB3" s="470" t="s">
        <v>5</v>
      </c>
      <c r="AC3" s="471"/>
      <c r="AD3" s="472"/>
    </row>
    <row r="4" spans="1:50" ht="21.95" customHeight="1" thickBot="1" x14ac:dyDescent="0.3">
      <c r="A4" s="445"/>
      <c r="B4" s="476"/>
      <c r="C4" s="477"/>
      <c r="D4" s="477"/>
      <c r="E4" s="477"/>
      <c r="F4" s="477"/>
      <c r="G4" s="477"/>
      <c r="H4" s="477"/>
      <c r="I4" s="477"/>
      <c r="J4" s="477"/>
      <c r="K4" s="477"/>
      <c r="L4" s="477"/>
      <c r="M4" s="477"/>
      <c r="N4" s="477"/>
      <c r="O4" s="477"/>
      <c r="P4" s="477"/>
      <c r="Q4" s="477"/>
      <c r="R4" s="477"/>
      <c r="S4" s="477"/>
      <c r="T4" s="477"/>
      <c r="U4" s="477"/>
      <c r="V4" s="477"/>
      <c r="W4" s="477"/>
      <c r="X4" s="477"/>
      <c r="Y4" s="477"/>
      <c r="Z4" s="477"/>
      <c r="AA4" s="478"/>
      <c r="AB4" s="479" t="s">
        <v>6</v>
      </c>
      <c r="AC4" s="480"/>
      <c r="AD4" s="481"/>
    </row>
    <row r="5" spans="1:50" ht="9" customHeight="1" thickBot="1" x14ac:dyDescent="0.3">
      <c r="A5" s="51"/>
      <c r="B5" s="202"/>
      <c r="C5" s="203"/>
      <c r="D5" s="54"/>
      <c r="E5" s="54"/>
      <c r="F5" s="54"/>
      <c r="G5" s="54"/>
      <c r="H5" s="54"/>
      <c r="I5" s="54"/>
      <c r="J5" s="54"/>
      <c r="K5" s="54"/>
      <c r="L5" s="54"/>
      <c r="M5" s="54"/>
      <c r="N5" s="54"/>
      <c r="O5" s="54"/>
      <c r="P5" s="54"/>
      <c r="Q5" s="54"/>
      <c r="R5" s="54"/>
      <c r="S5" s="54"/>
      <c r="T5" s="54"/>
      <c r="U5" s="54"/>
      <c r="V5" s="54"/>
      <c r="W5" s="54"/>
      <c r="X5" s="54"/>
      <c r="Y5" s="54"/>
      <c r="Z5" s="55"/>
      <c r="AA5" s="54"/>
      <c r="AB5" s="56"/>
      <c r="AC5" s="57"/>
      <c r="AD5" s="58"/>
    </row>
    <row r="6" spans="1:50" ht="9" customHeight="1" x14ac:dyDescent="0.25">
      <c r="A6" s="59"/>
      <c r="B6" s="54"/>
      <c r="C6" s="54"/>
      <c r="D6" s="54"/>
      <c r="E6" s="54"/>
      <c r="F6" s="54"/>
      <c r="G6" s="54"/>
      <c r="H6" s="54"/>
      <c r="I6" s="54"/>
      <c r="J6" s="54"/>
      <c r="K6" s="54"/>
      <c r="L6" s="54"/>
      <c r="M6" s="54"/>
      <c r="N6" s="54"/>
      <c r="O6" s="54"/>
      <c r="P6" s="54"/>
      <c r="Q6" s="54"/>
      <c r="R6" s="54"/>
      <c r="S6" s="54"/>
      <c r="T6" s="54"/>
      <c r="U6" s="54"/>
      <c r="V6" s="54"/>
      <c r="W6" s="54"/>
      <c r="X6" s="54"/>
      <c r="Y6" s="54"/>
      <c r="Z6" s="55"/>
      <c r="AA6" s="54"/>
      <c r="AB6" s="54"/>
      <c r="AC6" s="60"/>
      <c r="AD6" s="61"/>
    </row>
    <row r="7" spans="1:50" ht="15" customHeight="1" x14ac:dyDescent="0.25">
      <c r="A7" s="464" t="s">
        <v>7</v>
      </c>
      <c r="B7" s="465"/>
      <c r="C7" s="500" t="s">
        <v>8</v>
      </c>
      <c r="D7" s="464" t="s">
        <v>9</v>
      </c>
      <c r="E7" s="482"/>
      <c r="F7" s="482"/>
      <c r="G7" s="482"/>
      <c r="H7" s="465"/>
      <c r="I7" s="485">
        <v>45113</v>
      </c>
      <c r="J7" s="486"/>
      <c r="K7" s="464" t="s">
        <v>10</v>
      </c>
      <c r="L7" s="465"/>
      <c r="M7" s="456" t="s">
        <v>98</v>
      </c>
      <c r="N7" s="457"/>
      <c r="O7" s="458"/>
      <c r="P7" s="459"/>
      <c r="Q7" s="54"/>
      <c r="R7" s="54"/>
      <c r="S7" s="54"/>
      <c r="T7" s="54"/>
      <c r="U7" s="54"/>
      <c r="V7" s="54"/>
      <c r="W7" s="54"/>
      <c r="X7" s="54"/>
      <c r="Y7" s="54"/>
      <c r="Z7" s="55"/>
      <c r="AA7" s="54"/>
      <c r="AB7" s="54"/>
      <c r="AC7" s="60"/>
      <c r="AD7" s="61"/>
    </row>
    <row r="8" spans="1:50" ht="15" customHeight="1" x14ac:dyDescent="0.25">
      <c r="A8" s="466"/>
      <c r="B8" s="467"/>
      <c r="C8" s="501"/>
      <c r="D8" s="466"/>
      <c r="E8" s="483"/>
      <c r="F8" s="483"/>
      <c r="G8" s="483"/>
      <c r="H8" s="467"/>
      <c r="I8" s="487"/>
      <c r="J8" s="488"/>
      <c r="K8" s="466"/>
      <c r="L8" s="467"/>
      <c r="M8" s="460" t="s">
        <v>99</v>
      </c>
      <c r="N8" s="461"/>
      <c r="O8" s="462" t="s">
        <v>14</v>
      </c>
      <c r="P8" s="463"/>
      <c r="Q8" s="54"/>
      <c r="R8" s="54"/>
      <c r="S8" s="54"/>
      <c r="T8" s="54"/>
      <c r="U8" s="54"/>
      <c r="V8" s="54"/>
      <c r="W8" s="54"/>
      <c r="X8" s="54"/>
      <c r="Y8" s="54"/>
      <c r="Z8" s="55"/>
      <c r="AA8" s="54"/>
      <c r="AB8" s="54"/>
      <c r="AC8" s="60"/>
      <c r="AD8" s="61"/>
    </row>
    <row r="9" spans="1:50" ht="15.75" customHeight="1" thickBot="1" x14ac:dyDescent="0.3">
      <c r="A9" s="468"/>
      <c r="B9" s="469"/>
      <c r="C9" s="502"/>
      <c r="D9" s="468"/>
      <c r="E9" s="484"/>
      <c r="F9" s="484"/>
      <c r="G9" s="484"/>
      <c r="H9" s="469"/>
      <c r="I9" s="489"/>
      <c r="J9" s="490"/>
      <c r="K9" s="468"/>
      <c r="L9" s="469"/>
      <c r="M9" s="452" t="s">
        <v>13</v>
      </c>
      <c r="N9" s="453"/>
      <c r="O9" s="454" t="s">
        <v>14</v>
      </c>
      <c r="P9" s="455"/>
      <c r="Q9" s="54"/>
      <c r="R9" s="54"/>
      <c r="S9" s="54"/>
      <c r="T9" s="54"/>
      <c r="U9" s="54"/>
      <c r="V9" s="54"/>
      <c r="W9" s="54"/>
      <c r="X9" s="54"/>
      <c r="Y9" s="54"/>
      <c r="Z9" s="55"/>
      <c r="AA9" s="54"/>
      <c r="AB9" s="54"/>
      <c r="AC9" s="60"/>
      <c r="AD9" s="61"/>
    </row>
    <row r="10" spans="1:50" ht="15" customHeight="1" x14ac:dyDescent="0.25">
      <c r="A10" s="169"/>
      <c r="B10" s="170"/>
      <c r="C10" s="170"/>
      <c r="D10" s="65"/>
      <c r="E10" s="65"/>
      <c r="F10" s="65"/>
      <c r="G10" s="65"/>
      <c r="H10" s="65"/>
      <c r="I10" s="166"/>
      <c r="J10" s="166"/>
      <c r="K10" s="65"/>
      <c r="L10" s="65"/>
      <c r="M10" s="167"/>
      <c r="N10" s="167"/>
      <c r="O10" s="168"/>
      <c r="P10" s="168"/>
      <c r="Q10" s="170"/>
      <c r="R10" s="170"/>
      <c r="S10" s="170"/>
      <c r="T10" s="170"/>
      <c r="U10" s="170"/>
      <c r="V10" s="170"/>
      <c r="W10" s="170"/>
      <c r="X10" s="170"/>
      <c r="Y10" s="170"/>
      <c r="Z10" s="171"/>
      <c r="AA10" s="170"/>
      <c r="AB10" s="170"/>
      <c r="AC10" s="172"/>
      <c r="AD10" s="173"/>
    </row>
    <row r="11" spans="1:50" ht="15" customHeight="1" x14ac:dyDescent="0.25">
      <c r="A11" s="464" t="s">
        <v>15</v>
      </c>
      <c r="B11" s="465"/>
      <c r="C11" s="491" t="s">
        <v>16</v>
      </c>
      <c r="D11" s="492"/>
      <c r="E11" s="492"/>
      <c r="F11" s="492"/>
      <c r="G11" s="492"/>
      <c r="H11" s="492"/>
      <c r="I11" s="492"/>
      <c r="J11" s="492"/>
      <c r="K11" s="492"/>
      <c r="L11" s="492"/>
      <c r="M11" s="492"/>
      <c r="N11" s="492"/>
      <c r="O11" s="492"/>
      <c r="P11" s="492"/>
      <c r="Q11" s="492"/>
      <c r="R11" s="492"/>
      <c r="S11" s="492"/>
      <c r="T11" s="492"/>
      <c r="U11" s="492"/>
      <c r="V11" s="492"/>
      <c r="W11" s="492"/>
      <c r="X11" s="492"/>
      <c r="Y11" s="492"/>
      <c r="Z11" s="492"/>
      <c r="AA11" s="492"/>
      <c r="AB11" s="492"/>
      <c r="AC11" s="492"/>
      <c r="AD11" s="493"/>
    </row>
    <row r="12" spans="1:50" ht="15" customHeight="1" x14ac:dyDescent="0.25">
      <c r="A12" s="466"/>
      <c r="B12" s="467"/>
      <c r="C12" s="494"/>
      <c r="D12" s="495"/>
      <c r="E12" s="495"/>
      <c r="F12" s="495"/>
      <c r="G12" s="495"/>
      <c r="H12" s="495"/>
      <c r="I12" s="495"/>
      <c r="J12" s="495"/>
      <c r="K12" s="495"/>
      <c r="L12" s="495"/>
      <c r="M12" s="495"/>
      <c r="N12" s="495"/>
      <c r="O12" s="495"/>
      <c r="P12" s="495"/>
      <c r="Q12" s="495"/>
      <c r="R12" s="495"/>
      <c r="S12" s="495"/>
      <c r="T12" s="495"/>
      <c r="U12" s="495"/>
      <c r="V12" s="495"/>
      <c r="W12" s="495"/>
      <c r="X12" s="495"/>
      <c r="Y12" s="495"/>
      <c r="Z12" s="495"/>
      <c r="AA12" s="495"/>
      <c r="AB12" s="495"/>
      <c r="AC12" s="495"/>
      <c r="AD12" s="496"/>
    </row>
    <row r="13" spans="1:50" ht="15" customHeight="1" thickBot="1" x14ac:dyDescent="0.3">
      <c r="A13" s="468"/>
      <c r="B13" s="469"/>
      <c r="C13" s="497"/>
      <c r="D13" s="498"/>
      <c r="E13" s="498"/>
      <c r="F13" s="498"/>
      <c r="G13" s="498"/>
      <c r="H13" s="498"/>
      <c r="I13" s="498"/>
      <c r="J13" s="498"/>
      <c r="K13" s="498"/>
      <c r="L13" s="498"/>
      <c r="M13" s="498"/>
      <c r="N13" s="498"/>
      <c r="O13" s="498"/>
      <c r="P13" s="498"/>
      <c r="Q13" s="498"/>
      <c r="R13" s="498"/>
      <c r="S13" s="498"/>
      <c r="T13" s="498"/>
      <c r="U13" s="498"/>
      <c r="V13" s="498"/>
      <c r="W13" s="498"/>
      <c r="X13" s="498"/>
      <c r="Y13" s="498"/>
      <c r="Z13" s="498"/>
      <c r="AA13" s="498"/>
      <c r="AB13" s="498"/>
      <c r="AC13" s="498"/>
      <c r="AD13" s="499"/>
    </row>
    <row r="14" spans="1:50" ht="9" customHeight="1" thickBot="1" x14ac:dyDescent="0.3">
      <c r="A14" s="67"/>
      <c r="B14" s="68"/>
      <c r="C14" s="69"/>
      <c r="D14" s="69"/>
      <c r="E14" s="69"/>
      <c r="F14" s="69"/>
      <c r="G14" s="69"/>
      <c r="H14" s="69"/>
      <c r="I14" s="69"/>
      <c r="J14" s="69"/>
      <c r="K14" s="69"/>
      <c r="L14" s="69"/>
      <c r="M14" s="70"/>
      <c r="N14" s="70"/>
      <c r="O14" s="70"/>
      <c r="P14" s="70"/>
      <c r="Q14" s="70"/>
      <c r="R14" s="71"/>
      <c r="S14" s="71"/>
      <c r="T14" s="71"/>
      <c r="U14" s="71"/>
      <c r="V14" s="71"/>
      <c r="W14" s="71"/>
      <c r="X14" s="71"/>
      <c r="Y14" s="65"/>
      <c r="Z14" s="65"/>
      <c r="AA14" s="65"/>
      <c r="AB14" s="65"/>
      <c r="AC14" s="65"/>
      <c r="AD14" s="66"/>
    </row>
    <row r="15" spans="1:50" ht="39" customHeight="1" thickBot="1" x14ac:dyDescent="0.3">
      <c r="A15" s="528" t="s">
        <v>17</v>
      </c>
      <c r="B15" s="529"/>
      <c r="C15" s="538" t="s">
        <v>18</v>
      </c>
      <c r="D15" s="539"/>
      <c r="E15" s="539"/>
      <c r="F15" s="539"/>
      <c r="G15" s="539"/>
      <c r="H15" s="539"/>
      <c r="I15" s="539"/>
      <c r="J15" s="539"/>
      <c r="K15" s="540"/>
      <c r="L15" s="503" t="s">
        <v>19</v>
      </c>
      <c r="M15" s="504"/>
      <c r="N15" s="504"/>
      <c r="O15" s="504"/>
      <c r="P15" s="504"/>
      <c r="Q15" s="505"/>
      <c r="R15" s="533" t="s">
        <v>20</v>
      </c>
      <c r="S15" s="534"/>
      <c r="T15" s="534"/>
      <c r="U15" s="534"/>
      <c r="V15" s="534"/>
      <c r="W15" s="534"/>
      <c r="X15" s="535"/>
      <c r="Y15" s="503" t="s">
        <v>21</v>
      </c>
      <c r="Z15" s="505"/>
      <c r="AA15" s="524" t="s">
        <v>22</v>
      </c>
      <c r="AB15" s="525"/>
      <c r="AC15" s="525"/>
      <c r="AD15" s="526"/>
    </row>
    <row r="16" spans="1:50" ht="105" customHeight="1" thickBot="1" x14ac:dyDescent="0.3">
      <c r="A16" s="59"/>
      <c r="B16" s="54"/>
      <c r="C16" s="527"/>
      <c r="D16" s="527"/>
      <c r="E16" s="527"/>
      <c r="F16" s="527"/>
      <c r="G16" s="527"/>
      <c r="H16" s="527"/>
      <c r="I16" s="527"/>
      <c r="J16" s="527"/>
      <c r="K16" s="527"/>
      <c r="L16" s="527"/>
      <c r="M16" s="527"/>
      <c r="N16" s="527"/>
      <c r="O16" s="527"/>
      <c r="P16" s="527"/>
      <c r="Q16" s="527"/>
      <c r="R16" s="527"/>
      <c r="S16" s="527"/>
      <c r="T16" s="527"/>
      <c r="U16" s="527"/>
      <c r="V16" s="527"/>
      <c r="W16" s="527"/>
      <c r="X16" s="527"/>
      <c r="Y16" s="527"/>
      <c r="Z16" s="527"/>
      <c r="AA16" s="527"/>
      <c r="AB16" s="527"/>
      <c r="AC16" s="73"/>
      <c r="AD16" s="74"/>
      <c r="AX16" s="388" t="s">
        <v>23</v>
      </c>
    </row>
    <row r="17" spans="1:50" s="76" customFormat="1" ht="37.5" customHeight="1" thickBot="1" x14ac:dyDescent="0.3">
      <c r="A17" s="528" t="s">
        <v>24</v>
      </c>
      <c r="B17" s="529"/>
      <c r="C17" s="530" t="s">
        <v>131</v>
      </c>
      <c r="D17" s="531"/>
      <c r="E17" s="531"/>
      <c r="F17" s="531"/>
      <c r="G17" s="531"/>
      <c r="H17" s="531"/>
      <c r="I17" s="531"/>
      <c r="J17" s="531"/>
      <c r="K17" s="531"/>
      <c r="L17" s="531"/>
      <c r="M17" s="531"/>
      <c r="N17" s="531"/>
      <c r="O17" s="531"/>
      <c r="P17" s="531"/>
      <c r="Q17" s="532"/>
      <c r="R17" s="503" t="s">
        <v>26</v>
      </c>
      <c r="S17" s="504"/>
      <c r="T17" s="504"/>
      <c r="U17" s="504"/>
      <c r="V17" s="505"/>
      <c r="W17" s="536">
        <v>1</v>
      </c>
      <c r="X17" s="537"/>
      <c r="Y17" s="504" t="s">
        <v>27</v>
      </c>
      <c r="Z17" s="504"/>
      <c r="AA17" s="504"/>
      <c r="AB17" s="505"/>
      <c r="AC17" s="514">
        <v>0.1</v>
      </c>
      <c r="AD17" s="515"/>
      <c r="AX17" s="387"/>
    </row>
    <row r="18" spans="1:50" ht="16.5" customHeight="1" thickBot="1" x14ac:dyDescent="0.3">
      <c r="A18" s="77"/>
      <c r="B18" s="78"/>
      <c r="C18" s="78"/>
      <c r="D18" s="78"/>
      <c r="E18" s="78"/>
      <c r="F18" s="78"/>
      <c r="G18" s="78"/>
      <c r="H18" s="78"/>
      <c r="I18" s="78"/>
      <c r="J18" s="78"/>
      <c r="K18" s="78"/>
      <c r="L18" s="78"/>
      <c r="M18" s="78"/>
      <c r="N18" s="78"/>
      <c r="O18" s="78"/>
      <c r="P18" s="78"/>
      <c r="Q18" s="78"/>
      <c r="R18" s="78"/>
      <c r="S18" s="78"/>
      <c r="T18" s="78"/>
      <c r="U18" s="78"/>
      <c r="V18" s="78"/>
      <c r="W18" s="78"/>
      <c r="X18" s="78"/>
      <c r="Y18" s="78"/>
      <c r="Z18" s="78"/>
      <c r="AA18" s="78"/>
      <c r="AB18" s="78"/>
      <c r="AC18" s="78"/>
      <c r="AD18" s="79"/>
    </row>
    <row r="19" spans="1:50" ht="32.1" customHeight="1" thickBot="1" x14ac:dyDescent="0.3">
      <c r="A19" s="503" t="s">
        <v>28</v>
      </c>
      <c r="B19" s="504"/>
      <c r="C19" s="504"/>
      <c r="D19" s="504"/>
      <c r="E19" s="504"/>
      <c r="F19" s="504"/>
      <c r="G19" s="504"/>
      <c r="H19" s="504"/>
      <c r="I19" s="504"/>
      <c r="J19" s="504"/>
      <c r="K19" s="504"/>
      <c r="L19" s="504"/>
      <c r="M19" s="504"/>
      <c r="N19" s="504"/>
      <c r="O19" s="504"/>
      <c r="P19" s="504"/>
      <c r="Q19" s="504"/>
      <c r="R19" s="504"/>
      <c r="S19" s="504"/>
      <c r="T19" s="504"/>
      <c r="U19" s="504"/>
      <c r="V19" s="504"/>
      <c r="W19" s="504"/>
      <c r="X19" s="504"/>
      <c r="Y19" s="504"/>
      <c r="Z19" s="504"/>
      <c r="AA19" s="504"/>
      <c r="AB19" s="504"/>
      <c r="AC19" s="504"/>
      <c r="AD19" s="505"/>
      <c r="AE19" s="83"/>
      <c r="AF19" s="83"/>
    </row>
    <row r="20" spans="1:50" ht="32.1" customHeight="1" thickBot="1" x14ac:dyDescent="0.3">
      <c r="A20" s="82"/>
      <c r="B20" s="60"/>
      <c r="C20" s="509" t="s">
        <v>29</v>
      </c>
      <c r="D20" s="510"/>
      <c r="E20" s="510"/>
      <c r="F20" s="510"/>
      <c r="G20" s="510"/>
      <c r="H20" s="510"/>
      <c r="I20" s="510"/>
      <c r="J20" s="510"/>
      <c r="K20" s="510"/>
      <c r="L20" s="510"/>
      <c r="M20" s="510"/>
      <c r="N20" s="510"/>
      <c r="O20" s="510"/>
      <c r="P20" s="511"/>
      <c r="Q20" s="506" t="s">
        <v>30</v>
      </c>
      <c r="R20" s="507"/>
      <c r="S20" s="507"/>
      <c r="T20" s="507"/>
      <c r="U20" s="507"/>
      <c r="V20" s="507"/>
      <c r="W20" s="507"/>
      <c r="X20" s="507"/>
      <c r="Y20" s="507"/>
      <c r="Z20" s="507"/>
      <c r="AA20" s="507"/>
      <c r="AB20" s="507"/>
      <c r="AC20" s="507"/>
      <c r="AD20" s="508"/>
      <c r="AE20" s="83"/>
      <c r="AF20" s="83"/>
    </row>
    <row r="21" spans="1:50" ht="32.1" customHeight="1" thickBot="1" x14ac:dyDescent="0.3">
      <c r="A21" s="59"/>
      <c r="B21" s="54"/>
      <c r="C21" s="353" t="s">
        <v>31</v>
      </c>
      <c r="D21" s="352" t="s">
        <v>32</v>
      </c>
      <c r="E21" s="352" t="s">
        <v>33</v>
      </c>
      <c r="F21" s="352" t="s">
        <v>34</v>
      </c>
      <c r="G21" s="352" t="s">
        <v>35</v>
      </c>
      <c r="H21" s="352" t="s">
        <v>8</v>
      </c>
      <c r="I21" s="352" t="s">
        <v>36</v>
      </c>
      <c r="J21" s="352" t="s">
        <v>37</v>
      </c>
      <c r="K21" s="352" t="s">
        <v>38</v>
      </c>
      <c r="L21" s="352" t="s">
        <v>39</v>
      </c>
      <c r="M21" s="352" t="s">
        <v>40</v>
      </c>
      <c r="N21" s="352" t="s">
        <v>41</v>
      </c>
      <c r="O21" s="352" t="s">
        <v>42</v>
      </c>
      <c r="P21" s="354" t="s">
        <v>43</v>
      </c>
      <c r="Q21" s="353" t="s">
        <v>31</v>
      </c>
      <c r="R21" s="352" t="s">
        <v>32</v>
      </c>
      <c r="S21" s="352" t="s">
        <v>33</v>
      </c>
      <c r="T21" s="352" t="s">
        <v>34</v>
      </c>
      <c r="U21" s="352" t="s">
        <v>35</v>
      </c>
      <c r="V21" s="352" t="s">
        <v>8</v>
      </c>
      <c r="W21" s="352" t="s">
        <v>36</v>
      </c>
      <c r="X21" s="352" t="s">
        <v>37</v>
      </c>
      <c r="Y21" s="352" t="s">
        <v>38</v>
      </c>
      <c r="Z21" s="352" t="s">
        <v>39</v>
      </c>
      <c r="AA21" s="352" t="s">
        <v>40</v>
      </c>
      <c r="AB21" s="352" t="s">
        <v>41</v>
      </c>
      <c r="AC21" s="352" t="s">
        <v>42</v>
      </c>
      <c r="AD21" s="354" t="s">
        <v>43</v>
      </c>
      <c r="AE21" s="3"/>
      <c r="AF21" s="3"/>
    </row>
    <row r="22" spans="1:50" ht="32.1" customHeight="1" x14ac:dyDescent="0.25">
      <c r="A22" s="512" t="s">
        <v>101</v>
      </c>
      <c r="B22" s="513"/>
      <c r="C22" s="355"/>
      <c r="D22" s="356"/>
      <c r="E22" s="356"/>
      <c r="F22" s="356"/>
      <c r="G22" s="356"/>
      <c r="H22" s="356"/>
      <c r="I22" s="356"/>
      <c r="J22" s="356"/>
      <c r="K22" s="356"/>
      <c r="L22" s="356"/>
      <c r="M22" s="356"/>
      <c r="N22" s="356"/>
      <c r="O22" s="356">
        <f>SUM(C22:N22)</f>
        <v>0</v>
      </c>
      <c r="P22" s="433"/>
      <c r="Q22" s="355">
        <v>367342350</v>
      </c>
      <c r="R22" s="356"/>
      <c r="S22" s="356"/>
      <c r="T22" s="356">
        <v>21559511</v>
      </c>
      <c r="U22" s="356"/>
      <c r="V22" s="356">
        <f>2139478+34249272-10290230</f>
        <v>26098520</v>
      </c>
      <c r="W22" s="356"/>
      <c r="X22" s="356"/>
      <c r="Y22" s="356"/>
      <c r="Z22" s="356"/>
      <c r="AA22" s="356"/>
      <c r="AB22" s="356"/>
      <c r="AC22" s="429">
        <f>SUM(Q22:AB22)</f>
        <v>415000381</v>
      </c>
      <c r="AD22" s="357"/>
      <c r="AE22" s="3"/>
      <c r="AF22" s="442" t="s">
        <v>116</v>
      </c>
      <c r="AG22" s="442"/>
      <c r="AH22" s="442"/>
      <c r="AI22" s="442"/>
      <c r="AJ22" s="442"/>
      <c r="AK22" s="442"/>
      <c r="AL22" s="442"/>
      <c r="AM22" s="442"/>
    </row>
    <row r="23" spans="1:50" ht="32.1" customHeight="1" x14ac:dyDescent="0.25">
      <c r="A23" s="520" t="s">
        <v>47</v>
      </c>
      <c r="B23" s="521"/>
      <c r="C23" s="175"/>
      <c r="D23" s="174"/>
      <c r="E23" s="174"/>
      <c r="F23" s="174"/>
      <c r="G23" s="174"/>
      <c r="H23" s="174"/>
      <c r="I23" s="174"/>
      <c r="J23" s="174"/>
      <c r="K23" s="174"/>
      <c r="L23" s="174"/>
      <c r="M23" s="174"/>
      <c r="N23" s="174"/>
      <c r="O23" s="174">
        <f>SUM(C23:N23)</f>
        <v>0</v>
      </c>
      <c r="P23" s="434"/>
      <c r="Q23" s="175">
        <v>131719000</v>
      </c>
      <c r="R23" s="174">
        <v>160636483</v>
      </c>
      <c r="S23" s="174">
        <v>24103734</v>
      </c>
      <c r="T23" s="174">
        <v>-7934917</v>
      </c>
      <c r="U23" s="174">
        <v>50047197</v>
      </c>
      <c r="V23" s="174">
        <v>11200000</v>
      </c>
      <c r="W23" s="174"/>
      <c r="X23" s="174"/>
      <c r="Y23" s="174"/>
      <c r="Z23" s="174"/>
      <c r="AA23" s="174"/>
      <c r="AB23" s="174"/>
      <c r="AC23" s="430">
        <f>SUM(Q23:AB23)</f>
        <v>369771497</v>
      </c>
      <c r="AD23" s="182">
        <f>+AC23/AC22</f>
        <v>0.89101483740565535</v>
      </c>
      <c r="AE23" s="3"/>
      <c r="AF23" s="442"/>
      <c r="AG23" s="442"/>
      <c r="AH23" s="442"/>
      <c r="AI23" s="442"/>
      <c r="AJ23" s="442"/>
      <c r="AK23" s="442"/>
      <c r="AL23" s="442"/>
      <c r="AM23" s="442"/>
    </row>
    <row r="24" spans="1:50" ht="32.1" customHeight="1" x14ac:dyDescent="0.25">
      <c r="A24" s="520" t="s">
        <v>103</v>
      </c>
      <c r="B24" s="521"/>
      <c r="C24" s="175">
        <v>19304536</v>
      </c>
      <c r="D24" s="174">
        <f>1166667+432600+475860+4505046</f>
        <v>6580173</v>
      </c>
      <c r="E24" s="174"/>
      <c r="F24" s="174"/>
      <c r="G24" s="174"/>
      <c r="H24" s="174"/>
      <c r="I24" s="174"/>
      <c r="J24" s="174"/>
      <c r="K24" s="174"/>
      <c r="L24" s="174"/>
      <c r="M24" s="174"/>
      <c r="N24" s="174"/>
      <c r="O24" s="213">
        <f>SUM(C24:N24)</f>
        <v>25884709</v>
      </c>
      <c r="P24" s="178"/>
      <c r="Q24" s="175"/>
      <c r="R24" s="174">
        <v>15581050</v>
      </c>
      <c r="S24" s="174">
        <v>31978300</v>
      </c>
      <c r="T24" s="174">
        <v>31978300</v>
      </c>
      <c r="U24" s="174">
        <f>31978300+21559511</f>
        <v>53537811</v>
      </c>
      <c r="V24" s="174">
        <f>31978300-10290230</f>
        <v>21688070</v>
      </c>
      <c r="W24" s="174">
        <f>31978300+2139478+11416424</f>
        <v>45534202</v>
      </c>
      <c r="X24" s="174">
        <v>31978300</v>
      </c>
      <c r="Y24" s="174">
        <f>31978300+11416424</f>
        <v>43394724</v>
      </c>
      <c r="Z24" s="174">
        <v>31978300</v>
      </c>
      <c r="AA24" s="174">
        <f>31978300+11416424</f>
        <v>43394724</v>
      </c>
      <c r="AB24" s="174">
        <v>63956600</v>
      </c>
      <c r="AC24" s="213">
        <f>SUM(Q24:AB24)</f>
        <v>415000381</v>
      </c>
      <c r="AD24" s="182"/>
      <c r="AE24" s="3"/>
      <c r="AF24" s="442"/>
      <c r="AG24" s="442"/>
      <c r="AH24" s="442"/>
      <c r="AI24" s="442"/>
      <c r="AJ24" s="442"/>
      <c r="AK24" s="442"/>
      <c r="AL24" s="442"/>
      <c r="AM24" s="442"/>
    </row>
    <row r="25" spans="1:50" ht="32.1" customHeight="1" thickBot="1" x14ac:dyDescent="0.3">
      <c r="A25" s="522" t="s">
        <v>50</v>
      </c>
      <c r="B25" s="523"/>
      <c r="C25" s="358">
        <v>475860</v>
      </c>
      <c r="D25" s="176">
        <v>18698718</v>
      </c>
      <c r="E25" s="176" t="s">
        <v>51</v>
      </c>
      <c r="F25" s="176">
        <v>5151217</v>
      </c>
      <c r="G25" s="176">
        <v>0</v>
      </c>
      <c r="H25" s="176">
        <v>382120</v>
      </c>
      <c r="I25" s="176"/>
      <c r="J25" s="176"/>
      <c r="K25" s="176"/>
      <c r="L25" s="176"/>
      <c r="M25" s="176"/>
      <c r="N25" s="176"/>
      <c r="O25" s="176">
        <f>SUM(C25:N25)</f>
        <v>24707915</v>
      </c>
      <c r="P25" s="181">
        <f>+O25/O24</f>
        <v>0.95453709755825344</v>
      </c>
      <c r="Q25" s="358" t="s">
        <v>104</v>
      </c>
      <c r="R25" s="176">
        <v>1210733</v>
      </c>
      <c r="S25" s="176">
        <v>15704100</v>
      </c>
      <c r="T25" s="176">
        <v>25939467</v>
      </c>
      <c r="U25" s="176">
        <v>29819500</v>
      </c>
      <c r="V25" s="176">
        <v>29772367</v>
      </c>
      <c r="W25" s="176"/>
      <c r="X25" s="176"/>
      <c r="Y25" s="176"/>
      <c r="Z25" s="176"/>
      <c r="AA25" s="176"/>
      <c r="AB25" s="176"/>
      <c r="AC25" s="176">
        <f>SUM(Q25:AB25)</f>
        <v>102446167</v>
      </c>
      <c r="AD25" s="183">
        <f>+AC25/AC23</f>
        <v>0.27705263339970199</v>
      </c>
      <c r="AE25" s="3"/>
      <c r="AF25" s="442"/>
      <c r="AG25" s="442"/>
      <c r="AH25" s="442"/>
      <c r="AI25" s="442"/>
      <c r="AJ25" s="442"/>
      <c r="AK25" s="442"/>
      <c r="AL25" s="442"/>
      <c r="AM25" s="442"/>
    </row>
    <row r="26" spans="1:50" ht="32.1" customHeight="1" thickBot="1" x14ac:dyDescent="0.3">
      <c r="A26" s="59"/>
      <c r="B26" s="54"/>
      <c r="C26" s="80"/>
      <c r="D26" s="80"/>
      <c r="E26" s="80"/>
      <c r="F26" s="80"/>
      <c r="G26" s="80"/>
      <c r="H26" s="80"/>
      <c r="I26" s="80"/>
      <c r="J26" s="80"/>
      <c r="K26" s="80"/>
      <c r="L26" s="80"/>
      <c r="M26" s="80"/>
      <c r="N26" s="80"/>
      <c r="O26" s="80"/>
      <c r="P26" s="80"/>
      <c r="Q26" s="80"/>
      <c r="R26" s="80"/>
      <c r="S26" s="80"/>
      <c r="T26" s="80"/>
      <c r="U26" s="80"/>
      <c r="V26" s="80"/>
      <c r="W26" s="80"/>
      <c r="X26" s="80"/>
      <c r="Y26" s="80"/>
      <c r="Z26" s="80"/>
      <c r="AA26" s="80"/>
      <c r="AB26" s="80"/>
      <c r="AC26" s="60"/>
      <c r="AD26" s="173"/>
    </row>
    <row r="27" spans="1:50" ht="33.950000000000003" customHeight="1" x14ac:dyDescent="0.25">
      <c r="A27" s="516" t="s">
        <v>53</v>
      </c>
      <c r="B27" s="517"/>
      <c r="C27" s="518"/>
      <c r="D27" s="518"/>
      <c r="E27" s="518"/>
      <c r="F27" s="518"/>
      <c r="G27" s="518"/>
      <c r="H27" s="518"/>
      <c r="I27" s="518"/>
      <c r="J27" s="518"/>
      <c r="K27" s="518"/>
      <c r="L27" s="518"/>
      <c r="M27" s="518"/>
      <c r="N27" s="518"/>
      <c r="O27" s="518"/>
      <c r="P27" s="518"/>
      <c r="Q27" s="518"/>
      <c r="R27" s="518"/>
      <c r="S27" s="518"/>
      <c r="T27" s="518"/>
      <c r="U27" s="518"/>
      <c r="V27" s="518"/>
      <c r="W27" s="518"/>
      <c r="X27" s="518"/>
      <c r="Y27" s="518"/>
      <c r="Z27" s="518"/>
      <c r="AA27" s="518"/>
      <c r="AB27" s="518"/>
      <c r="AC27" s="518"/>
      <c r="AD27" s="519"/>
    </row>
    <row r="28" spans="1:50" ht="15" customHeight="1" x14ac:dyDescent="0.25">
      <c r="A28" s="541" t="s">
        <v>54</v>
      </c>
      <c r="B28" s="543" t="s">
        <v>55</v>
      </c>
      <c r="C28" s="544"/>
      <c r="D28" s="521" t="s">
        <v>56</v>
      </c>
      <c r="E28" s="547"/>
      <c r="F28" s="547"/>
      <c r="G28" s="547"/>
      <c r="H28" s="547"/>
      <c r="I28" s="547"/>
      <c r="J28" s="547"/>
      <c r="K28" s="547"/>
      <c r="L28" s="547"/>
      <c r="M28" s="547"/>
      <c r="N28" s="547"/>
      <c r="O28" s="548"/>
      <c r="P28" s="549" t="s">
        <v>42</v>
      </c>
      <c r="Q28" s="549" t="s">
        <v>57</v>
      </c>
      <c r="R28" s="549"/>
      <c r="S28" s="549"/>
      <c r="T28" s="549"/>
      <c r="U28" s="549"/>
      <c r="V28" s="549"/>
      <c r="W28" s="549"/>
      <c r="X28" s="549"/>
      <c r="Y28" s="549"/>
      <c r="Z28" s="549"/>
      <c r="AA28" s="549"/>
      <c r="AB28" s="549"/>
      <c r="AC28" s="549"/>
      <c r="AD28" s="550"/>
    </row>
    <row r="29" spans="1:50" ht="27" customHeight="1" x14ac:dyDescent="0.25">
      <c r="A29" s="542"/>
      <c r="B29" s="545"/>
      <c r="C29" s="546"/>
      <c r="D29" s="88" t="s">
        <v>31</v>
      </c>
      <c r="E29" s="88" t="s">
        <v>32</v>
      </c>
      <c r="F29" s="88" t="s">
        <v>33</v>
      </c>
      <c r="G29" s="88" t="s">
        <v>34</v>
      </c>
      <c r="H29" s="88" t="s">
        <v>35</v>
      </c>
      <c r="I29" s="88" t="s">
        <v>8</v>
      </c>
      <c r="J29" s="88" t="s">
        <v>36</v>
      </c>
      <c r="K29" s="88" t="s">
        <v>37</v>
      </c>
      <c r="L29" s="88" t="s">
        <v>38</v>
      </c>
      <c r="M29" s="88" t="s">
        <v>39</v>
      </c>
      <c r="N29" s="88" t="s">
        <v>40</v>
      </c>
      <c r="O29" s="88" t="s">
        <v>41</v>
      </c>
      <c r="P29" s="548"/>
      <c r="Q29" s="549"/>
      <c r="R29" s="549"/>
      <c r="S29" s="549"/>
      <c r="T29" s="549"/>
      <c r="U29" s="549"/>
      <c r="V29" s="549"/>
      <c r="W29" s="549"/>
      <c r="X29" s="549"/>
      <c r="Y29" s="549"/>
      <c r="Z29" s="549"/>
      <c r="AA29" s="549"/>
      <c r="AB29" s="549"/>
      <c r="AC29" s="549"/>
      <c r="AD29" s="550"/>
    </row>
    <row r="30" spans="1:50" ht="86.25" customHeight="1" thickBot="1" x14ac:dyDescent="0.3">
      <c r="A30" s="85" t="s">
        <v>132</v>
      </c>
      <c r="B30" s="551"/>
      <c r="C30" s="552"/>
      <c r="D30" s="89"/>
      <c r="E30" s="89"/>
      <c r="F30" s="89"/>
      <c r="G30" s="89"/>
      <c r="H30" s="89"/>
      <c r="I30" s="89"/>
      <c r="J30" s="89"/>
      <c r="K30" s="89"/>
      <c r="L30" s="89"/>
      <c r="M30" s="89"/>
      <c r="N30" s="89"/>
      <c r="O30" s="89"/>
      <c r="P30" s="86">
        <f>SUM(D30:O30)</f>
        <v>0</v>
      </c>
      <c r="Q30" s="553"/>
      <c r="R30" s="553"/>
      <c r="S30" s="553"/>
      <c r="T30" s="553"/>
      <c r="U30" s="553"/>
      <c r="V30" s="553"/>
      <c r="W30" s="553"/>
      <c r="X30" s="553"/>
      <c r="Y30" s="553"/>
      <c r="Z30" s="553"/>
      <c r="AA30" s="553"/>
      <c r="AB30" s="553"/>
      <c r="AC30" s="553"/>
      <c r="AD30" s="554"/>
    </row>
    <row r="31" spans="1:50" ht="45" customHeight="1" thickBot="1" x14ac:dyDescent="0.3">
      <c r="A31" s="555" t="s">
        <v>59</v>
      </c>
      <c r="B31" s="556"/>
      <c r="C31" s="556"/>
      <c r="D31" s="556"/>
      <c r="E31" s="556"/>
      <c r="F31" s="556"/>
      <c r="G31" s="556"/>
      <c r="H31" s="556"/>
      <c r="I31" s="556"/>
      <c r="J31" s="556"/>
      <c r="K31" s="556"/>
      <c r="L31" s="556"/>
      <c r="M31" s="556"/>
      <c r="N31" s="556"/>
      <c r="O31" s="556"/>
      <c r="P31" s="556"/>
      <c r="Q31" s="474"/>
      <c r="R31" s="474"/>
      <c r="S31" s="474"/>
      <c r="T31" s="474"/>
      <c r="U31" s="474"/>
      <c r="V31" s="474"/>
      <c r="W31" s="474"/>
      <c r="X31" s="474"/>
      <c r="Y31" s="474"/>
      <c r="Z31" s="474"/>
      <c r="AA31" s="474"/>
      <c r="AB31" s="474"/>
      <c r="AC31" s="474"/>
      <c r="AD31" s="475"/>
    </row>
    <row r="32" spans="1:50" ht="20.25" customHeight="1" x14ac:dyDescent="0.25">
      <c r="A32" s="512" t="s">
        <v>60</v>
      </c>
      <c r="B32" s="558" t="s">
        <v>61</v>
      </c>
      <c r="C32" s="558" t="s">
        <v>55</v>
      </c>
      <c r="D32" s="561" t="s">
        <v>62</v>
      </c>
      <c r="E32" s="558"/>
      <c r="F32" s="558"/>
      <c r="G32" s="558"/>
      <c r="H32" s="558"/>
      <c r="I32" s="558"/>
      <c r="J32" s="558"/>
      <c r="K32" s="558"/>
      <c r="L32" s="558"/>
      <c r="M32" s="558"/>
      <c r="N32" s="558"/>
      <c r="O32" s="558"/>
      <c r="P32" s="559"/>
      <c r="Q32" s="512" t="s">
        <v>63</v>
      </c>
      <c r="R32" s="558"/>
      <c r="S32" s="558"/>
      <c r="T32" s="558"/>
      <c r="U32" s="558"/>
      <c r="V32" s="558"/>
      <c r="W32" s="558"/>
      <c r="X32" s="558"/>
      <c r="Y32" s="558"/>
      <c r="Z32" s="558"/>
      <c r="AA32" s="558"/>
      <c r="AB32" s="558"/>
      <c r="AC32" s="558"/>
      <c r="AD32" s="559"/>
      <c r="AG32" s="87"/>
      <c r="AH32" s="87"/>
      <c r="AI32" s="87"/>
      <c r="AJ32" s="87"/>
      <c r="AK32" s="87"/>
      <c r="AL32" s="87"/>
      <c r="AM32" s="87"/>
      <c r="AN32" s="87"/>
      <c r="AO32" s="87"/>
    </row>
    <row r="33" spans="1:41" ht="27" customHeight="1" thickBot="1" x14ac:dyDescent="0.3">
      <c r="A33" s="681"/>
      <c r="B33" s="688"/>
      <c r="C33" s="751"/>
      <c r="D33" s="348" t="s">
        <v>31</v>
      </c>
      <c r="E33" s="351" t="s">
        <v>32</v>
      </c>
      <c r="F33" s="351" t="s">
        <v>33</v>
      </c>
      <c r="G33" s="351" t="s">
        <v>34</v>
      </c>
      <c r="H33" s="351" t="s">
        <v>35</v>
      </c>
      <c r="I33" s="351" t="s">
        <v>8</v>
      </c>
      <c r="J33" s="351" t="s">
        <v>36</v>
      </c>
      <c r="K33" s="351" t="s">
        <v>37</v>
      </c>
      <c r="L33" s="351" t="s">
        <v>38</v>
      </c>
      <c r="M33" s="351" t="s">
        <v>39</v>
      </c>
      <c r="N33" s="351" t="s">
        <v>40</v>
      </c>
      <c r="O33" s="351" t="s">
        <v>41</v>
      </c>
      <c r="P33" s="266" t="s">
        <v>42</v>
      </c>
      <c r="Q33" s="522" t="s">
        <v>64</v>
      </c>
      <c r="R33" s="593"/>
      <c r="S33" s="593"/>
      <c r="T33" s="593" t="s">
        <v>65</v>
      </c>
      <c r="U33" s="593"/>
      <c r="V33" s="593"/>
      <c r="W33" s="657" t="s">
        <v>106</v>
      </c>
      <c r="X33" s="510"/>
      <c r="Y33" s="510"/>
      <c r="Z33" s="658"/>
      <c r="AA33" s="657" t="s">
        <v>67</v>
      </c>
      <c r="AB33" s="510"/>
      <c r="AC33" s="510"/>
      <c r="AD33" s="511"/>
      <c r="AG33" s="87"/>
      <c r="AH33" s="87"/>
      <c r="AI33" s="87"/>
      <c r="AJ33" s="87"/>
      <c r="AK33" s="87"/>
      <c r="AL33" s="87"/>
      <c r="AM33" s="87"/>
      <c r="AN33" s="87"/>
      <c r="AO33" s="87"/>
    </row>
    <row r="34" spans="1:41" ht="102" customHeight="1" x14ac:dyDescent="0.25">
      <c r="A34" s="756" t="s">
        <v>132</v>
      </c>
      <c r="B34" s="758">
        <v>0.1</v>
      </c>
      <c r="C34" s="372" t="s">
        <v>68</v>
      </c>
      <c r="D34" s="380">
        <v>1</v>
      </c>
      <c r="E34" s="381">
        <v>1</v>
      </c>
      <c r="F34" s="381">
        <v>1</v>
      </c>
      <c r="G34" s="381">
        <v>1</v>
      </c>
      <c r="H34" s="381">
        <v>1</v>
      </c>
      <c r="I34" s="381">
        <v>1</v>
      </c>
      <c r="J34" s="381">
        <v>1</v>
      </c>
      <c r="K34" s="381">
        <v>1</v>
      </c>
      <c r="L34" s="381">
        <v>1</v>
      </c>
      <c r="M34" s="381">
        <v>1</v>
      </c>
      <c r="N34" s="381">
        <v>1</v>
      </c>
      <c r="O34" s="382">
        <v>1</v>
      </c>
      <c r="P34" s="383">
        <v>1</v>
      </c>
      <c r="Q34" s="760" t="s">
        <v>558</v>
      </c>
      <c r="R34" s="761"/>
      <c r="S34" s="762"/>
      <c r="T34" s="760" t="s">
        <v>559</v>
      </c>
      <c r="U34" s="761"/>
      <c r="V34" s="762"/>
      <c r="W34" s="763" t="s">
        <v>560</v>
      </c>
      <c r="X34" s="763"/>
      <c r="Y34" s="763"/>
      <c r="Z34" s="763"/>
      <c r="AA34" s="765"/>
      <c r="AB34" s="761"/>
      <c r="AC34" s="761"/>
      <c r="AD34" s="766"/>
      <c r="AG34" s="87"/>
      <c r="AH34" s="87"/>
      <c r="AI34" s="87"/>
      <c r="AJ34" s="87"/>
      <c r="AK34" s="87"/>
      <c r="AL34" s="87"/>
      <c r="AM34" s="87"/>
      <c r="AN34" s="87"/>
      <c r="AO34" s="87"/>
    </row>
    <row r="35" spans="1:41" ht="102" customHeight="1" thickBot="1" x14ac:dyDescent="0.3">
      <c r="A35" s="757"/>
      <c r="B35" s="759"/>
      <c r="C35" s="373" t="s">
        <v>72</v>
      </c>
      <c r="D35" s="374">
        <v>1</v>
      </c>
      <c r="E35" s="384">
        <v>1</v>
      </c>
      <c r="F35" s="384">
        <v>1</v>
      </c>
      <c r="G35" s="384">
        <v>1</v>
      </c>
      <c r="H35" s="384">
        <v>1</v>
      </c>
      <c r="I35" s="384">
        <v>1</v>
      </c>
      <c r="J35" s="384">
        <f t="shared" ref="J35:O35" si="0">J56</f>
        <v>0</v>
      </c>
      <c r="K35" s="384">
        <f t="shared" si="0"/>
        <v>0</v>
      </c>
      <c r="L35" s="384">
        <f t="shared" si="0"/>
        <v>0</v>
      </c>
      <c r="M35" s="384">
        <f t="shared" si="0"/>
        <v>0</v>
      </c>
      <c r="N35" s="384">
        <f t="shared" si="0"/>
        <v>0</v>
      </c>
      <c r="O35" s="385">
        <f t="shared" si="0"/>
        <v>0</v>
      </c>
      <c r="P35" s="386">
        <v>1</v>
      </c>
      <c r="Q35" s="761"/>
      <c r="R35" s="761"/>
      <c r="S35" s="762"/>
      <c r="T35" s="761"/>
      <c r="U35" s="761"/>
      <c r="V35" s="762"/>
      <c r="W35" s="764"/>
      <c r="X35" s="764"/>
      <c r="Y35" s="764"/>
      <c r="Z35" s="764"/>
      <c r="AA35" s="765"/>
      <c r="AB35" s="761"/>
      <c r="AC35" s="761"/>
      <c r="AD35" s="766"/>
      <c r="AE35" s="49"/>
      <c r="AG35" s="87"/>
      <c r="AH35" s="87"/>
      <c r="AI35" s="87"/>
      <c r="AJ35" s="87"/>
      <c r="AK35" s="87"/>
      <c r="AL35" s="87"/>
      <c r="AM35" s="87"/>
      <c r="AN35" s="87"/>
      <c r="AO35" s="87"/>
    </row>
    <row r="36" spans="1:41" ht="26.1" customHeight="1" x14ac:dyDescent="0.25">
      <c r="A36" s="512" t="s">
        <v>73</v>
      </c>
      <c r="B36" s="558" t="s">
        <v>74</v>
      </c>
      <c r="C36" s="767"/>
      <c r="D36" s="767"/>
      <c r="E36" s="767"/>
      <c r="F36" s="767"/>
      <c r="G36" s="767"/>
      <c r="H36" s="767"/>
      <c r="I36" s="767"/>
      <c r="J36" s="767"/>
      <c r="K36" s="767"/>
      <c r="L36" s="767"/>
      <c r="M36" s="767"/>
      <c r="N36" s="767"/>
      <c r="O36" s="767"/>
      <c r="P36" s="767"/>
      <c r="Q36" s="558" t="s">
        <v>76</v>
      </c>
      <c r="R36" s="558"/>
      <c r="S36" s="558"/>
      <c r="T36" s="558"/>
      <c r="U36" s="558"/>
      <c r="V36" s="558"/>
      <c r="W36" s="558"/>
      <c r="X36" s="558"/>
      <c r="Y36" s="558"/>
      <c r="Z36" s="558"/>
      <c r="AA36" s="558"/>
      <c r="AB36" s="558"/>
      <c r="AC36" s="558"/>
      <c r="AD36" s="559"/>
      <c r="AG36" s="87"/>
      <c r="AH36" s="87"/>
      <c r="AI36" s="87"/>
      <c r="AJ36" s="87"/>
      <c r="AK36" s="87"/>
      <c r="AL36" s="87"/>
      <c r="AM36" s="87"/>
      <c r="AN36" s="87"/>
      <c r="AO36" s="87"/>
    </row>
    <row r="37" spans="1:41" ht="26.1" customHeight="1" thickBot="1" x14ac:dyDescent="0.3">
      <c r="A37" s="522"/>
      <c r="B37" s="593"/>
      <c r="C37" s="322" t="s">
        <v>77</v>
      </c>
      <c r="D37" s="322" t="s">
        <v>78</v>
      </c>
      <c r="E37" s="322" t="s">
        <v>79</v>
      </c>
      <c r="F37" s="322" t="s">
        <v>80</v>
      </c>
      <c r="G37" s="322" t="s">
        <v>81</v>
      </c>
      <c r="H37" s="322" t="s">
        <v>82</v>
      </c>
      <c r="I37" s="322" t="s">
        <v>83</v>
      </c>
      <c r="J37" s="322" t="s">
        <v>84</v>
      </c>
      <c r="K37" s="322" t="s">
        <v>85</v>
      </c>
      <c r="L37" s="322" t="s">
        <v>86</v>
      </c>
      <c r="M37" s="322" t="s">
        <v>87</v>
      </c>
      <c r="N37" s="322" t="s">
        <v>88</v>
      </c>
      <c r="O37" s="322" t="s">
        <v>89</v>
      </c>
      <c r="P37" s="322" t="s">
        <v>90</v>
      </c>
      <c r="Q37" s="593" t="s">
        <v>91</v>
      </c>
      <c r="R37" s="593"/>
      <c r="S37" s="593"/>
      <c r="T37" s="593"/>
      <c r="U37" s="593"/>
      <c r="V37" s="593"/>
      <c r="W37" s="593"/>
      <c r="X37" s="593"/>
      <c r="Y37" s="593"/>
      <c r="Z37" s="593"/>
      <c r="AA37" s="593"/>
      <c r="AB37" s="593"/>
      <c r="AC37" s="593"/>
      <c r="AD37" s="768"/>
      <c r="AG37" s="94"/>
      <c r="AH37" s="94"/>
      <c r="AI37" s="94"/>
      <c r="AJ37" s="94"/>
      <c r="AK37" s="94"/>
      <c r="AL37" s="94"/>
      <c r="AM37" s="94"/>
      <c r="AN37" s="94"/>
      <c r="AO37" s="94"/>
    </row>
    <row r="38" spans="1:41" ht="35.25" customHeight="1" x14ac:dyDescent="0.25">
      <c r="A38" s="667" t="s">
        <v>136</v>
      </c>
      <c r="B38" s="752">
        <v>0.1</v>
      </c>
      <c r="C38" s="372" t="s">
        <v>68</v>
      </c>
      <c r="D38" s="375">
        <v>0</v>
      </c>
      <c r="E38" s="417">
        <v>0.1</v>
      </c>
      <c r="F38" s="418">
        <v>9.5000000000000001E-2</v>
      </c>
      <c r="G38" s="418">
        <v>9.5000000000000001E-2</v>
      </c>
      <c r="H38" s="418">
        <v>9.5000000000000001E-2</v>
      </c>
      <c r="I38" s="418">
        <v>9.5000000000000001E-2</v>
      </c>
      <c r="J38" s="376">
        <v>9.5000000000000001E-2</v>
      </c>
      <c r="K38" s="376">
        <v>9.5000000000000001E-2</v>
      </c>
      <c r="L38" s="376">
        <v>9.5000000000000001E-2</v>
      </c>
      <c r="M38" s="376">
        <v>9.5000000000000001E-2</v>
      </c>
      <c r="N38" s="376">
        <v>0.09</v>
      </c>
      <c r="O38" s="376">
        <v>0.05</v>
      </c>
      <c r="P38" s="377">
        <v>0.99999999999999989</v>
      </c>
      <c r="Q38" s="753" t="s">
        <v>561</v>
      </c>
      <c r="R38" s="754"/>
      <c r="S38" s="754"/>
      <c r="T38" s="754"/>
      <c r="U38" s="754"/>
      <c r="V38" s="754"/>
      <c r="W38" s="754"/>
      <c r="X38" s="754"/>
      <c r="Y38" s="754"/>
      <c r="Z38" s="754"/>
      <c r="AA38" s="754"/>
      <c r="AB38" s="754"/>
      <c r="AC38" s="754"/>
      <c r="AD38" s="755"/>
      <c r="AE38" s="97"/>
      <c r="AG38" s="98"/>
      <c r="AH38" s="98"/>
      <c r="AI38" s="98"/>
      <c r="AJ38" s="98"/>
      <c r="AK38" s="98"/>
      <c r="AL38" s="98"/>
      <c r="AM38" s="98"/>
      <c r="AN38" s="98"/>
      <c r="AO38" s="98"/>
    </row>
    <row r="39" spans="1:41" ht="35.25" customHeight="1" x14ac:dyDescent="0.25">
      <c r="A39" s="660"/>
      <c r="B39" s="721"/>
      <c r="C39" s="321" t="s">
        <v>72</v>
      </c>
      <c r="D39" s="378"/>
      <c r="E39" s="419">
        <v>0.1</v>
      </c>
      <c r="F39" s="419">
        <v>9.5000000000000001E-2</v>
      </c>
      <c r="G39" s="419">
        <v>9.5000000000000001E-2</v>
      </c>
      <c r="H39" s="419">
        <v>9.5000000000000001E-2</v>
      </c>
      <c r="I39" s="419">
        <v>9.5000000000000001E-2</v>
      </c>
      <c r="J39" s="379"/>
      <c r="K39" s="379"/>
      <c r="L39" s="379"/>
      <c r="M39" s="379"/>
      <c r="N39" s="379"/>
      <c r="O39" s="379"/>
      <c r="P39" s="264">
        <f t="shared" ref="P39" si="1">SUM(D39:O39)</f>
        <v>0.48</v>
      </c>
      <c r="Q39" s="633"/>
      <c r="R39" s="633"/>
      <c r="S39" s="633"/>
      <c r="T39" s="633"/>
      <c r="U39" s="633"/>
      <c r="V39" s="633"/>
      <c r="W39" s="633"/>
      <c r="X39" s="633"/>
      <c r="Y39" s="633"/>
      <c r="Z39" s="633"/>
      <c r="AA39" s="633"/>
      <c r="AB39" s="633"/>
      <c r="AC39" s="633"/>
      <c r="AD39" s="634"/>
      <c r="AE39" s="97"/>
    </row>
    <row r="40" spans="1:41" x14ac:dyDescent="0.25">
      <c r="A40" s="50" t="s">
        <v>95</v>
      </c>
    </row>
    <row r="45" spans="1:41" x14ac:dyDescent="0.25">
      <c r="A45" s="613" t="s">
        <v>96</v>
      </c>
      <c r="B45" s="615" t="s">
        <v>74</v>
      </c>
      <c r="C45" s="617" t="s">
        <v>75</v>
      </c>
      <c r="D45" s="618"/>
      <c r="E45" s="618"/>
      <c r="F45" s="618"/>
      <c r="G45" s="618"/>
      <c r="H45" s="618"/>
      <c r="I45" s="618"/>
      <c r="J45" s="618"/>
      <c r="K45" s="618"/>
      <c r="L45" s="618"/>
      <c r="M45" s="618"/>
      <c r="N45" s="618"/>
      <c r="O45" s="618"/>
      <c r="P45" s="619"/>
      <c r="Q45" s="228"/>
      <c r="R45" s="228"/>
      <c r="S45" s="229"/>
      <c r="T45" s="229"/>
      <c r="U45" s="229"/>
      <c r="V45" s="229"/>
      <c r="W45" s="229"/>
      <c r="X45" s="229"/>
      <c r="Y45" s="229"/>
      <c r="Z45" s="229"/>
      <c r="AA45" s="229"/>
      <c r="AB45" s="229"/>
      <c r="AC45" s="229"/>
      <c r="AD45" s="229"/>
    </row>
    <row r="46" spans="1:41" ht="21" x14ac:dyDescent="0.25">
      <c r="A46" s="614"/>
      <c r="B46" s="616"/>
      <c r="C46" s="230" t="s">
        <v>77</v>
      </c>
      <c r="D46" s="230" t="s">
        <v>78</v>
      </c>
      <c r="E46" s="230" t="s">
        <v>79</v>
      </c>
      <c r="F46" s="230" t="s">
        <v>80</v>
      </c>
      <c r="G46" s="230" t="s">
        <v>81</v>
      </c>
      <c r="H46" s="230" t="s">
        <v>82</v>
      </c>
      <c r="I46" s="230" t="s">
        <v>83</v>
      </c>
      <c r="J46" s="230" t="s">
        <v>84</v>
      </c>
      <c r="K46" s="230" t="s">
        <v>85</v>
      </c>
      <c r="L46" s="230" t="s">
        <v>86</v>
      </c>
      <c r="M46" s="230" t="s">
        <v>87</v>
      </c>
      <c r="N46" s="230" t="s">
        <v>88</v>
      </c>
      <c r="O46" s="230" t="s">
        <v>89</v>
      </c>
      <c r="P46" s="230" t="s">
        <v>90</v>
      </c>
      <c r="Q46" s="228"/>
      <c r="R46" s="228"/>
      <c r="S46" s="229"/>
      <c r="T46" s="229"/>
      <c r="U46" s="229"/>
      <c r="V46" s="229"/>
      <c r="W46" s="229"/>
      <c r="X46" s="229"/>
      <c r="Y46" s="229"/>
      <c r="Z46" s="229"/>
      <c r="AA46" s="229"/>
      <c r="AB46" s="229"/>
      <c r="AC46" s="229"/>
      <c r="AD46" s="229"/>
    </row>
    <row r="47" spans="1:41" x14ac:dyDescent="0.25">
      <c r="A47" s="620" t="str">
        <f>A38</f>
        <v xml:space="preserve">12. Diseñar, publicar y socializar una caja de herramientas de la Estrategia Pedagógica y de Cambio Cultural.  </v>
      </c>
      <c r="B47" s="622">
        <f>B38</f>
        <v>0.1</v>
      </c>
      <c r="C47" s="231" t="s">
        <v>68</v>
      </c>
      <c r="D47" s="232">
        <f t="shared" ref="D47:O47" si="2">D38*$B$38/$P$38</f>
        <v>0</v>
      </c>
      <c r="E47" s="232">
        <f t="shared" si="2"/>
        <v>1.0000000000000004E-2</v>
      </c>
      <c r="F47" s="232">
        <f t="shared" si="2"/>
        <v>9.5000000000000032E-3</v>
      </c>
      <c r="G47" s="232">
        <f t="shared" si="2"/>
        <v>9.5000000000000032E-3</v>
      </c>
      <c r="H47" s="232">
        <f t="shared" si="2"/>
        <v>9.5000000000000032E-3</v>
      </c>
      <c r="I47" s="232">
        <f t="shared" si="2"/>
        <v>9.5000000000000032E-3</v>
      </c>
      <c r="J47" s="232">
        <f t="shared" si="2"/>
        <v>9.5000000000000032E-3</v>
      </c>
      <c r="K47" s="232">
        <f t="shared" si="2"/>
        <v>9.5000000000000032E-3</v>
      </c>
      <c r="L47" s="232">
        <f t="shared" si="2"/>
        <v>9.5000000000000032E-3</v>
      </c>
      <c r="M47" s="232">
        <f t="shared" si="2"/>
        <v>9.5000000000000032E-3</v>
      </c>
      <c r="N47" s="232">
        <f t="shared" si="2"/>
        <v>9.0000000000000011E-3</v>
      </c>
      <c r="O47" s="232">
        <f t="shared" si="2"/>
        <v>5.0000000000000018E-3</v>
      </c>
      <c r="P47" s="233">
        <f>SUM(D47:O47)</f>
        <v>0.10000000000000003</v>
      </c>
      <c r="Q47" s="234">
        <v>0.05</v>
      </c>
      <c r="R47" s="235">
        <f>+P47-Q47</f>
        <v>5.0000000000000031E-2</v>
      </c>
      <c r="S47" s="229"/>
      <c r="T47" s="229"/>
      <c r="U47" s="229"/>
      <c r="V47" s="229"/>
      <c r="W47" s="229"/>
      <c r="X47" s="229"/>
      <c r="Y47" s="229"/>
      <c r="Z47" s="229"/>
      <c r="AA47" s="229"/>
      <c r="AB47" s="229"/>
      <c r="AC47" s="229"/>
      <c r="AD47" s="229"/>
    </row>
    <row r="48" spans="1:41" x14ac:dyDescent="0.25">
      <c r="A48" s="621"/>
      <c r="B48" s="623"/>
      <c r="C48" s="240" t="s">
        <v>72</v>
      </c>
      <c r="D48" s="237">
        <f t="shared" ref="D48:O48" si="3">D39*$B$38/$P$38</f>
        <v>0</v>
      </c>
      <c r="E48" s="237">
        <f t="shared" si="3"/>
        <v>1.0000000000000004E-2</v>
      </c>
      <c r="F48" s="237">
        <f t="shared" si="3"/>
        <v>9.5000000000000032E-3</v>
      </c>
      <c r="G48" s="237">
        <f t="shared" si="3"/>
        <v>9.5000000000000032E-3</v>
      </c>
      <c r="H48" s="237">
        <f t="shared" si="3"/>
        <v>9.5000000000000032E-3</v>
      </c>
      <c r="I48" s="237">
        <f t="shared" si="3"/>
        <v>9.5000000000000032E-3</v>
      </c>
      <c r="J48" s="237">
        <f t="shared" si="3"/>
        <v>0</v>
      </c>
      <c r="K48" s="237">
        <f t="shared" si="3"/>
        <v>0</v>
      </c>
      <c r="L48" s="237">
        <f t="shared" si="3"/>
        <v>0</v>
      </c>
      <c r="M48" s="237">
        <f t="shared" si="3"/>
        <v>0</v>
      </c>
      <c r="N48" s="237">
        <f t="shared" si="3"/>
        <v>0</v>
      </c>
      <c r="O48" s="237">
        <f t="shared" si="3"/>
        <v>0</v>
      </c>
      <c r="P48" s="238">
        <f>SUM(D48:O48)</f>
        <v>4.8000000000000015E-2</v>
      </c>
      <c r="Q48" s="239">
        <f>+P48</f>
        <v>4.8000000000000015E-2</v>
      </c>
      <c r="R48" s="235">
        <f>+P48-Q48</f>
        <v>0</v>
      </c>
      <c r="S48" s="229"/>
      <c r="T48" s="229"/>
      <c r="U48" s="229"/>
      <c r="V48" s="229"/>
      <c r="W48" s="229"/>
      <c r="X48" s="229"/>
      <c r="Y48" s="229"/>
      <c r="Z48" s="229"/>
      <c r="AA48" s="229"/>
      <c r="AB48" s="229"/>
      <c r="AC48" s="229"/>
      <c r="AD48" s="229"/>
    </row>
    <row r="49" spans="1:30" x14ac:dyDescent="0.25">
      <c r="A49" s="609"/>
      <c r="B49" s="611"/>
      <c r="C49" s="243"/>
      <c r="D49" s="232"/>
      <c r="E49" s="232"/>
      <c r="F49" s="232"/>
      <c r="G49" s="232"/>
      <c r="H49" s="232"/>
      <c r="I49" s="232"/>
      <c r="J49" s="232"/>
      <c r="K49" s="232"/>
      <c r="L49" s="232"/>
      <c r="M49" s="232"/>
      <c r="N49" s="232"/>
      <c r="O49" s="232"/>
      <c r="P49" s="244"/>
      <c r="Q49" s="234"/>
      <c r="R49" s="235"/>
      <c r="S49" s="229"/>
      <c r="T49" s="229"/>
      <c r="U49" s="229"/>
      <c r="V49" s="229"/>
      <c r="W49" s="229"/>
      <c r="X49" s="229"/>
      <c r="Y49" s="229"/>
      <c r="Z49" s="229"/>
      <c r="AA49" s="229"/>
      <c r="AB49" s="229"/>
      <c r="AC49" s="229"/>
      <c r="AD49" s="229"/>
    </row>
    <row r="50" spans="1:30" x14ac:dyDescent="0.25">
      <c r="A50" s="610"/>
      <c r="B50" s="612"/>
      <c r="C50" s="243"/>
      <c r="D50" s="247"/>
      <c r="E50" s="247"/>
      <c r="F50" s="247"/>
      <c r="G50" s="247"/>
      <c r="H50" s="247"/>
      <c r="I50" s="247"/>
      <c r="J50" s="247"/>
      <c r="K50" s="247"/>
      <c r="L50" s="247"/>
      <c r="M50" s="247"/>
      <c r="N50" s="247"/>
      <c r="O50" s="247"/>
      <c r="P50" s="244"/>
      <c r="Q50" s="239"/>
      <c r="R50" s="235"/>
      <c r="S50" s="229"/>
      <c r="T50" s="229"/>
      <c r="U50" s="229"/>
      <c r="V50" s="229"/>
      <c r="W50" s="229"/>
      <c r="X50" s="229"/>
      <c r="Y50" s="229"/>
      <c r="Z50" s="229"/>
      <c r="AA50" s="229"/>
      <c r="AB50" s="229"/>
      <c r="AC50" s="229"/>
      <c r="AD50" s="229"/>
    </row>
    <row r="51" spans="1:30" x14ac:dyDescent="0.25">
      <c r="A51" s="609"/>
      <c r="B51" s="611"/>
      <c r="C51" s="243"/>
      <c r="D51" s="232"/>
      <c r="E51" s="232"/>
      <c r="F51" s="232"/>
      <c r="G51" s="232"/>
      <c r="H51" s="232"/>
      <c r="I51" s="232"/>
      <c r="J51" s="232"/>
      <c r="K51" s="232"/>
      <c r="L51" s="232"/>
      <c r="M51" s="232"/>
      <c r="N51" s="232"/>
      <c r="O51" s="232"/>
      <c r="P51" s="244"/>
      <c r="Q51" s="234"/>
      <c r="R51" s="235"/>
      <c r="S51" s="229"/>
      <c r="T51" s="229"/>
      <c r="U51" s="229"/>
      <c r="V51" s="229"/>
      <c r="W51" s="229"/>
      <c r="X51" s="229"/>
      <c r="Y51" s="229"/>
      <c r="Z51" s="229"/>
      <c r="AA51" s="229"/>
      <c r="AB51" s="229"/>
      <c r="AC51" s="229"/>
      <c r="AD51" s="229"/>
    </row>
    <row r="52" spans="1:30" x14ac:dyDescent="0.25">
      <c r="A52" s="610"/>
      <c r="B52" s="612"/>
      <c r="C52" s="243"/>
      <c r="D52" s="247"/>
      <c r="E52" s="247"/>
      <c r="F52" s="247"/>
      <c r="G52" s="247"/>
      <c r="H52" s="247"/>
      <c r="I52" s="247"/>
      <c r="J52" s="247"/>
      <c r="K52" s="247"/>
      <c r="L52" s="247"/>
      <c r="M52" s="247"/>
      <c r="N52" s="247"/>
      <c r="O52" s="247"/>
      <c r="P52" s="244"/>
      <c r="Q52" s="239"/>
      <c r="R52" s="235"/>
      <c r="S52" s="229"/>
      <c r="T52" s="229"/>
      <c r="U52" s="229"/>
      <c r="V52" s="229"/>
      <c r="W52" s="229"/>
      <c r="X52" s="229"/>
      <c r="Y52" s="229"/>
      <c r="Z52" s="229"/>
      <c r="AA52" s="229"/>
      <c r="AB52" s="229"/>
      <c r="AC52" s="229"/>
      <c r="AD52" s="229"/>
    </row>
    <row r="53" spans="1:30" x14ac:dyDescent="0.25">
      <c r="A53" s="241"/>
      <c r="B53" s="242"/>
      <c r="C53" s="243"/>
      <c r="D53" s="232"/>
      <c r="E53" s="232"/>
      <c r="F53" s="232"/>
      <c r="G53" s="232"/>
      <c r="H53" s="232"/>
      <c r="I53" s="232"/>
      <c r="J53" s="232"/>
      <c r="K53" s="232"/>
      <c r="L53" s="232"/>
      <c r="M53" s="232"/>
      <c r="N53" s="232"/>
      <c r="O53" s="232"/>
      <c r="P53" s="244"/>
      <c r="Q53" s="234"/>
      <c r="R53" s="235"/>
      <c r="S53" s="229"/>
      <c r="T53" s="229"/>
      <c r="U53" s="229"/>
      <c r="V53" s="229"/>
      <c r="W53" s="229"/>
      <c r="X53" s="229"/>
      <c r="Y53" s="229"/>
      <c r="Z53" s="229"/>
      <c r="AA53" s="229"/>
      <c r="AB53" s="229"/>
      <c r="AC53" s="229"/>
      <c r="AD53" s="229"/>
    </row>
    <row r="54" spans="1:30" x14ac:dyDescent="0.25">
      <c r="A54" s="245"/>
      <c r="B54" s="246"/>
      <c r="C54" s="243"/>
      <c r="D54" s="247"/>
      <c r="E54" s="247"/>
      <c r="F54" s="247"/>
      <c r="G54" s="247"/>
      <c r="H54" s="247"/>
      <c r="I54" s="247"/>
      <c r="J54" s="247"/>
      <c r="K54" s="247"/>
      <c r="L54" s="247"/>
      <c r="M54" s="247"/>
      <c r="N54" s="247"/>
      <c r="O54" s="247"/>
      <c r="P54" s="244"/>
      <c r="Q54" s="239"/>
      <c r="R54" s="235"/>
      <c r="S54" s="229"/>
      <c r="T54" s="229"/>
      <c r="U54" s="229"/>
      <c r="V54" s="229"/>
      <c r="W54" s="229"/>
      <c r="X54" s="229"/>
      <c r="Y54" s="229"/>
      <c r="Z54" s="229"/>
      <c r="AA54" s="229"/>
      <c r="AB54" s="229"/>
      <c r="AC54" s="229"/>
      <c r="AD54" s="229"/>
    </row>
    <row r="55" spans="1:30" x14ac:dyDescent="0.25">
      <c r="A55" s="228"/>
      <c r="B55" s="248"/>
      <c r="C55" s="249"/>
      <c r="D55" s="250">
        <f>D48</f>
        <v>0</v>
      </c>
      <c r="E55" s="250">
        <f t="shared" ref="E55:O55" si="4">E48</f>
        <v>1.0000000000000004E-2</v>
      </c>
      <c r="F55" s="250">
        <f t="shared" si="4"/>
        <v>9.5000000000000032E-3</v>
      </c>
      <c r="G55" s="250">
        <f t="shared" si="4"/>
        <v>9.5000000000000032E-3</v>
      </c>
      <c r="H55" s="250">
        <f t="shared" si="4"/>
        <v>9.5000000000000032E-3</v>
      </c>
      <c r="I55" s="250">
        <f t="shared" si="4"/>
        <v>9.5000000000000032E-3</v>
      </c>
      <c r="J55" s="250">
        <f t="shared" si="4"/>
        <v>0</v>
      </c>
      <c r="K55" s="250">
        <f t="shared" si="4"/>
        <v>0</v>
      </c>
      <c r="L55" s="250">
        <f t="shared" si="4"/>
        <v>0</v>
      </c>
      <c r="M55" s="250">
        <f t="shared" si="4"/>
        <v>0</v>
      </c>
      <c r="N55" s="250">
        <f t="shared" si="4"/>
        <v>0</v>
      </c>
      <c r="O55" s="250">
        <f t="shared" si="4"/>
        <v>0</v>
      </c>
      <c r="P55" s="250">
        <f>P48+P50+P52</f>
        <v>4.8000000000000015E-2</v>
      </c>
      <c r="Q55" s="228"/>
      <c r="R55" s="235">
        <f>+P55-Q55</f>
        <v>4.8000000000000015E-2</v>
      </c>
      <c r="S55" s="229"/>
      <c r="T55" s="229"/>
      <c r="U55" s="229"/>
      <c r="V55" s="229"/>
      <c r="W55" s="229"/>
      <c r="X55" s="229"/>
      <c r="Y55" s="229"/>
      <c r="Z55" s="229"/>
      <c r="AA55" s="229"/>
      <c r="AB55" s="229"/>
      <c r="AC55" s="229"/>
      <c r="AD55" s="229"/>
    </row>
    <row r="56" spans="1:30" x14ac:dyDescent="0.25">
      <c r="A56" s="228"/>
      <c r="B56" s="251"/>
      <c r="C56" s="252" t="s">
        <v>72</v>
      </c>
      <c r="D56" s="253">
        <f>D55*$W$17/$B$34</f>
        <v>0</v>
      </c>
      <c r="E56" s="253">
        <f t="shared" ref="E56:O56" si="5">E55*$W$17/$B$34</f>
        <v>0.10000000000000003</v>
      </c>
      <c r="F56" s="253">
        <f t="shared" si="5"/>
        <v>9.5000000000000029E-2</v>
      </c>
      <c r="G56" s="253">
        <f t="shared" si="5"/>
        <v>9.5000000000000029E-2</v>
      </c>
      <c r="H56" s="253">
        <f t="shared" si="5"/>
        <v>9.5000000000000029E-2</v>
      </c>
      <c r="I56" s="253">
        <f t="shared" si="5"/>
        <v>9.5000000000000029E-2</v>
      </c>
      <c r="J56" s="253">
        <f t="shared" si="5"/>
        <v>0</v>
      </c>
      <c r="K56" s="253">
        <f t="shared" si="5"/>
        <v>0</v>
      </c>
      <c r="L56" s="253">
        <f t="shared" si="5"/>
        <v>0</v>
      </c>
      <c r="M56" s="253">
        <f t="shared" si="5"/>
        <v>0</v>
      </c>
      <c r="N56" s="253">
        <f t="shared" si="5"/>
        <v>0</v>
      </c>
      <c r="O56" s="253">
        <f t="shared" si="5"/>
        <v>0</v>
      </c>
      <c r="P56" s="254">
        <f>SUM(D56:O56)</f>
        <v>0.48000000000000015</v>
      </c>
      <c r="Q56" s="255"/>
      <c r="R56" s="228"/>
      <c r="S56" s="229"/>
      <c r="T56" s="229"/>
      <c r="U56" s="229"/>
      <c r="V56" s="229"/>
      <c r="W56" s="229"/>
      <c r="X56" s="229"/>
      <c r="Y56" s="229"/>
      <c r="Z56" s="229"/>
      <c r="AA56" s="229"/>
      <c r="AB56" s="229"/>
      <c r="AC56" s="229"/>
      <c r="AD56" s="229"/>
    </row>
    <row r="57" spans="1:30" x14ac:dyDescent="0.25">
      <c r="A57" s="255"/>
      <c r="B57" s="256"/>
      <c r="C57" s="256"/>
      <c r="D57" s="256"/>
      <c r="E57" s="256"/>
      <c r="F57" s="256"/>
      <c r="G57" s="256"/>
      <c r="H57" s="256"/>
      <c r="I57" s="256"/>
      <c r="J57" s="256"/>
      <c r="K57" s="256"/>
      <c r="L57" s="256"/>
      <c r="M57" s="256"/>
      <c r="N57" s="256"/>
      <c r="O57" s="256"/>
      <c r="P57" s="256"/>
      <c r="Q57" s="255"/>
      <c r="R57" s="255"/>
      <c r="S57" s="229"/>
      <c r="T57" s="229"/>
      <c r="U57" s="229"/>
      <c r="V57" s="229"/>
      <c r="W57" s="229"/>
      <c r="X57" s="229"/>
      <c r="Y57" s="229"/>
      <c r="Z57" s="229"/>
      <c r="AA57" s="229"/>
      <c r="AB57" s="229"/>
      <c r="AC57" s="229"/>
      <c r="AD57" s="229"/>
    </row>
    <row r="58" spans="1:30" x14ac:dyDescent="0.25">
      <c r="A58" s="234"/>
      <c r="B58" s="108"/>
      <c r="C58" s="108"/>
      <c r="D58" s="250">
        <f>+D47</f>
        <v>0</v>
      </c>
      <c r="E58" s="250">
        <f t="shared" ref="E58:O58" si="6">+E47</f>
        <v>1.0000000000000004E-2</v>
      </c>
      <c r="F58" s="250">
        <f t="shared" si="6"/>
        <v>9.5000000000000032E-3</v>
      </c>
      <c r="G58" s="250">
        <f t="shared" si="6"/>
        <v>9.5000000000000032E-3</v>
      </c>
      <c r="H58" s="250">
        <f t="shared" si="6"/>
        <v>9.5000000000000032E-3</v>
      </c>
      <c r="I58" s="250">
        <f t="shared" si="6"/>
        <v>9.5000000000000032E-3</v>
      </c>
      <c r="J58" s="250">
        <f t="shared" si="6"/>
        <v>9.5000000000000032E-3</v>
      </c>
      <c r="K58" s="250">
        <f t="shared" si="6"/>
        <v>9.5000000000000032E-3</v>
      </c>
      <c r="L58" s="250">
        <f t="shared" si="6"/>
        <v>9.5000000000000032E-3</v>
      </c>
      <c r="M58" s="250">
        <f t="shared" si="6"/>
        <v>9.5000000000000032E-3</v>
      </c>
      <c r="N58" s="250">
        <f t="shared" si="6"/>
        <v>9.0000000000000011E-3</v>
      </c>
      <c r="O58" s="250">
        <f t="shared" si="6"/>
        <v>5.0000000000000018E-3</v>
      </c>
      <c r="P58" s="250">
        <f>+P47+P49+P51</f>
        <v>0.10000000000000003</v>
      </c>
      <c r="Q58" s="234"/>
      <c r="R58" s="234"/>
      <c r="S58" s="229"/>
      <c r="T58" s="229"/>
      <c r="U58" s="229"/>
      <c r="V58" s="229"/>
      <c r="W58" s="229"/>
      <c r="X58" s="229"/>
      <c r="Y58" s="229"/>
      <c r="Z58" s="229"/>
      <c r="AA58" s="229"/>
      <c r="AB58" s="229"/>
      <c r="AC58" s="229"/>
      <c r="AD58" s="229"/>
    </row>
    <row r="59" spans="1:30" x14ac:dyDescent="0.25">
      <c r="A59" s="234"/>
      <c r="B59" s="108"/>
      <c r="C59" s="252" t="s">
        <v>68</v>
      </c>
      <c r="D59" s="253">
        <f t="shared" ref="D59:O59" si="7">D58*$W$17/$B$34</f>
        <v>0</v>
      </c>
      <c r="E59" s="253">
        <f>E58*$W$17/$B$34</f>
        <v>0.10000000000000003</v>
      </c>
      <c r="F59" s="253">
        <f t="shared" si="7"/>
        <v>9.5000000000000029E-2</v>
      </c>
      <c r="G59" s="253">
        <f t="shared" si="7"/>
        <v>9.5000000000000029E-2</v>
      </c>
      <c r="H59" s="253">
        <f t="shared" si="7"/>
        <v>9.5000000000000029E-2</v>
      </c>
      <c r="I59" s="253">
        <f t="shared" si="7"/>
        <v>9.5000000000000029E-2</v>
      </c>
      <c r="J59" s="253">
        <f t="shared" si="7"/>
        <v>9.5000000000000029E-2</v>
      </c>
      <c r="K59" s="253">
        <f t="shared" si="7"/>
        <v>9.5000000000000029E-2</v>
      </c>
      <c r="L59" s="253">
        <f t="shared" si="7"/>
        <v>9.5000000000000029E-2</v>
      </c>
      <c r="M59" s="253">
        <f t="shared" si="7"/>
        <v>9.5000000000000029E-2</v>
      </c>
      <c r="N59" s="253">
        <f t="shared" si="7"/>
        <v>9.0000000000000011E-2</v>
      </c>
      <c r="O59" s="253">
        <f t="shared" si="7"/>
        <v>5.0000000000000017E-2</v>
      </c>
      <c r="P59" s="254">
        <f>SUM(D59:O59)</f>
        <v>1</v>
      </c>
      <c r="Q59" s="234"/>
      <c r="R59" s="234"/>
      <c r="S59" s="229"/>
      <c r="T59" s="229"/>
      <c r="U59" s="229"/>
      <c r="V59" s="229"/>
      <c r="W59" s="229"/>
      <c r="X59" s="229"/>
      <c r="Y59" s="229"/>
      <c r="Z59" s="229"/>
      <c r="AA59" s="229"/>
      <c r="AB59" s="229"/>
      <c r="AC59" s="229"/>
      <c r="AD59" s="229"/>
    </row>
    <row r="60" spans="1:30" x14ac:dyDescent="0.25">
      <c r="A60" s="229"/>
      <c r="Q60" s="229"/>
      <c r="R60" s="229"/>
      <c r="S60" s="229"/>
      <c r="T60" s="229"/>
      <c r="U60" s="229"/>
      <c r="V60" s="229"/>
      <c r="W60" s="229"/>
      <c r="X60" s="229"/>
      <c r="Y60" s="229"/>
      <c r="Z60" s="229"/>
      <c r="AA60" s="229"/>
      <c r="AB60" s="229"/>
      <c r="AC60" s="229"/>
      <c r="AD60" s="229"/>
    </row>
    <row r="61" spans="1:30" x14ac:dyDescent="0.25">
      <c r="A61" s="229"/>
      <c r="Q61" s="229"/>
      <c r="R61" s="229"/>
      <c r="S61" s="229"/>
      <c r="T61" s="229"/>
      <c r="U61" s="229"/>
      <c r="V61" s="229"/>
      <c r="W61" s="229"/>
      <c r="X61" s="229"/>
      <c r="Y61" s="229"/>
      <c r="Z61" s="229"/>
      <c r="AA61" s="229"/>
      <c r="AB61" s="229"/>
      <c r="AC61" s="229"/>
      <c r="AD61" s="229"/>
    </row>
    <row r="62" spans="1:30" x14ac:dyDescent="0.25">
      <c r="A62" s="229"/>
      <c r="Q62" s="229"/>
      <c r="R62" s="229"/>
      <c r="S62" s="229"/>
      <c r="T62" s="229"/>
      <c r="U62" s="229"/>
      <c r="V62" s="229"/>
      <c r="W62" s="229"/>
      <c r="X62" s="229"/>
      <c r="Y62" s="229"/>
      <c r="Z62" s="229"/>
      <c r="AA62" s="229"/>
      <c r="AB62" s="229"/>
      <c r="AC62" s="229"/>
      <c r="AD62" s="229"/>
    </row>
  </sheetData>
  <mergeCells count="83">
    <mergeCell ref="A51:A52"/>
    <mergeCell ref="B51:B52"/>
    <mergeCell ref="A45:A46"/>
    <mergeCell ref="B45:B46"/>
    <mergeCell ref="C45:P45"/>
    <mergeCell ref="A47:A48"/>
    <mergeCell ref="B47:B48"/>
    <mergeCell ref="A49:A50"/>
    <mergeCell ref="B49:B50"/>
    <mergeCell ref="A38:A39"/>
    <mergeCell ref="B38:B39"/>
    <mergeCell ref="Q38:AD39"/>
    <mergeCell ref="W33:Z33"/>
    <mergeCell ref="AA33:AD33"/>
    <mergeCell ref="A34:A35"/>
    <mergeCell ref="B34:B35"/>
    <mergeCell ref="Q34:S35"/>
    <mergeCell ref="T34:V35"/>
    <mergeCell ref="W34:Z35"/>
    <mergeCell ref="AA34:AD35"/>
    <mergeCell ref="A36:A37"/>
    <mergeCell ref="B36:B37"/>
    <mergeCell ref="C36:P36"/>
    <mergeCell ref="Q36:AD36"/>
    <mergeCell ref="Q37:AD37"/>
    <mergeCell ref="B30:C30"/>
    <mergeCell ref="Q30:AD30"/>
    <mergeCell ref="A31:AD31"/>
    <mergeCell ref="A32:A33"/>
    <mergeCell ref="B32:B33"/>
    <mergeCell ref="C32:C33"/>
    <mergeCell ref="D32:P32"/>
    <mergeCell ref="Q32:AD32"/>
    <mergeCell ref="Q33:S33"/>
    <mergeCell ref="T33:V33"/>
    <mergeCell ref="A24:B24"/>
    <mergeCell ref="A25:B25"/>
    <mergeCell ref="A27:AD27"/>
    <mergeCell ref="A28:A29"/>
    <mergeCell ref="B28:C29"/>
    <mergeCell ref="D28:O28"/>
    <mergeCell ref="P28:P29"/>
    <mergeCell ref="Q28:AD29"/>
    <mergeCell ref="AC17:AD17"/>
    <mergeCell ref="A19:AD19"/>
    <mergeCell ref="C20:P20"/>
    <mergeCell ref="Q20:AD20"/>
    <mergeCell ref="A22:B22"/>
    <mergeCell ref="A23:B23"/>
    <mergeCell ref="C16:AB16"/>
    <mergeCell ref="A17:B17"/>
    <mergeCell ref="C17:Q17"/>
    <mergeCell ref="R17:V17"/>
    <mergeCell ref="W17:X17"/>
    <mergeCell ref="Y17:AB17"/>
    <mergeCell ref="A15:B15"/>
    <mergeCell ref="C15:K15"/>
    <mergeCell ref="L15:Q15"/>
    <mergeCell ref="R15:X15"/>
    <mergeCell ref="Y15:Z15"/>
    <mergeCell ref="M7:N7"/>
    <mergeCell ref="AA15:AD15"/>
    <mergeCell ref="O7:P7"/>
    <mergeCell ref="M8:N8"/>
    <mergeCell ref="O8:P8"/>
    <mergeCell ref="M9:N9"/>
    <mergeCell ref="O9:P9"/>
    <mergeCell ref="AF22:AM25"/>
    <mergeCell ref="A1:A4"/>
    <mergeCell ref="B1:AA1"/>
    <mergeCell ref="AB1:AD1"/>
    <mergeCell ref="B2:AA2"/>
    <mergeCell ref="AB2:AD2"/>
    <mergeCell ref="B3:AA4"/>
    <mergeCell ref="AB3:AD3"/>
    <mergeCell ref="AB4:AD4"/>
    <mergeCell ref="A11:B13"/>
    <mergeCell ref="C11:AD13"/>
    <mergeCell ref="A7:B9"/>
    <mergeCell ref="C7:C9"/>
    <mergeCell ref="D7:H9"/>
    <mergeCell ref="I7:J9"/>
    <mergeCell ref="K7:L9"/>
  </mergeCells>
  <dataValidations count="3">
    <dataValidation type="list" allowBlank="1" showInputMessage="1" showErrorMessage="1" sqref="C7:C9" xr:uid="{BCC2F539-6B33-4A21-956C-1D1C5E9AC425}">
      <formula1>$C$21:$N$21</formula1>
    </dataValidation>
    <dataValidation type="textLength" operator="lessThanOrEqual" allowBlank="1" showInputMessage="1" showErrorMessage="1" errorTitle="Máximo 2.000 caracteres" error="Máximo 2.000 caracteres" promptTitle="2.000 caracteres" sqref="Q30:AD30" xr:uid="{CB465D79-DC36-DC4E-AC3F-600D622B9A48}">
      <formula1>2000</formula1>
    </dataValidation>
    <dataValidation type="textLength" operator="lessThanOrEqual" allowBlank="1" showInputMessage="1" showErrorMessage="1" errorTitle="Máximo 2.000 caracteres" error="Máximo 2.000 caracteres" sqref="AA34 Q38:AD39 Q34" xr:uid="{8C5EF503-33C3-D847-A339-457EB42FC9D4}">
      <formula1>2000</formula1>
    </dataValidation>
  </dataValidations>
  <pageMargins left="0.25" right="0.25" top="0.75" bottom="0.75" header="0.3" footer="0.3"/>
  <pageSetup scale="20" orientation="landscape" r:id="rId1"/>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BBA3C7-7B39-0B4E-91EE-758958BFDEAE}">
  <sheetPr>
    <tabColor theme="7" tint="0.39997558519241921"/>
    <pageSetUpPr fitToPage="1"/>
  </sheetPr>
  <dimension ref="A1:AX74"/>
  <sheetViews>
    <sheetView showGridLines="0" topLeftCell="N31" zoomScale="60" zoomScaleNormal="60" workbookViewId="0">
      <selection activeCell="Q34" sqref="Q34:S35"/>
    </sheetView>
  </sheetViews>
  <sheetFormatPr baseColWidth="10" defaultColWidth="10.85546875" defaultRowHeight="15" x14ac:dyDescent="0.25"/>
  <cols>
    <col min="1" max="1" width="38.42578125" style="50" customWidth="1"/>
    <col min="2" max="2" width="15.42578125" style="50" customWidth="1"/>
    <col min="3" max="14" width="20.7109375" style="50" customWidth="1"/>
    <col min="15" max="15" width="16.140625" style="50" customWidth="1"/>
    <col min="16" max="16" width="18.140625" style="50" customWidth="1"/>
    <col min="17" max="19" width="27.85546875" style="50" customWidth="1"/>
    <col min="20" max="25" width="18.140625" style="50" customWidth="1"/>
    <col min="26" max="26" width="21.7109375" style="50" customWidth="1"/>
    <col min="27" max="27" width="18.140625" style="50" customWidth="1"/>
    <col min="28" max="28" width="22.7109375" style="50" customWidth="1"/>
    <col min="29" max="29" width="19" style="50" customWidth="1"/>
    <col min="30" max="30" width="19.42578125" style="50" customWidth="1"/>
    <col min="31" max="31" width="6.28515625" style="50" bestFit="1" customWidth="1"/>
    <col min="32" max="32" width="22.85546875" style="50" customWidth="1"/>
    <col min="33" max="33" width="18.42578125" style="50" bestFit="1" customWidth="1"/>
    <col min="34" max="34" width="8.42578125" style="50" customWidth="1"/>
    <col min="35" max="35" width="18.42578125" style="50" bestFit="1" customWidth="1"/>
    <col min="36" max="36" width="5.7109375" style="50" customWidth="1"/>
    <col min="37" max="37" width="18.42578125" style="50" bestFit="1" customWidth="1"/>
    <col min="38" max="38" width="4.7109375" style="50" customWidth="1"/>
    <col min="39" max="39" width="23" style="50" bestFit="1" customWidth="1"/>
    <col min="40" max="40" width="10.85546875" style="50"/>
    <col min="41" max="41" width="18.42578125" style="50" bestFit="1" customWidth="1"/>
    <col min="42" max="42" width="16.140625" style="50" customWidth="1"/>
    <col min="43" max="16384" width="10.85546875" style="50"/>
  </cols>
  <sheetData>
    <row r="1" spans="1:50" ht="32.25" customHeight="1" thickBot="1" x14ac:dyDescent="0.3">
      <c r="A1" s="443"/>
      <c r="B1" s="446" t="s">
        <v>0</v>
      </c>
      <c r="C1" s="447"/>
      <c r="D1" s="447"/>
      <c r="E1" s="447"/>
      <c r="F1" s="447"/>
      <c r="G1" s="447"/>
      <c r="H1" s="447"/>
      <c r="I1" s="447"/>
      <c r="J1" s="447"/>
      <c r="K1" s="447"/>
      <c r="L1" s="447"/>
      <c r="M1" s="447"/>
      <c r="N1" s="447"/>
      <c r="O1" s="447"/>
      <c r="P1" s="447"/>
      <c r="Q1" s="447"/>
      <c r="R1" s="447"/>
      <c r="S1" s="447"/>
      <c r="T1" s="447"/>
      <c r="U1" s="447"/>
      <c r="V1" s="447"/>
      <c r="W1" s="447"/>
      <c r="X1" s="447"/>
      <c r="Y1" s="447"/>
      <c r="Z1" s="447"/>
      <c r="AA1" s="448"/>
      <c r="AB1" s="449" t="s">
        <v>1</v>
      </c>
      <c r="AC1" s="450"/>
      <c r="AD1" s="451"/>
    </row>
    <row r="2" spans="1:50" ht="30.75" customHeight="1" thickBot="1" x14ac:dyDescent="0.3">
      <c r="A2" s="444"/>
      <c r="B2" s="446" t="s">
        <v>97</v>
      </c>
      <c r="C2" s="447"/>
      <c r="D2" s="447"/>
      <c r="E2" s="447"/>
      <c r="F2" s="447"/>
      <c r="G2" s="447"/>
      <c r="H2" s="447"/>
      <c r="I2" s="447"/>
      <c r="J2" s="447"/>
      <c r="K2" s="447"/>
      <c r="L2" s="447"/>
      <c r="M2" s="447"/>
      <c r="N2" s="447"/>
      <c r="O2" s="447"/>
      <c r="P2" s="447"/>
      <c r="Q2" s="447"/>
      <c r="R2" s="447"/>
      <c r="S2" s="447"/>
      <c r="T2" s="447"/>
      <c r="U2" s="447"/>
      <c r="V2" s="447"/>
      <c r="W2" s="447"/>
      <c r="X2" s="447"/>
      <c r="Y2" s="447"/>
      <c r="Z2" s="447"/>
      <c r="AA2" s="448"/>
      <c r="AB2" s="470" t="s">
        <v>3</v>
      </c>
      <c r="AC2" s="471"/>
      <c r="AD2" s="472"/>
    </row>
    <row r="3" spans="1:50" ht="24" customHeight="1" x14ac:dyDescent="0.25">
      <c r="A3" s="444"/>
      <c r="B3" s="473" t="s">
        <v>4</v>
      </c>
      <c r="C3" s="474"/>
      <c r="D3" s="474"/>
      <c r="E3" s="474"/>
      <c r="F3" s="474"/>
      <c r="G3" s="474"/>
      <c r="H3" s="474"/>
      <c r="I3" s="474"/>
      <c r="J3" s="474"/>
      <c r="K3" s="474"/>
      <c r="L3" s="474"/>
      <c r="M3" s="474"/>
      <c r="N3" s="474"/>
      <c r="O3" s="474"/>
      <c r="P3" s="474"/>
      <c r="Q3" s="474"/>
      <c r="R3" s="474"/>
      <c r="S3" s="474"/>
      <c r="T3" s="474"/>
      <c r="U3" s="474"/>
      <c r="V3" s="474"/>
      <c r="W3" s="474"/>
      <c r="X3" s="474"/>
      <c r="Y3" s="474"/>
      <c r="Z3" s="474"/>
      <c r="AA3" s="475"/>
      <c r="AB3" s="470" t="s">
        <v>5</v>
      </c>
      <c r="AC3" s="471"/>
      <c r="AD3" s="472"/>
    </row>
    <row r="4" spans="1:50" ht="21.95" customHeight="1" thickBot="1" x14ac:dyDescent="0.3">
      <c r="A4" s="445"/>
      <c r="B4" s="476"/>
      <c r="C4" s="477"/>
      <c r="D4" s="477"/>
      <c r="E4" s="477"/>
      <c r="F4" s="477"/>
      <c r="G4" s="477"/>
      <c r="H4" s="477"/>
      <c r="I4" s="477"/>
      <c r="J4" s="477"/>
      <c r="K4" s="477"/>
      <c r="L4" s="477"/>
      <c r="M4" s="477"/>
      <c r="N4" s="477"/>
      <c r="O4" s="477"/>
      <c r="P4" s="477"/>
      <c r="Q4" s="477"/>
      <c r="R4" s="477"/>
      <c r="S4" s="477"/>
      <c r="T4" s="477"/>
      <c r="U4" s="477"/>
      <c r="V4" s="477"/>
      <c r="W4" s="477"/>
      <c r="X4" s="477"/>
      <c r="Y4" s="477"/>
      <c r="Z4" s="477"/>
      <c r="AA4" s="478"/>
      <c r="AB4" s="479" t="s">
        <v>6</v>
      </c>
      <c r="AC4" s="480"/>
      <c r="AD4" s="481"/>
    </row>
    <row r="5" spans="1:50" ht="9" customHeight="1" thickBot="1" x14ac:dyDescent="0.3">
      <c r="A5" s="51"/>
      <c r="B5" s="202"/>
      <c r="C5" s="203"/>
      <c r="D5" s="54"/>
      <c r="E5" s="54"/>
      <c r="F5" s="54"/>
      <c r="G5" s="54"/>
      <c r="H5" s="54"/>
      <c r="I5" s="54"/>
      <c r="J5" s="54"/>
      <c r="K5" s="54"/>
      <c r="L5" s="54"/>
      <c r="M5" s="54"/>
      <c r="N5" s="54"/>
      <c r="O5" s="54"/>
      <c r="P5" s="54"/>
      <c r="Q5" s="54"/>
      <c r="R5" s="54"/>
      <c r="S5" s="54"/>
      <c r="T5" s="54"/>
      <c r="U5" s="54"/>
      <c r="V5" s="54"/>
      <c r="W5" s="54"/>
      <c r="X5" s="54"/>
      <c r="Y5" s="54"/>
      <c r="Z5" s="55"/>
      <c r="AA5" s="54"/>
      <c r="AB5" s="56"/>
      <c r="AC5" s="57"/>
      <c r="AD5" s="58"/>
    </row>
    <row r="6" spans="1:50" ht="9" customHeight="1" x14ac:dyDescent="0.25">
      <c r="A6" s="59"/>
      <c r="B6" s="54"/>
      <c r="C6" s="54"/>
      <c r="D6" s="54"/>
      <c r="E6" s="54"/>
      <c r="F6" s="54"/>
      <c r="G6" s="54"/>
      <c r="H6" s="54"/>
      <c r="I6" s="54"/>
      <c r="J6" s="54"/>
      <c r="K6" s="54"/>
      <c r="L6" s="54"/>
      <c r="M6" s="54"/>
      <c r="N6" s="54"/>
      <c r="O6" s="54"/>
      <c r="P6" s="54"/>
      <c r="Q6" s="54"/>
      <c r="R6" s="54"/>
      <c r="S6" s="54"/>
      <c r="T6" s="54"/>
      <c r="U6" s="54"/>
      <c r="V6" s="54"/>
      <c r="W6" s="54"/>
      <c r="X6" s="54"/>
      <c r="Y6" s="54"/>
      <c r="Z6" s="55"/>
      <c r="AA6" s="54"/>
      <c r="AB6" s="54"/>
      <c r="AC6" s="60"/>
      <c r="AD6" s="61"/>
    </row>
    <row r="7" spans="1:50" ht="15" customHeight="1" x14ac:dyDescent="0.25">
      <c r="A7" s="464" t="s">
        <v>7</v>
      </c>
      <c r="B7" s="465"/>
      <c r="C7" s="500" t="s">
        <v>8</v>
      </c>
      <c r="D7" s="464" t="s">
        <v>9</v>
      </c>
      <c r="E7" s="482"/>
      <c r="F7" s="482"/>
      <c r="G7" s="482"/>
      <c r="H7" s="465"/>
      <c r="I7" s="485">
        <v>45113</v>
      </c>
      <c r="J7" s="486"/>
      <c r="K7" s="464" t="s">
        <v>10</v>
      </c>
      <c r="L7" s="465"/>
      <c r="M7" s="456" t="s">
        <v>98</v>
      </c>
      <c r="N7" s="457"/>
      <c r="O7" s="458"/>
      <c r="P7" s="459"/>
      <c r="Q7" s="54"/>
      <c r="R7" s="54"/>
      <c r="S7" s="54"/>
      <c r="T7" s="54"/>
      <c r="U7" s="54"/>
      <c r="V7" s="54"/>
      <c r="W7" s="54"/>
      <c r="X7" s="54"/>
      <c r="Y7" s="54"/>
      <c r="Z7" s="55"/>
      <c r="AA7" s="54"/>
      <c r="AB7" s="54"/>
      <c r="AC7" s="60"/>
      <c r="AD7" s="61"/>
    </row>
    <row r="8" spans="1:50" ht="15" customHeight="1" x14ac:dyDescent="0.25">
      <c r="A8" s="466"/>
      <c r="B8" s="467"/>
      <c r="C8" s="501"/>
      <c r="D8" s="466"/>
      <c r="E8" s="483"/>
      <c r="F8" s="483"/>
      <c r="G8" s="483"/>
      <c r="H8" s="467"/>
      <c r="I8" s="487"/>
      <c r="J8" s="488"/>
      <c r="K8" s="466"/>
      <c r="L8" s="467"/>
      <c r="M8" s="460" t="s">
        <v>99</v>
      </c>
      <c r="N8" s="461"/>
      <c r="O8" s="462" t="s">
        <v>14</v>
      </c>
      <c r="P8" s="463"/>
      <c r="Q8" s="54"/>
      <c r="R8" s="54"/>
      <c r="S8" s="54"/>
      <c r="T8" s="54"/>
      <c r="U8" s="54"/>
      <c r="V8" s="54"/>
      <c r="W8" s="54"/>
      <c r="X8" s="54"/>
      <c r="Y8" s="54"/>
      <c r="Z8" s="55"/>
      <c r="AA8" s="54"/>
      <c r="AB8" s="54"/>
      <c r="AC8" s="60"/>
      <c r="AD8" s="61"/>
    </row>
    <row r="9" spans="1:50" ht="15.75" customHeight="1" thickBot="1" x14ac:dyDescent="0.3">
      <c r="A9" s="468"/>
      <c r="B9" s="469"/>
      <c r="C9" s="502"/>
      <c r="D9" s="468"/>
      <c r="E9" s="484"/>
      <c r="F9" s="484"/>
      <c r="G9" s="484"/>
      <c r="H9" s="469"/>
      <c r="I9" s="489"/>
      <c r="J9" s="490"/>
      <c r="K9" s="468"/>
      <c r="L9" s="469"/>
      <c r="M9" s="452" t="s">
        <v>13</v>
      </c>
      <c r="N9" s="453"/>
      <c r="O9" s="454" t="s">
        <v>14</v>
      </c>
      <c r="P9" s="455"/>
      <c r="Q9" s="54"/>
      <c r="R9" s="54"/>
      <c r="S9" s="54"/>
      <c r="T9" s="54"/>
      <c r="U9" s="54"/>
      <c r="V9" s="54"/>
      <c r="W9" s="54"/>
      <c r="X9" s="54"/>
      <c r="Y9" s="54"/>
      <c r="Z9" s="55"/>
      <c r="AA9" s="54"/>
      <c r="AB9" s="54"/>
      <c r="AC9" s="60"/>
      <c r="AD9" s="61"/>
    </row>
    <row r="10" spans="1:50" ht="15" customHeight="1" x14ac:dyDescent="0.25">
      <c r="A10" s="169"/>
      <c r="B10" s="170"/>
      <c r="C10" s="170"/>
      <c r="D10" s="65"/>
      <c r="E10" s="65"/>
      <c r="F10" s="65"/>
      <c r="G10" s="65"/>
      <c r="H10" s="65"/>
      <c r="I10" s="166"/>
      <c r="J10" s="166"/>
      <c r="K10" s="65"/>
      <c r="L10" s="65"/>
      <c r="M10" s="167"/>
      <c r="N10" s="167"/>
      <c r="O10" s="168"/>
      <c r="P10" s="168"/>
      <c r="Q10" s="170"/>
      <c r="R10" s="170"/>
      <c r="S10" s="170"/>
      <c r="T10" s="170"/>
      <c r="U10" s="170"/>
      <c r="V10" s="170"/>
      <c r="W10" s="170"/>
      <c r="X10" s="170"/>
      <c r="Y10" s="170"/>
      <c r="Z10" s="171"/>
      <c r="AA10" s="170"/>
      <c r="AB10" s="170"/>
      <c r="AC10" s="172"/>
      <c r="AD10" s="173"/>
    </row>
    <row r="11" spans="1:50" ht="15" customHeight="1" x14ac:dyDescent="0.25">
      <c r="A11" s="464" t="s">
        <v>15</v>
      </c>
      <c r="B11" s="465"/>
      <c r="C11" s="491" t="s">
        <v>16</v>
      </c>
      <c r="D11" s="492"/>
      <c r="E11" s="492"/>
      <c r="F11" s="492"/>
      <c r="G11" s="492"/>
      <c r="H11" s="492"/>
      <c r="I11" s="492"/>
      <c r="J11" s="492"/>
      <c r="K11" s="492"/>
      <c r="L11" s="492"/>
      <c r="M11" s="492"/>
      <c r="N11" s="492"/>
      <c r="O11" s="492"/>
      <c r="P11" s="492"/>
      <c r="Q11" s="492"/>
      <c r="R11" s="492"/>
      <c r="S11" s="492"/>
      <c r="T11" s="492"/>
      <c r="U11" s="492"/>
      <c r="V11" s="492"/>
      <c r="W11" s="492"/>
      <c r="X11" s="492"/>
      <c r="Y11" s="492"/>
      <c r="Z11" s="492"/>
      <c r="AA11" s="492"/>
      <c r="AB11" s="492"/>
      <c r="AC11" s="492"/>
      <c r="AD11" s="493"/>
    </row>
    <row r="12" spans="1:50" ht="15" customHeight="1" x14ac:dyDescent="0.25">
      <c r="A12" s="466"/>
      <c r="B12" s="467"/>
      <c r="C12" s="494"/>
      <c r="D12" s="495"/>
      <c r="E12" s="495"/>
      <c r="F12" s="495"/>
      <c r="G12" s="495"/>
      <c r="H12" s="495"/>
      <c r="I12" s="495"/>
      <c r="J12" s="495"/>
      <c r="K12" s="495"/>
      <c r="L12" s="495"/>
      <c r="M12" s="495"/>
      <c r="N12" s="495"/>
      <c r="O12" s="495"/>
      <c r="P12" s="495"/>
      <c r="Q12" s="495"/>
      <c r="R12" s="495"/>
      <c r="S12" s="495"/>
      <c r="T12" s="495"/>
      <c r="U12" s="495"/>
      <c r="V12" s="495"/>
      <c r="W12" s="495"/>
      <c r="X12" s="495"/>
      <c r="Y12" s="495"/>
      <c r="Z12" s="495"/>
      <c r="AA12" s="495"/>
      <c r="AB12" s="495"/>
      <c r="AC12" s="495"/>
      <c r="AD12" s="496"/>
    </row>
    <row r="13" spans="1:50" ht="15" customHeight="1" thickBot="1" x14ac:dyDescent="0.3">
      <c r="A13" s="468"/>
      <c r="B13" s="469"/>
      <c r="C13" s="497"/>
      <c r="D13" s="498"/>
      <c r="E13" s="498"/>
      <c r="F13" s="498"/>
      <c r="G13" s="498"/>
      <c r="H13" s="498"/>
      <c r="I13" s="498"/>
      <c r="J13" s="498"/>
      <c r="K13" s="498"/>
      <c r="L13" s="498"/>
      <c r="M13" s="498"/>
      <c r="N13" s="498"/>
      <c r="O13" s="498"/>
      <c r="P13" s="498"/>
      <c r="Q13" s="498"/>
      <c r="R13" s="498"/>
      <c r="S13" s="498"/>
      <c r="T13" s="498"/>
      <c r="U13" s="498"/>
      <c r="V13" s="498"/>
      <c r="W13" s="498"/>
      <c r="X13" s="498"/>
      <c r="Y13" s="498"/>
      <c r="Z13" s="498"/>
      <c r="AA13" s="498"/>
      <c r="AB13" s="498"/>
      <c r="AC13" s="498"/>
      <c r="AD13" s="499"/>
    </row>
    <row r="14" spans="1:50" ht="9" customHeight="1" thickBot="1" x14ac:dyDescent="0.3">
      <c r="A14" s="67"/>
      <c r="B14" s="68"/>
      <c r="C14" s="69"/>
      <c r="D14" s="69"/>
      <c r="E14" s="69"/>
      <c r="F14" s="69"/>
      <c r="G14" s="69"/>
      <c r="H14" s="69"/>
      <c r="I14" s="69"/>
      <c r="J14" s="69"/>
      <c r="K14" s="69"/>
      <c r="L14" s="69"/>
      <c r="M14" s="70"/>
      <c r="N14" s="70"/>
      <c r="O14" s="70"/>
      <c r="P14" s="70"/>
      <c r="Q14" s="70"/>
      <c r="R14" s="71"/>
      <c r="S14" s="71"/>
      <c r="T14" s="71"/>
      <c r="U14" s="71"/>
      <c r="V14" s="71"/>
      <c r="W14" s="71"/>
      <c r="X14" s="71"/>
      <c r="Y14" s="65"/>
      <c r="Z14" s="65"/>
      <c r="AA14" s="65"/>
      <c r="AB14" s="65"/>
      <c r="AC14" s="65"/>
      <c r="AD14" s="66"/>
    </row>
    <row r="15" spans="1:50" ht="39" customHeight="1" thickBot="1" x14ac:dyDescent="0.3">
      <c r="A15" s="528" t="s">
        <v>17</v>
      </c>
      <c r="B15" s="529"/>
      <c r="C15" s="538" t="s">
        <v>18</v>
      </c>
      <c r="D15" s="539"/>
      <c r="E15" s="539"/>
      <c r="F15" s="539"/>
      <c r="G15" s="539"/>
      <c r="H15" s="539"/>
      <c r="I15" s="539"/>
      <c r="J15" s="539"/>
      <c r="K15" s="540"/>
      <c r="L15" s="503" t="s">
        <v>19</v>
      </c>
      <c r="M15" s="504"/>
      <c r="N15" s="504"/>
      <c r="O15" s="504"/>
      <c r="P15" s="504"/>
      <c r="Q15" s="505"/>
      <c r="R15" s="533" t="s">
        <v>20</v>
      </c>
      <c r="S15" s="534"/>
      <c r="T15" s="534"/>
      <c r="U15" s="534"/>
      <c r="V15" s="534"/>
      <c r="W15" s="534"/>
      <c r="X15" s="535"/>
      <c r="Y15" s="503" t="s">
        <v>21</v>
      </c>
      <c r="Z15" s="505"/>
      <c r="AA15" s="524" t="s">
        <v>22</v>
      </c>
      <c r="AB15" s="525"/>
      <c r="AC15" s="525"/>
      <c r="AD15" s="526"/>
    </row>
    <row r="16" spans="1:50" ht="105" customHeight="1" thickBot="1" x14ac:dyDescent="0.3">
      <c r="A16" s="59"/>
      <c r="B16" s="54"/>
      <c r="C16" s="527"/>
      <c r="D16" s="527"/>
      <c r="E16" s="527"/>
      <c r="F16" s="527"/>
      <c r="G16" s="527"/>
      <c r="H16" s="527"/>
      <c r="I16" s="527"/>
      <c r="J16" s="527"/>
      <c r="K16" s="527"/>
      <c r="L16" s="527"/>
      <c r="M16" s="527"/>
      <c r="N16" s="527"/>
      <c r="O16" s="527"/>
      <c r="P16" s="527"/>
      <c r="Q16" s="527"/>
      <c r="R16" s="527"/>
      <c r="S16" s="527"/>
      <c r="T16" s="527"/>
      <c r="U16" s="527"/>
      <c r="V16" s="527"/>
      <c r="W16" s="527"/>
      <c r="X16" s="527"/>
      <c r="Y16" s="527"/>
      <c r="Z16" s="527"/>
      <c r="AA16" s="527"/>
      <c r="AB16" s="527"/>
      <c r="AC16" s="73"/>
      <c r="AD16" s="74"/>
      <c r="AX16" s="388" t="s">
        <v>23</v>
      </c>
    </row>
    <row r="17" spans="1:50" s="76" customFormat="1" ht="37.5" customHeight="1" thickBot="1" x14ac:dyDescent="0.3">
      <c r="A17" s="528" t="s">
        <v>24</v>
      </c>
      <c r="B17" s="529"/>
      <c r="C17" s="530" t="s">
        <v>138</v>
      </c>
      <c r="D17" s="531"/>
      <c r="E17" s="531"/>
      <c r="F17" s="531"/>
      <c r="G17" s="531"/>
      <c r="H17" s="531"/>
      <c r="I17" s="531"/>
      <c r="J17" s="531"/>
      <c r="K17" s="531"/>
      <c r="L17" s="531"/>
      <c r="M17" s="531"/>
      <c r="N17" s="531"/>
      <c r="O17" s="531"/>
      <c r="P17" s="531"/>
      <c r="Q17" s="532"/>
      <c r="R17" s="503" t="s">
        <v>26</v>
      </c>
      <c r="S17" s="504"/>
      <c r="T17" s="504"/>
      <c r="U17" s="504"/>
      <c r="V17" s="505"/>
      <c r="W17" s="536">
        <v>1</v>
      </c>
      <c r="X17" s="537"/>
      <c r="Y17" s="504" t="s">
        <v>27</v>
      </c>
      <c r="Z17" s="504"/>
      <c r="AA17" s="504"/>
      <c r="AB17" s="505"/>
      <c r="AC17" s="514">
        <v>0.2</v>
      </c>
      <c r="AD17" s="515"/>
      <c r="AX17" s="387"/>
    </row>
    <row r="18" spans="1:50" ht="16.5" customHeight="1" thickBot="1" x14ac:dyDescent="0.3">
      <c r="A18" s="77"/>
      <c r="B18" s="78"/>
      <c r="C18" s="78"/>
      <c r="D18" s="78"/>
      <c r="E18" s="78"/>
      <c r="F18" s="78"/>
      <c r="G18" s="78"/>
      <c r="H18" s="78"/>
      <c r="I18" s="78"/>
      <c r="J18" s="78"/>
      <c r="K18" s="78"/>
      <c r="L18" s="78"/>
      <c r="M18" s="78"/>
      <c r="N18" s="78"/>
      <c r="O18" s="78"/>
      <c r="P18" s="78"/>
      <c r="Q18" s="78"/>
      <c r="R18" s="78"/>
      <c r="S18" s="78"/>
      <c r="T18" s="78"/>
      <c r="U18" s="78"/>
      <c r="V18" s="78"/>
      <c r="W18" s="78"/>
      <c r="X18" s="78"/>
      <c r="Y18" s="78"/>
      <c r="Z18" s="78"/>
      <c r="AA18" s="78"/>
      <c r="AB18" s="78"/>
      <c r="AC18" s="78"/>
      <c r="AD18" s="79"/>
    </row>
    <row r="19" spans="1:50" ht="32.1" customHeight="1" thickBot="1" x14ac:dyDescent="0.3">
      <c r="A19" s="503" t="s">
        <v>28</v>
      </c>
      <c r="B19" s="504"/>
      <c r="C19" s="504"/>
      <c r="D19" s="504"/>
      <c r="E19" s="504"/>
      <c r="F19" s="504"/>
      <c r="G19" s="504"/>
      <c r="H19" s="504"/>
      <c r="I19" s="504"/>
      <c r="J19" s="504"/>
      <c r="K19" s="504"/>
      <c r="L19" s="504"/>
      <c r="M19" s="504"/>
      <c r="N19" s="504"/>
      <c r="O19" s="504"/>
      <c r="P19" s="504"/>
      <c r="Q19" s="504"/>
      <c r="R19" s="504"/>
      <c r="S19" s="504"/>
      <c r="T19" s="504"/>
      <c r="U19" s="504"/>
      <c r="V19" s="504"/>
      <c r="W19" s="504"/>
      <c r="X19" s="504"/>
      <c r="Y19" s="504"/>
      <c r="Z19" s="504"/>
      <c r="AA19" s="504"/>
      <c r="AB19" s="504"/>
      <c r="AC19" s="504"/>
      <c r="AD19" s="505"/>
      <c r="AE19" s="83"/>
      <c r="AF19" s="83"/>
    </row>
    <row r="20" spans="1:50" ht="32.1" customHeight="1" thickBot="1" x14ac:dyDescent="0.3">
      <c r="A20" s="82"/>
      <c r="B20" s="60"/>
      <c r="C20" s="509" t="s">
        <v>29</v>
      </c>
      <c r="D20" s="510"/>
      <c r="E20" s="510"/>
      <c r="F20" s="510"/>
      <c r="G20" s="510"/>
      <c r="H20" s="510"/>
      <c r="I20" s="510"/>
      <c r="J20" s="510"/>
      <c r="K20" s="510"/>
      <c r="L20" s="510"/>
      <c r="M20" s="510"/>
      <c r="N20" s="510"/>
      <c r="O20" s="510"/>
      <c r="P20" s="511"/>
      <c r="Q20" s="506" t="s">
        <v>30</v>
      </c>
      <c r="R20" s="507"/>
      <c r="S20" s="507"/>
      <c r="T20" s="507"/>
      <c r="U20" s="507"/>
      <c r="V20" s="507"/>
      <c r="W20" s="507"/>
      <c r="X20" s="507"/>
      <c r="Y20" s="507"/>
      <c r="Z20" s="507"/>
      <c r="AA20" s="507"/>
      <c r="AB20" s="507"/>
      <c r="AC20" s="507"/>
      <c r="AD20" s="508"/>
      <c r="AE20" s="83"/>
      <c r="AF20" s="83"/>
    </row>
    <row r="21" spans="1:50" ht="32.1" customHeight="1" thickBot="1" x14ac:dyDescent="0.3">
      <c r="A21" s="59"/>
      <c r="B21" s="54"/>
      <c r="C21" s="353" t="s">
        <v>31</v>
      </c>
      <c r="D21" s="352" t="s">
        <v>32</v>
      </c>
      <c r="E21" s="352" t="s">
        <v>33</v>
      </c>
      <c r="F21" s="352" t="s">
        <v>34</v>
      </c>
      <c r="G21" s="352" t="s">
        <v>35</v>
      </c>
      <c r="H21" s="352" t="s">
        <v>8</v>
      </c>
      <c r="I21" s="352" t="s">
        <v>36</v>
      </c>
      <c r="J21" s="352" t="s">
        <v>37</v>
      </c>
      <c r="K21" s="352" t="s">
        <v>38</v>
      </c>
      <c r="L21" s="352" t="s">
        <v>39</v>
      </c>
      <c r="M21" s="352" t="s">
        <v>40</v>
      </c>
      <c r="N21" s="352" t="s">
        <v>41</v>
      </c>
      <c r="O21" s="352" t="s">
        <v>42</v>
      </c>
      <c r="P21" s="354" t="s">
        <v>43</v>
      </c>
      <c r="Q21" s="353" t="s">
        <v>31</v>
      </c>
      <c r="R21" s="352" t="s">
        <v>32</v>
      </c>
      <c r="S21" s="352" t="s">
        <v>33</v>
      </c>
      <c r="T21" s="352" t="s">
        <v>34</v>
      </c>
      <c r="U21" s="352" t="s">
        <v>35</v>
      </c>
      <c r="V21" s="352" t="s">
        <v>8</v>
      </c>
      <c r="W21" s="352" t="s">
        <v>36</v>
      </c>
      <c r="X21" s="352" t="s">
        <v>37</v>
      </c>
      <c r="Y21" s="352" t="s">
        <v>38</v>
      </c>
      <c r="Z21" s="352" t="s">
        <v>39</v>
      </c>
      <c r="AA21" s="352" t="s">
        <v>40</v>
      </c>
      <c r="AB21" s="352" t="s">
        <v>41</v>
      </c>
      <c r="AC21" s="352" t="s">
        <v>42</v>
      </c>
      <c r="AD21" s="354" t="s">
        <v>43</v>
      </c>
      <c r="AE21" s="3"/>
      <c r="AF21" s="3"/>
    </row>
    <row r="22" spans="1:50" ht="32.1" customHeight="1" x14ac:dyDescent="0.25">
      <c r="A22" s="512" t="s">
        <v>101</v>
      </c>
      <c r="B22" s="513"/>
      <c r="C22" s="355"/>
      <c r="D22" s="356"/>
      <c r="E22" s="356"/>
      <c r="F22" s="356"/>
      <c r="G22" s="356"/>
      <c r="H22" s="356"/>
      <c r="I22" s="356"/>
      <c r="J22" s="356"/>
      <c r="K22" s="356"/>
      <c r="L22" s="356"/>
      <c r="M22" s="356"/>
      <c r="N22" s="356"/>
      <c r="O22" s="356">
        <f>SUM(C22:N22)</f>
        <v>0</v>
      </c>
      <c r="P22" s="431"/>
      <c r="Q22" s="361">
        <v>425475150</v>
      </c>
      <c r="R22" s="356"/>
      <c r="S22" s="356">
        <v>19186925</v>
      </c>
      <c r="T22" s="356">
        <f>35000000+21559511</f>
        <v>56559511</v>
      </c>
      <c r="U22" s="356"/>
      <c r="V22" s="356">
        <f>2139477+34249272+6542287</f>
        <v>42931036</v>
      </c>
      <c r="W22" s="356"/>
      <c r="X22" s="356"/>
      <c r="Y22" s="356"/>
      <c r="Z22" s="356"/>
      <c r="AA22" s="356"/>
      <c r="AB22" s="356"/>
      <c r="AC22" s="429">
        <f>SUM(Q22:AB22)</f>
        <v>544152622</v>
      </c>
      <c r="AD22" s="357"/>
      <c r="AE22" s="3"/>
      <c r="AF22" s="442" t="s">
        <v>116</v>
      </c>
      <c r="AG22" s="442"/>
      <c r="AH22" s="442"/>
      <c r="AI22" s="442"/>
      <c r="AJ22" s="442"/>
      <c r="AK22" s="442"/>
      <c r="AL22" s="442"/>
      <c r="AM22" s="442"/>
    </row>
    <row r="23" spans="1:50" ht="32.1" customHeight="1" x14ac:dyDescent="0.25">
      <c r="A23" s="520" t="s">
        <v>47</v>
      </c>
      <c r="B23" s="521"/>
      <c r="C23" s="175"/>
      <c r="D23" s="174"/>
      <c r="E23" s="174"/>
      <c r="F23" s="174"/>
      <c r="G23" s="174"/>
      <c r="H23" s="174"/>
      <c r="I23" s="174"/>
      <c r="J23" s="174"/>
      <c r="K23" s="174"/>
      <c r="L23" s="174"/>
      <c r="M23" s="174"/>
      <c r="N23" s="174"/>
      <c r="O23" s="174">
        <f>SUM(C23:N23)</f>
        <v>0</v>
      </c>
      <c r="P23" s="432"/>
      <c r="Q23" s="359">
        <v>45618029</v>
      </c>
      <c r="R23" s="174">
        <v>274389683</v>
      </c>
      <c r="S23" s="174">
        <v>37936095</v>
      </c>
      <c r="T23" s="174">
        <v>9781083</v>
      </c>
      <c r="U23" s="174">
        <v>50047197</v>
      </c>
      <c r="V23" s="174">
        <v>21021262</v>
      </c>
      <c r="W23" s="174"/>
      <c r="X23" s="174"/>
      <c r="Y23" s="174"/>
      <c r="Z23" s="174"/>
      <c r="AA23" s="174"/>
      <c r="AB23" s="174"/>
      <c r="AC23" s="430">
        <f>SUM(Q23:AB23)</f>
        <v>438793349</v>
      </c>
      <c r="AD23" s="182">
        <f>+AC23/AC22</f>
        <v>0.80637918712445344</v>
      </c>
      <c r="AE23" s="3"/>
      <c r="AF23" s="442"/>
      <c r="AG23" s="442"/>
      <c r="AH23" s="442"/>
      <c r="AI23" s="442"/>
      <c r="AJ23" s="442"/>
      <c r="AK23" s="442"/>
      <c r="AL23" s="442"/>
      <c r="AM23" s="442"/>
    </row>
    <row r="24" spans="1:50" ht="32.1" customHeight="1" x14ac:dyDescent="0.25">
      <c r="A24" s="520" t="s">
        <v>103</v>
      </c>
      <c r="B24" s="521"/>
      <c r="C24" s="175">
        <f>25110242+1804187+19304540</f>
        <v>46218969</v>
      </c>
      <c r="D24" s="174">
        <f>1749515+3375000+3750000+461422+1166666+618000+432600+475860+4505045</f>
        <v>16534108</v>
      </c>
      <c r="E24" s="174">
        <v>4956875</v>
      </c>
      <c r="F24" s="174">
        <v>5038625</v>
      </c>
      <c r="G24" s="174"/>
      <c r="H24" s="174"/>
      <c r="I24" s="174"/>
      <c r="J24" s="174"/>
      <c r="K24" s="174"/>
      <c r="L24" s="174"/>
      <c r="M24" s="174"/>
      <c r="N24" s="174"/>
      <c r="O24" s="213">
        <f>SUM(C24:N24)</f>
        <v>72748577</v>
      </c>
      <c r="P24" s="360"/>
      <c r="Q24" s="359"/>
      <c r="R24" s="174">
        <v>18502650</v>
      </c>
      <c r="S24" s="174">
        <v>36997500</v>
      </c>
      <c r="T24" s="174">
        <f>36997500+1918693</f>
        <v>38916193</v>
      </c>
      <c r="U24" s="174">
        <f>36997500+1918693+3888889+21559511</f>
        <v>64364593</v>
      </c>
      <c r="V24" s="174">
        <f>36997500+1918693+3888889+6542287</f>
        <v>49347369</v>
      </c>
      <c r="W24" s="174">
        <f>36997500+1918693+2139477+3888889+11416424</f>
        <v>56360983</v>
      </c>
      <c r="X24" s="174">
        <f>36997500+1918693+3888889</f>
        <v>42805082</v>
      </c>
      <c r="Y24" s="174">
        <f>36997500+1918692+3888889+11416424</f>
        <v>54221505</v>
      </c>
      <c r="Z24" s="174">
        <f>36997500+1918692+3888889</f>
        <v>42805081</v>
      </c>
      <c r="AA24" s="174">
        <f>36997500+1918692+3888889+11416424</f>
        <v>54221505</v>
      </c>
      <c r="AB24" s="174">
        <f>73995000+3837384+7777777</f>
        <v>85610161</v>
      </c>
      <c r="AC24" s="213">
        <f>SUM(Q24:AB24)</f>
        <v>544152622</v>
      </c>
      <c r="AD24" s="182"/>
      <c r="AE24" s="3"/>
      <c r="AF24" s="442"/>
      <c r="AG24" s="442"/>
      <c r="AH24" s="442"/>
      <c r="AI24" s="442"/>
      <c r="AJ24" s="442"/>
      <c r="AK24" s="442"/>
      <c r="AL24" s="442"/>
      <c r="AM24" s="442"/>
    </row>
    <row r="25" spans="1:50" ht="32.1" customHeight="1" thickBot="1" x14ac:dyDescent="0.3">
      <c r="A25" s="522" t="s">
        <v>50</v>
      </c>
      <c r="B25" s="523"/>
      <c r="C25" s="358">
        <v>2894648</v>
      </c>
      <c r="D25" s="176">
        <v>31987653</v>
      </c>
      <c r="E25" s="176">
        <v>22040035</v>
      </c>
      <c r="F25" s="176">
        <v>10889552</v>
      </c>
      <c r="G25" s="176">
        <v>0</v>
      </c>
      <c r="H25" s="176">
        <v>384895</v>
      </c>
      <c r="I25" s="176"/>
      <c r="J25" s="176"/>
      <c r="K25" s="176"/>
      <c r="L25" s="176"/>
      <c r="M25" s="176"/>
      <c r="N25" s="176"/>
      <c r="O25" s="176">
        <f>SUM(C25:N25)</f>
        <v>68196783</v>
      </c>
      <c r="P25" s="183">
        <f>+O25/O24</f>
        <v>0.9374311610246342</v>
      </c>
      <c r="Q25" s="362" t="s">
        <v>104</v>
      </c>
      <c r="R25" s="176">
        <v>944067</v>
      </c>
      <c r="S25" s="176">
        <v>14912614</v>
      </c>
      <c r="T25" s="176">
        <v>28115866</v>
      </c>
      <c r="U25" s="176">
        <v>36909462</v>
      </c>
      <c r="V25" s="176">
        <v>45540923</v>
      </c>
      <c r="W25" s="176"/>
      <c r="X25" s="176"/>
      <c r="Y25" s="176"/>
      <c r="Z25" s="176"/>
      <c r="AA25" s="176"/>
      <c r="AB25" s="176"/>
      <c r="AC25" s="176">
        <f>SUM(Q25:AB25)</f>
        <v>126422932</v>
      </c>
      <c r="AD25" s="183">
        <f>+AC25/AC23</f>
        <v>0.28811496867059394</v>
      </c>
      <c r="AE25" s="3"/>
      <c r="AF25" s="442"/>
      <c r="AG25" s="442"/>
      <c r="AH25" s="442"/>
      <c r="AI25" s="442"/>
      <c r="AJ25" s="442"/>
      <c r="AK25" s="442"/>
      <c r="AL25" s="442"/>
      <c r="AM25" s="442"/>
    </row>
    <row r="26" spans="1:50" ht="32.1" customHeight="1" thickBot="1" x14ac:dyDescent="0.3">
      <c r="A26" s="59"/>
      <c r="B26" s="54"/>
      <c r="C26" s="80"/>
      <c r="D26" s="80"/>
      <c r="E26" s="80"/>
      <c r="F26" s="80"/>
      <c r="G26" s="80"/>
      <c r="H26" s="80"/>
      <c r="I26" s="80"/>
      <c r="J26" s="80"/>
      <c r="K26" s="80"/>
      <c r="L26" s="80"/>
      <c r="M26" s="80"/>
      <c r="N26" s="80"/>
      <c r="O26" s="80"/>
      <c r="P26" s="80"/>
      <c r="Q26" s="80"/>
      <c r="R26" s="80"/>
      <c r="S26" s="80"/>
      <c r="T26" s="80"/>
      <c r="U26" s="80"/>
      <c r="V26" s="80"/>
      <c r="W26" s="80"/>
      <c r="X26" s="80"/>
      <c r="Y26" s="80"/>
      <c r="Z26" s="80"/>
      <c r="AA26" s="80"/>
      <c r="AB26" s="80"/>
      <c r="AC26" s="60"/>
      <c r="AD26" s="173"/>
    </row>
    <row r="27" spans="1:50" ht="33.950000000000003" customHeight="1" x14ac:dyDescent="0.25">
      <c r="A27" s="516" t="s">
        <v>53</v>
      </c>
      <c r="B27" s="517"/>
      <c r="C27" s="518"/>
      <c r="D27" s="518"/>
      <c r="E27" s="518"/>
      <c r="F27" s="518"/>
      <c r="G27" s="518"/>
      <c r="H27" s="518"/>
      <c r="I27" s="518"/>
      <c r="J27" s="518"/>
      <c r="K27" s="518"/>
      <c r="L27" s="518"/>
      <c r="M27" s="518"/>
      <c r="N27" s="518"/>
      <c r="O27" s="518"/>
      <c r="P27" s="518"/>
      <c r="Q27" s="518"/>
      <c r="R27" s="518"/>
      <c r="S27" s="518"/>
      <c r="T27" s="518"/>
      <c r="U27" s="518"/>
      <c r="V27" s="518"/>
      <c r="W27" s="518"/>
      <c r="X27" s="518"/>
      <c r="Y27" s="518"/>
      <c r="Z27" s="518"/>
      <c r="AA27" s="518"/>
      <c r="AB27" s="518"/>
      <c r="AC27" s="518"/>
      <c r="AD27" s="519"/>
    </row>
    <row r="28" spans="1:50" ht="15" customHeight="1" x14ac:dyDescent="0.25">
      <c r="A28" s="541" t="s">
        <v>54</v>
      </c>
      <c r="B28" s="543" t="s">
        <v>55</v>
      </c>
      <c r="C28" s="544"/>
      <c r="D28" s="521" t="s">
        <v>56</v>
      </c>
      <c r="E28" s="547"/>
      <c r="F28" s="547"/>
      <c r="G28" s="547"/>
      <c r="H28" s="547"/>
      <c r="I28" s="547"/>
      <c r="J28" s="547"/>
      <c r="K28" s="547"/>
      <c r="L28" s="547"/>
      <c r="M28" s="547"/>
      <c r="N28" s="547"/>
      <c r="O28" s="548"/>
      <c r="P28" s="549" t="s">
        <v>42</v>
      </c>
      <c r="Q28" s="549" t="s">
        <v>57</v>
      </c>
      <c r="R28" s="549"/>
      <c r="S28" s="549"/>
      <c r="T28" s="549"/>
      <c r="U28" s="549"/>
      <c r="V28" s="549"/>
      <c r="W28" s="549"/>
      <c r="X28" s="549"/>
      <c r="Y28" s="549"/>
      <c r="Z28" s="549"/>
      <c r="AA28" s="549"/>
      <c r="AB28" s="549"/>
      <c r="AC28" s="549"/>
      <c r="AD28" s="550"/>
    </row>
    <row r="29" spans="1:50" ht="27" customHeight="1" x14ac:dyDescent="0.25">
      <c r="A29" s="542"/>
      <c r="B29" s="545"/>
      <c r="C29" s="546"/>
      <c r="D29" s="88" t="s">
        <v>31</v>
      </c>
      <c r="E29" s="88" t="s">
        <v>32</v>
      </c>
      <c r="F29" s="88" t="s">
        <v>33</v>
      </c>
      <c r="G29" s="88" t="s">
        <v>34</v>
      </c>
      <c r="H29" s="88" t="s">
        <v>35</v>
      </c>
      <c r="I29" s="88" t="s">
        <v>8</v>
      </c>
      <c r="J29" s="88" t="s">
        <v>36</v>
      </c>
      <c r="K29" s="88" t="s">
        <v>37</v>
      </c>
      <c r="L29" s="88" t="s">
        <v>38</v>
      </c>
      <c r="M29" s="88" t="s">
        <v>39</v>
      </c>
      <c r="N29" s="88" t="s">
        <v>40</v>
      </c>
      <c r="O29" s="88" t="s">
        <v>41</v>
      </c>
      <c r="P29" s="548"/>
      <c r="Q29" s="549"/>
      <c r="R29" s="549"/>
      <c r="S29" s="549"/>
      <c r="T29" s="549"/>
      <c r="U29" s="549"/>
      <c r="V29" s="549"/>
      <c r="W29" s="549"/>
      <c r="X29" s="549"/>
      <c r="Y29" s="549"/>
      <c r="Z29" s="549"/>
      <c r="AA29" s="549"/>
      <c r="AB29" s="549"/>
      <c r="AC29" s="549"/>
      <c r="AD29" s="550"/>
    </row>
    <row r="30" spans="1:50" ht="68.25" customHeight="1" thickBot="1" x14ac:dyDescent="0.3">
      <c r="A30" s="85" t="s">
        <v>139</v>
      </c>
      <c r="B30" s="551"/>
      <c r="C30" s="552"/>
      <c r="D30" s="89"/>
      <c r="E30" s="89"/>
      <c r="F30" s="89"/>
      <c r="G30" s="89"/>
      <c r="H30" s="89"/>
      <c r="I30" s="89"/>
      <c r="J30" s="89"/>
      <c r="K30" s="89"/>
      <c r="L30" s="89"/>
      <c r="M30" s="89"/>
      <c r="N30" s="89"/>
      <c r="O30" s="89"/>
      <c r="P30" s="86">
        <f>SUM(D30:O30)</f>
        <v>0</v>
      </c>
      <c r="Q30" s="553"/>
      <c r="R30" s="553"/>
      <c r="S30" s="553"/>
      <c r="T30" s="553"/>
      <c r="U30" s="553"/>
      <c r="V30" s="553"/>
      <c r="W30" s="553"/>
      <c r="X30" s="553"/>
      <c r="Y30" s="553"/>
      <c r="Z30" s="553"/>
      <c r="AA30" s="553"/>
      <c r="AB30" s="553"/>
      <c r="AC30" s="553"/>
      <c r="AD30" s="554"/>
    </row>
    <row r="31" spans="1:50" ht="45" customHeight="1" thickBot="1" x14ac:dyDescent="0.3">
      <c r="A31" s="555" t="s">
        <v>59</v>
      </c>
      <c r="B31" s="556"/>
      <c r="C31" s="556"/>
      <c r="D31" s="556"/>
      <c r="E31" s="556"/>
      <c r="F31" s="556"/>
      <c r="G31" s="556"/>
      <c r="H31" s="556"/>
      <c r="I31" s="556"/>
      <c r="J31" s="556"/>
      <c r="K31" s="556"/>
      <c r="L31" s="556"/>
      <c r="M31" s="556"/>
      <c r="N31" s="556"/>
      <c r="O31" s="556"/>
      <c r="P31" s="556"/>
      <c r="Q31" s="556"/>
      <c r="R31" s="556"/>
      <c r="S31" s="556"/>
      <c r="T31" s="556"/>
      <c r="U31" s="556"/>
      <c r="V31" s="556"/>
      <c r="W31" s="556"/>
      <c r="X31" s="556"/>
      <c r="Y31" s="556"/>
      <c r="Z31" s="556"/>
      <c r="AA31" s="556"/>
      <c r="AB31" s="556"/>
      <c r="AC31" s="556"/>
      <c r="AD31" s="557"/>
    </row>
    <row r="32" spans="1:50" ht="23.1" customHeight="1" x14ac:dyDescent="0.25">
      <c r="A32" s="512" t="s">
        <v>60</v>
      </c>
      <c r="B32" s="558" t="s">
        <v>61</v>
      </c>
      <c r="C32" s="558" t="s">
        <v>55</v>
      </c>
      <c r="D32" s="561" t="s">
        <v>62</v>
      </c>
      <c r="E32" s="558"/>
      <c r="F32" s="558"/>
      <c r="G32" s="558"/>
      <c r="H32" s="558"/>
      <c r="I32" s="558"/>
      <c r="J32" s="558"/>
      <c r="K32" s="558"/>
      <c r="L32" s="558"/>
      <c r="M32" s="558"/>
      <c r="N32" s="558"/>
      <c r="O32" s="558"/>
      <c r="P32" s="559"/>
      <c r="Q32" s="512" t="s">
        <v>63</v>
      </c>
      <c r="R32" s="558"/>
      <c r="S32" s="558"/>
      <c r="T32" s="558"/>
      <c r="U32" s="558"/>
      <c r="V32" s="558"/>
      <c r="W32" s="558"/>
      <c r="X32" s="558"/>
      <c r="Y32" s="558"/>
      <c r="Z32" s="558"/>
      <c r="AA32" s="558"/>
      <c r="AB32" s="558"/>
      <c r="AC32" s="558"/>
      <c r="AD32" s="559"/>
      <c r="AG32" s="87"/>
      <c r="AH32" s="87"/>
      <c r="AI32" s="87"/>
      <c r="AJ32" s="87"/>
      <c r="AK32" s="87"/>
      <c r="AL32" s="87"/>
      <c r="AM32" s="87"/>
      <c r="AN32" s="87"/>
      <c r="AO32" s="87"/>
    </row>
    <row r="33" spans="1:41" ht="27" customHeight="1" x14ac:dyDescent="0.25">
      <c r="A33" s="520"/>
      <c r="B33" s="549"/>
      <c r="C33" s="719"/>
      <c r="D33" s="274" t="s">
        <v>31</v>
      </c>
      <c r="E33" s="265" t="s">
        <v>32</v>
      </c>
      <c r="F33" s="265" t="s">
        <v>33</v>
      </c>
      <c r="G33" s="265" t="s">
        <v>34</v>
      </c>
      <c r="H33" s="265" t="s">
        <v>35</v>
      </c>
      <c r="I33" s="265" t="s">
        <v>8</v>
      </c>
      <c r="J33" s="265" t="s">
        <v>36</v>
      </c>
      <c r="K33" s="265" t="s">
        <v>37</v>
      </c>
      <c r="L33" s="265" t="s">
        <v>38</v>
      </c>
      <c r="M33" s="265" t="s">
        <v>39</v>
      </c>
      <c r="N33" s="265" t="s">
        <v>40</v>
      </c>
      <c r="O33" s="265" t="s">
        <v>41</v>
      </c>
      <c r="P33" s="266" t="s">
        <v>42</v>
      </c>
      <c r="Q33" s="522" t="s">
        <v>64</v>
      </c>
      <c r="R33" s="593"/>
      <c r="S33" s="593"/>
      <c r="T33" s="593" t="s">
        <v>65</v>
      </c>
      <c r="U33" s="593"/>
      <c r="V33" s="593"/>
      <c r="W33" s="657" t="s">
        <v>106</v>
      </c>
      <c r="X33" s="510"/>
      <c r="Y33" s="510"/>
      <c r="Z33" s="658"/>
      <c r="AA33" s="657" t="s">
        <v>67</v>
      </c>
      <c r="AB33" s="510"/>
      <c r="AC33" s="510"/>
      <c r="AD33" s="511"/>
      <c r="AG33" s="87"/>
      <c r="AH33" s="87"/>
      <c r="AI33" s="87"/>
      <c r="AJ33" s="87"/>
      <c r="AK33" s="87"/>
      <c r="AL33" s="87"/>
      <c r="AM33" s="87"/>
      <c r="AN33" s="87"/>
      <c r="AO33" s="87"/>
    </row>
    <row r="34" spans="1:41" ht="110.25" customHeight="1" x14ac:dyDescent="0.25">
      <c r="A34" s="684" t="s">
        <v>139</v>
      </c>
      <c r="B34" s="565">
        <v>0.2</v>
      </c>
      <c r="C34" s="102" t="s">
        <v>68</v>
      </c>
      <c r="D34" s="271">
        <f>D69</f>
        <v>0</v>
      </c>
      <c r="E34" s="272">
        <v>1</v>
      </c>
      <c r="F34" s="272">
        <v>1</v>
      </c>
      <c r="G34" s="272">
        <v>1</v>
      </c>
      <c r="H34" s="272">
        <v>1</v>
      </c>
      <c r="I34" s="272">
        <v>1</v>
      </c>
      <c r="J34" s="272">
        <v>1</v>
      </c>
      <c r="K34" s="272">
        <v>1</v>
      </c>
      <c r="L34" s="272">
        <v>1</v>
      </c>
      <c r="M34" s="272">
        <v>1</v>
      </c>
      <c r="N34" s="272">
        <v>1</v>
      </c>
      <c r="O34" s="273">
        <v>1</v>
      </c>
      <c r="P34" s="267">
        <v>1</v>
      </c>
      <c r="Q34" s="798" t="s">
        <v>149</v>
      </c>
      <c r="R34" s="708"/>
      <c r="S34" s="714"/>
      <c r="T34" s="716" t="s">
        <v>150</v>
      </c>
      <c r="U34" s="708"/>
      <c r="V34" s="714"/>
      <c r="W34" s="799" t="s">
        <v>151</v>
      </c>
      <c r="X34" s="708"/>
      <c r="Y34" s="708"/>
      <c r="Z34" s="714"/>
      <c r="AA34" s="769"/>
      <c r="AB34" s="770"/>
      <c r="AC34" s="770"/>
      <c r="AD34" s="771"/>
      <c r="AG34" s="87"/>
      <c r="AH34" s="87"/>
      <c r="AI34" s="87"/>
      <c r="AJ34" s="87"/>
      <c r="AK34" s="87"/>
      <c r="AL34" s="87"/>
      <c r="AM34" s="87"/>
      <c r="AN34" s="87"/>
      <c r="AO34" s="87"/>
    </row>
    <row r="35" spans="1:41" ht="110.25" customHeight="1" thickBot="1" x14ac:dyDescent="0.3">
      <c r="A35" s="685"/>
      <c r="B35" s="477"/>
      <c r="C35" s="91" t="s">
        <v>72</v>
      </c>
      <c r="D35" s="269">
        <f>D66</f>
        <v>0</v>
      </c>
      <c r="E35" s="259">
        <v>1</v>
      </c>
      <c r="F35" s="259">
        <v>1</v>
      </c>
      <c r="G35" s="259">
        <v>1</v>
      </c>
      <c r="H35" s="259">
        <v>1</v>
      </c>
      <c r="I35" s="259">
        <v>1</v>
      </c>
      <c r="J35" s="259"/>
      <c r="K35" s="259"/>
      <c r="L35" s="259"/>
      <c r="M35" s="259"/>
      <c r="N35" s="259"/>
      <c r="O35" s="260"/>
      <c r="P35" s="268">
        <v>1</v>
      </c>
      <c r="Q35" s="715"/>
      <c r="R35" s="573"/>
      <c r="S35" s="576"/>
      <c r="T35" s="572"/>
      <c r="U35" s="573"/>
      <c r="V35" s="576"/>
      <c r="W35" s="572"/>
      <c r="X35" s="573"/>
      <c r="Y35" s="573"/>
      <c r="Z35" s="576"/>
      <c r="AA35" s="772"/>
      <c r="AB35" s="773"/>
      <c r="AC35" s="773"/>
      <c r="AD35" s="774"/>
      <c r="AE35" s="49"/>
      <c r="AG35" s="87"/>
      <c r="AH35" s="87"/>
      <c r="AI35" s="87"/>
      <c r="AJ35" s="87"/>
      <c r="AK35" s="87"/>
      <c r="AL35" s="87"/>
      <c r="AM35" s="87"/>
      <c r="AN35" s="87"/>
      <c r="AO35" s="87"/>
    </row>
    <row r="36" spans="1:41" ht="26.1" customHeight="1" x14ac:dyDescent="0.25">
      <c r="A36" s="512" t="s">
        <v>73</v>
      </c>
      <c r="B36" s="558" t="s">
        <v>74</v>
      </c>
      <c r="C36" s="561" t="s">
        <v>75</v>
      </c>
      <c r="D36" s="558"/>
      <c r="E36" s="558"/>
      <c r="F36" s="558"/>
      <c r="G36" s="558"/>
      <c r="H36" s="558"/>
      <c r="I36" s="558"/>
      <c r="J36" s="558"/>
      <c r="K36" s="558"/>
      <c r="L36" s="558"/>
      <c r="M36" s="558"/>
      <c r="N36" s="558"/>
      <c r="O36" s="558"/>
      <c r="P36" s="559"/>
      <c r="Q36" s="594" t="s">
        <v>76</v>
      </c>
      <c r="R36" s="595"/>
      <c r="S36" s="595"/>
      <c r="T36" s="595"/>
      <c r="U36" s="595"/>
      <c r="V36" s="595"/>
      <c r="W36" s="595"/>
      <c r="X36" s="595"/>
      <c r="Y36" s="595"/>
      <c r="Z36" s="595"/>
      <c r="AA36" s="595"/>
      <c r="AB36" s="595"/>
      <c r="AC36" s="595"/>
      <c r="AD36" s="596"/>
      <c r="AG36" s="87"/>
      <c r="AH36" s="87"/>
      <c r="AI36" s="87"/>
      <c r="AJ36" s="87"/>
      <c r="AK36" s="87"/>
      <c r="AL36" s="87"/>
      <c r="AM36" s="87"/>
      <c r="AN36" s="87"/>
      <c r="AO36" s="87"/>
    </row>
    <row r="37" spans="1:41" ht="26.1" customHeight="1" thickBot="1" x14ac:dyDescent="0.3">
      <c r="A37" s="522"/>
      <c r="B37" s="593"/>
      <c r="C37" s="274" t="s">
        <v>77</v>
      </c>
      <c r="D37" s="265" t="s">
        <v>78</v>
      </c>
      <c r="E37" s="265" t="s">
        <v>79</v>
      </c>
      <c r="F37" s="265" t="s">
        <v>80</v>
      </c>
      <c r="G37" s="265" t="s">
        <v>81</v>
      </c>
      <c r="H37" s="265" t="s">
        <v>82</v>
      </c>
      <c r="I37" s="265" t="s">
        <v>83</v>
      </c>
      <c r="J37" s="265" t="s">
        <v>84</v>
      </c>
      <c r="K37" s="265" t="s">
        <v>85</v>
      </c>
      <c r="L37" s="265" t="s">
        <v>86</v>
      </c>
      <c r="M37" s="265" t="s">
        <v>87</v>
      </c>
      <c r="N37" s="265" t="s">
        <v>88</v>
      </c>
      <c r="O37" s="265" t="s">
        <v>89</v>
      </c>
      <c r="P37" s="266" t="s">
        <v>90</v>
      </c>
      <c r="Q37" s="597" t="s">
        <v>91</v>
      </c>
      <c r="R37" s="598"/>
      <c r="S37" s="598"/>
      <c r="T37" s="598"/>
      <c r="U37" s="598"/>
      <c r="V37" s="598"/>
      <c r="W37" s="598"/>
      <c r="X37" s="598"/>
      <c r="Y37" s="598"/>
      <c r="Z37" s="598"/>
      <c r="AA37" s="598"/>
      <c r="AB37" s="598"/>
      <c r="AC37" s="598"/>
      <c r="AD37" s="599"/>
      <c r="AG37" s="94"/>
      <c r="AH37" s="94"/>
      <c r="AI37" s="94"/>
      <c r="AJ37" s="94"/>
      <c r="AK37" s="94"/>
      <c r="AL37" s="94"/>
      <c r="AM37" s="94"/>
      <c r="AN37" s="94"/>
      <c r="AO37" s="94"/>
    </row>
    <row r="38" spans="1:41" ht="36.75" customHeight="1" x14ac:dyDescent="0.25">
      <c r="A38" s="781" t="s">
        <v>143</v>
      </c>
      <c r="B38" s="783">
        <v>0.08</v>
      </c>
      <c r="C38" s="371" t="s">
        <v>68</v>
      </c>
      <c r="D38" s="422">
        <v>0</v>
      </c>
      <c r="E38" s="422">
        <v>0.06</v>
      </c>
      <c r="F38" s="423">
        <v>0.105</v>
      </c>
      <c r="G38" s="423">
        <v>0.105</v>
      </c>
      <c r="H38" s="423">
        <v>0.105</v>
      </c>
      <c r="I38" s="423">
        <v>0.105</v>
      </c>
      <c r="J38" s="367">
        <v>0.105</v>
      </c>
      <c r="K38" s="367">
        <v>0.105</v>
      </c>
      <c r="L38" s="367">
        <v>0.105</v>
      </c>
      <c r="M38" s="367">
        <v>0.105</v>
      </c>
      <c r="N38" s="367">
        <v>0.1</v>
      </c>
      <c r="O38" s="367">
        <v>0</v>
      </c>
      <c r="P38" s="368">
        <f t="shared" ref="P38:P43" si="0">SUM(D38:O38)</f>
        <v>0.99999999999999989</v>
      </c>
      <c r="Q38" s="701" t="s">
        <v>557</v>
      </c>
      <c r="R38" s="754"/>
      <c r="S38" s="754"/>
      <c r="T38" s="754"/>
      <c r="U38" s="754"/>
      <c r="V38" s="754"/>
      <c r="W38" s="754"/>
      <c r="X38" s="754"/>
      <c r="Y38" s="754"/>
      <c r="Z38" s="754"/>
      <c r="AA38" s="754"/>
      <c r="AB38" s="754"/>
      <c r="AC38" s="754"/>
      <c r="AD38" s="755"/>
      <c r="AE38" s="97"/>
      <c r="AG38" s="98"/>
      <c r="AH38" s="98"/>
      <c r="AI38" s="98"/>
      <c r="AJ38" s="98"/>
      <c r="AK38" s="98"/>
      <c r="AL38" s="98"/>
      <c r="AM38" s="98"/>
      <c r="AN38" s="98"/>
      <c r="AO38" s="98"/>
    </row>
    <row r="39" spans="1:41" ht="36.75" customHeight="1" x14ac:dyDescent="0.25">
      <c r="A39" s="782"/>
      <c r="B39" s="784"/>
      <c r="C39" s="225" t="s">
        <v>72</v>
      </c>
      <c r="D39" s="287"/>
      <c r="E39" s="283">
        <v>0.06</v>
      </c>
      <c r="F39" s="283">
        <v>0.105</v>
      </c>
      <c r="G39" s="283">
        <v>0.14611111099999999</v>
      </c>
      <c r="H39" s="436">
        <v>0.105</v>
      </c>
      <c r="I39" s="436">
        <v>0.105</v>
      </c>
      <c r="J39" s="100"/>
      <c r="K39" s="100"/>
      <c r="L39" s="100"/>
      <c r="M39" s="100"/>
      <c r="N39" s="100"/>
      <c r="O39" s="100"/>
      <c r="P39" s="263">
        <f t="shared" si="0"/>
        <v>0.52111111099999996</v>
      </c>
      <c r="Q39" s="785"/>
      <c r="R39" s="786"/>
      <c r="S39" s="786"/>
      <c r="T39" s="786"/>
      <c r="U39" s="786"/>
      <c r="V39" s="786"/>
      <c r="W39" s="786"/>
      <c r="X39" s="786"/>
      <c r="Y39" s="786"/>
      <c r="Z39" s="786"/>
      <c r="AA39" s="786"/>
      <c r="AB39" s="786"/>
      <c r="AC39" s="786"/>
      <c r="AD39" s="787"/>
      <c r="AE39" s="97"/>
    </row>
    <row r="40" spans="1:41" ht="33.75" customHeight="1" x14ac:dyDescent="0.25">
      <c r="A40" s="788" t="s">
        <v>145</v>
      </c>
      <c r="B40" s="789">
        <v>7.0000000000000007E-2</v>
      </c>
      <c r="C40" s="226" t="s">
        <v>68</v>
      </c>
      <c r="D40" s="420">
        <v>0</v>
      </c>
      <c r="E40" s="421">
        <v>9.5000000000000001E-2</v>
      </c>
      <c r="F40" s="421">
        <v>9.5000000000000001E-2</v>
      </c>
      <c r="G40" s="421">
        <v>9.5000000000000001E-2</v>
      </c>
      <c r="H40" s="421">
        <v>9.5000000000000001E-2</v>
      </c>
      <c r="I40" s="421">
        <v>9.5000000000000001E-2</v>
      </c>
      <c r="J40" s="220">
        <v>9.5000000000000001E-2</v>
      </c>
      <c r="K40" s="220">
        <v>9.5000000000000001E-2</v>
      </c>
      <c r="L40" s="220">
        <v>9.5000000000000001E-2</v>
      </c>
      <c r="M40" s="220">
        <v>9.5000000000000001E-2</v>
      </c>
      <c r="N40" s="220">
        <v>9.5000000000000001E-2</v>
      </c>
      <c r="O40" s="220">
        <v>0.05</v>
      </c>
      <c r="P40" s="263">
        <f t="shared" si="0"/>
        <v>0.99999999999999989</v>
      </c>
      <c r="Q40" s="790" t="s">
        <v>152</v>
      </c>
      <c r="R40" s="791"/>
      <c r="S40" s="791"/>
      <c r="T40" s="791"/>
      <c r="U40" s="791"/>
      <c r="V40" s="791"/>
      <c r="W40" s="791"/>
      <c r="X40" s="791"/>
      <c r="Y40" s="791"/>
      <c r="Z40" s="791"/>
      <c r="AA40" s="791"/>
      <c r="AB40" s="791"/>
      <c r="AC40" s="791"/>
      <c r="AD40" s="792"/>
      <c r="AE40" s="97"/>
    </row>
    <row r="41" spans="1:41" ht="33.75" customHeight="1" x14ac:dyDescent="0.25">
      <c r="A41" s="782"/>
      <c r="B41" s="784"/>
      <c r="C41" s="225" t="s">
        <v>72</v>
      </c>
      <c r="D41" s="287"/>
      <c r="E41" s="283">
        <v>9.5000000000000001E-2</v>
      </c>
      <c r="F41" s="283">
        <v>9.5000000000000001E-2</v>
      </c>
      <c r="G41" s="283">
        <v>9.5000000000000001E-2</v>
      </c>
      <c r="H41" s="436">
        <v>9.5000000000000001E-2</v>
      </c>
      <c r="I41" s="436">
        <v>9.5000000000000001E-2</v>
      </c>
      <c r="J41" s="100"/>
      <c r="K41" s="100"/>
      <c r="L41" s="100"/>
      <c r="M41" s="100"/>
      <c r="N41" s="100"/>
      <c r="O41" s="100"/>
      <c r="P41" s="263">
        <f t="shared" si="0"/>
        <v>0.47499999999999998</v>
      </c>
      <c r="Q41" s="793"/>
      <c r="R41" s="794"/>
      <c r="S41" s="794"/>
      <c r="T41" s="794"/>
      <c r="U41" s="794"/>
      <c r="V41" s="794"/>
      <c r="W41" s="794"/>
      <c r="X41" s="794"/>
      <c r="Y41" s="794"/>
      <c r="Z41" s="794"/>
      <c r="AA41" s="794"/>
      <c r="AB41" s="794"/>
      <c r="AC41" s="794"/>
      <c r="AD41" s="795"/>
      <c r="AE41" s="97"/>
    </row>
    <row r="42" spans="1:41" ht="46.5" customHeight="1" x14ac:dyDescent="0.25">
      <c r="A42" s="693" t="s">
        <v>147</v>
      </c>
      <c r="B42" s="796">
        <v>0.05</v>
      </c>
      <c r="C42" s="226" t="s">
        <v>68</v>
      </c>
      <c r="D42" s="420">
        <v>0</v>
      </c>
      <c r="E42" s="420">
        <v>0.17</v>
      </c>
      <c r="F42" s="421">
        <v>0</v>
      </c>
      <c r="G42" s="421">
        <v>0.16600000000000001</v>
      </c>
      <c r="H42" s="421">
        <v>0</v>
      </c>
      <c r="I42" s="421">
        <v>0.16600000000000001</v>
      </c>
      <c r="J42" s="220">
        <v>0</v>
      </c>
      <c r="K42" s="220">
        <v>0.16600000000000001</v>
      </c>
      <c r="L42" s="220">
        <v>0</v>
      </c>
      <c r="M42" s="220">
        <v>0.16600000000000001</v>
      </c>
      <c r="N42" s="220">
        <v>0</v>
      </c>
      <c r="O42" s="220">
        <v>0.16600000000000001</v>
      </c>
      <c r="P42" s="263">
        <f>SUM(D42:O42)</f>
        <v>1</v>
      </c>
      <c r="Q42" s="775" t="s">
        <v>572</v>
      </c>
      <c r="R42" s="776"/>
      <c r="S42" s="776"/>
      <c r="T42" s="776"/>
      <c r="U42" s="776"/>
      <c r="V42" s="776"/>
      <c r="W42" s="776"/>
      <c r="X42" s="776"/>
      <c r="Y42" s="776"/>
      <c r="Z42" s="776"/>
      <c r="AA42" s="776"/>
      <c r="AB42" s="776"/>
      <c r="AC42" s="776"/>
      <c r="AD42" s="777"/>
      <c r="AE42" s="97"/>
    </row>
    <row r="43" spans="1:41" ht="46.5" customHeight="1" thickBot="1" x14ac:dyDescent="0.3">
      <c r="A43" s="694"/>
      <c r="B43" s="797"/>
      <c r="C43" s="280" t="s">
        <v>72</v>
      </c>
      <c r="D43" s="424"/>
      <c r="E43" s="424">
        <v>0.17</v>
      </c>
      <c r="F43" s="425">
        <v>0</v>
      </c>
      <c r="G43" s="425">
        <v>0.16600000000000001</v>
      </c>
      <c r="H43" s="424">
        <v>0</v>
      </c>
      <c r="I43" s="425">
        <v>0.16600000000000001</v>
      </c>
      <c r="J43" s="105"/>
      <c r="K43" s="105"/>
      <c r="L43" s="105"/>
      <c r="M43" s="105"/>
      <c r="N43" s="105"/>
      <c r="O43" s="105"/>
      <c r="P43" s="264">
        <f t="shared" si="0"/>
        <v>0.502</v>
      </c>
      <c r="Q43" s="778"/>
      <c r="R43" s="779"/>
      <c r="S43" s="779"/>
      <c r="T43" s="779"/>
      <c r="U43" s="779"/>
      <c r="V43" s="779"/>
      <c r="W43" s="779"/>
      <c r="X43" s="779"/>
      <c r="Y43" s="779"/>
      <c r="Z43" s="779"/>
      <c r="AA43" s="779"/>
      <c r="AB43" s="779"/>
      <c r="AC43" s="779"/>
      <c r="AD43" s="780"/>
      <c r="AE43" s="97"/>
    </row>
    <row r="44" spans="1:41" x14ac:dyDescent="0.25">
      <c r="A44" s="50" t="s">
        <v>95</v>
      </c>
      <c r="AF44" s="427"/>
    </row>
    <row r="45" spans="1:41" x14ac:dyDescent="0.25">
      <c r="AE45" s="426"/>
    </row>
    <row r="46" spans="1:41" x14ac:dyDescent="0.25"/>
    <row r="55" spans="1:30" x14ac:dyDescent="0.25">
      <c r="A55" s="613" t="s">
        <v>96</v>
      </c>
      <c r="B55" s="615" t="s">
        <v>74</v>
      </c>
      <c r="C55" s="617" t="s">
        <v>75</v>
      </c>
      <c r="D55" s="618"/>
      <c r="E55" s="618"/>
      <c r="F55" s="618"/>
      <c r="G55" s="618"/>
      <c r="H55" s="618"/>
      <c r="I55" s="618"/>
      <c r="J55" s="618"/>
      <c r="K55" s="618"/>
      <c r="L55" s="618"/>
      <c r="M55" s="618"/>
      <c r="N55" s="618"/>
      <c r="O55" s="618"/>
      <c r="P55" s="619"/>
      <c r="Q55" s="228"/>
      <c r="R55" s="228"/>
      <c r="S55" s="229"/>
      <c r="T55" s="229"/>
      <c r="U55" s="229"/>
      <c r="V55" s="229"/>
      <c r="W55" s="229"/>
      <c r="X55" s="229"/>
      <c r="Y55" s="229"/>
      <c r="Z55" s="229"/>
      <c r="AA55" s="229"/>
      <c r="AB55" s="229"/>
      <c r="AC55" s="229"/>
      <c r="AD55" s="229"/>
    </row>
    <row r="56" spans="1:30" ht="21" x14ac:dyDescent="0.25">
      <c r="A56" s="614"/>
      <c r="B56" s="616"/>
      <c r="C56" s="230" t="s">
        <v>77</v>
      </c>
      <c r="D56" s="230" t="s">
        <v>78</v>
      </c>
      <c r="E56" s="230" t="s">
        <v>79</v>
      </c>
      <c r="F56" s="230" t="s">
        <v>80</v>
      </c>
      <c r="G56" s="230" t="s">
        <v>81</v>
      </c>
      <c r="H56" s="230" t="s">
        <v>82</v>
      </c>
      <c r="I56" s="230" t="s">
        <v>83</v>
      </c>
      <c r="J56" s="230" t="s">
        <v>84</v>
      </c>
      <c r="K56" s="230" t="s">
        <v>85</v>
      </c>
      <c r="L56" s="230" t="s">
        <v>86</v>
      </c>
      <c r="M56" s="230" t="s">
        <v>87</v>
      </c>
      <c r="N56" s="230" t="s">
        <v>88</v>
      </c>
      <c r="O56" s="230" t="s">
        <v>89</v>
      </c>
      <c r="P56" s="230" t="s">
        <v>90</v>
      </c>
      <c r="Q56" s="228"/>
      <c r="R56" s="228"/>
      <c r="S56" s="229"/>
      <c r="T56" s="229"/>
      <c r="U56" s="229"/>
      <c r="V56" s="229"/>
      <c r="W56" s="229"/>
      <c r="X56" s="229"/>
      <c r="Y56" s="229"/>
      <c r="Z56" s="229"/>
      <c r="AA56" s="229"/>
      <c r="AB56" s="229"/>
      <c r="AC56" s="229"/>
      <c r="AD56" s="229"/>
    </row>
    <row r="57" spans="1:30" x14ac:dyDescent="0.25">
      <c r="A57" s="620" t="str">
        <f>A38</f>
        <v xml:space="preserve">13. Implementar los talleres de cambio cultural </v>
      </c>
      <c r="B57" s="622">
        <f>B38</f>
        <v>0.08</v>
      </c>
      <c r="C57" s="231" t="s">
        <v>68</v>
      </c>
      <c r="D57" s="232">
        <f>D38*$B$38/$P$38</f>
        <v>0</v>
      </c>
      <c r="E57" s="232">
        <f t="shared" ref="D57:O58" si="1">E38*$B$38/$P$38</f>
        <v>4.8000000000000004E-3</v>
      </c>
      <c r="F57" s="232">
        <f t="shared" si="1"/>
        <v>8.4000000000000012E-3</v>
      </c>
      <c r="G57" s="232">
        <f t="shared" si="1"/>
        <v>8.4000000000000012E-3</v>
      </c>
      <c r="H57" s="232">
        <f t="shared" si="1"/>
        <v>8.4000000000000012E-3</v>
      </c>
      <c r="I57" s="232">
        <f t="shared" si="1"/>
        <v>8.4000000000000012E-3</v>
      </c>
      <c r="J57" s="232">
        <f t="shared" si="1"/>
        <v>8.4000000000000012E-3</v>
      </c>
      <c r="K57" s="232">
        <f t="shared" si="1"/>
        <v>8.4000000000000012E-3</v>
      </c>
      <c r="L57" s="232">
        <f t="shared" si="1"/>
        <v>8.4000000000000012E-3</v>
      </c>
      <c r="M57" s="232">
        <f t="shared" si="1"/>
        <v>8.4000000000000012E-3</v>
      </c>
      <c r="N57" s="232">
        <f t="shared" si="1"/>
        <v>8.0000000000000019E-3</v>
      </c>
      <c r="O57" s="232">
        <f t="shared" si="1"/>
        <v>0</v>
      </c>
      <c r="P57" s="233">
        <f t="shared" ref="P57:P62" si="2">SUM(D57:O57)</f>
        <v>8.0000000000000029E-2</v>
      </c>
      <c r="Q57" s="234">
        <v>0.05</v>
      </c>
      <c r="R57" s="235">
        <f t="shared" ref="R57:R65" si="3">+P57-Q57</f>
        <v>3.0000000000000027E-2</v>
      </c>
      <c r="S57" s="229"/>
      <c r="T57" s="229"/>
      <c r="U57" s="229"/>
      <c r="V57" s="229"/>
      <c r="W57" s="229"/>
      <c r="X57" s="229"/>
      <c r="Y57" s="229"/>
      <c r="Z57" s="229"/>
      <c r="AA57" s="229"/>
      <c r="AB57" s="229"/>
      <c r="AC57" s="229"/>
      <c r="AD57" s="229"/>
    </row>
    <row r="58" spans="1:30" x14ac:dyDescent="0.25">
      <c r="A58" s="621"/>
      <c r="B58" s="623"/>
      <c r="C58" s="236" t="s">
        <v>72</v>
      </c>
      <c r="D58" s="237">
        <f t="shared" si="1"/>
        <v>0</v>
      </c>
      <c r="E58" s="237">
        <f t="shared" si="1"/>
        <v>4.8000000000000004E-3</v>
      </c>
      <c r="F58" s="237">
        <f t="shared" si="1"/>
        <v>8.4000000000000012E-3</v>
      </c>
      <c r="G58" s="237">
        <f t="shared" si="1"/>
        <v>1.1688888880000001E-2</v>
      </c>
      <c r="H58" s="237">
        <f t="shared" si="1"/>
        <v>8.4000000000000012E-3</v>
      </c>
      <c r="I58" s="237">
        <f t="shared" si="1"/>
        <v>8.4000000000000012E-3</v>
      </c>
      <c r="J58" s="237">
        <f t="shared" si="1"/>
        <v>0</v>
      </c>
      <c r="K58" s="237">
        <f t="shared" si="1"/>
        <v>0</v>
      </c>
      <c r="L58" s="237">
        <f t="shared" si="1"/>
        <v>0</v>
      </c>
      <c r="M58" s="237">
        <f t="shared" si="1"/>
        <v>0</v>
      </c>
      <c r="N58" s="237">
        <f t="shared" si="1"/>
        <v>0</v>
      </c>
      <c r="O58" s="237">
        <f t="shared" si="1"/>
        <v>0</v>
      </c>
      <c r="P58" s="238">
        <f t="shared" si="2"/>
        <v>4.1688888880000011E-2</v>
      </c>
      <c r="Q58" s="239">
        <f>+P58</f>
        <v>4.1688888880000011E-2</v>
      </c>
      <c r="R58" s="235">
        <f t="shared" si="3"/>
        <v>0</v>
      </c>
      <c r="S58" s="229"/>
      <c r="T58" s="229"/>
      <c r="U58" s="229"/>
      <c r="V58" s="229"/>
      <c r="W58" s="229"/>
      <c r="X58" s="229"/>
      <c r="Y58" s="229"/>
      <c r="Z58" s="229"/>
      <c r="AA58" s="229"/>
      <c r="AB58" s="229"/>
      <c r="AC58" s="229"/>
      <c r="AD58" s="229"/>
    </row>
    <row r="59" spans="1:30" x14ac:dyDescent="0.25">
      <c r="A59" s="620" t="str">
        <f>A40</f>
        <v>14. Implementar la Red de Alianzas del Cuidado</v>
      </c>
      <c r="B59" s="625">
        <f>B40</f>
        <v>7.0000000000000007E-2</v>
      </c>
      <c r="C59" s="231" t="s">
        <v>68</v>
      </c>
      <c r="D59" s="232">
        <f t="shared" ref="D59:O60" si="4">D40*$B$40/$P$40</f>
        <v>0</v>
      </c>
      <c r="E59" s="232">
        <f t="shared" si="4"/>
        <v>6.6500000000000014E-3</v>
      </c>
      <c r="F59" s="232">
        <f t="shared" si="4"/>
        <v>6.6500000000000014E-3</v>
      </c>
      <c r="G59" s="232">
        <f t="shared" si="4"/>
        <v>6.6500000000000014E-3</v>
      </c>
      <c r="H59" s="232">
        <f t="shared" si="4"/>
        <v>6.6500000000000014E-3</v>
      </c>
      <c r="I59" s="232">
        <f t="shared" si="4"/>
        <v>6.6500000000000014E-3</v>
      </c>
      <c r="J59" s="232">
        <f t="shared" si="4"/>
        <v>6.6500000000000014E-3</v>
      </c>
      <c r="K59" s="232">
        <f t="shared" si="4"/>
        <v>6.6500000000000014E-3</v>
      </c>
      <c r="L59" s="232">
        <f t="shared" si="4"/>
        <v>6.6500000000000014E-3</v>
      </c>
      <c r="M59" s="232">
        <f t="shared" si="4"/>
        <v>6.6500000000000014E-3</v>
      </c>
      <c r="N59" s="232">
        <f t="shared" si="4"/>
        <v>6.6500000000000014E-3</v>
      </c>
      <c r="O59" s="232">
        <f t="shared" si="4"/>
        <v>3.5000000000000009E-3</v>
      </c>
      <c r="P59" s="233">
        <f t="shared" si="2"/>
        <v>7.0000000000000021E-2</v>
      </c>
      <c r="Q59" s="234">
        <v>2.5000000000000001E-2</v>
      </c>
      <c r="R59" s="235">
        <f t="shared" si="3"/>
        <v>4.5000000000000019E-2</v>
      </c>
      <c r="S59" s="229"/>
      <c r="T59" s="229"/>
      <c r="U59" s="229"/>
      <c r="V59" s="229"/>
      <c r="W59" s="229"/>
      <c r="X59" s="229"/>
      <c r="Y59" s="229"/>
      <c r="Z59" s="229"/>
      <c r="AA59" s="229"/>
      <c r="AB59" s="229"/>
      <c r="AC59" s="229"/>
      <c r="AD59" s="229"/>
    </row>
    <row r="60" spans="1:30" x14ac:dyDescent="0.25">
      <c r="A60" s="624"/>
      <c r="B60" s="626"/>
      <c r="C60" s="236" t="s">
        <v>72</v>
      </c>
      <c r="D60" s="237">
        <f t="shared" si="4"/>
        <v>0</v>
      </c>
      <c r="E60" s="237">
        <f t="shared" si="4"/>
        <v>6.6500000000000014E-3</v>
      </c>
      <c r="F60" s="237">
        <f t="shared" si="4"/>
        <v>6.6500000000000014E-3</v>
      </c>
      <c r="G60" s="237">
        <f t="shared" si="4"/>
        <v>6.6500000000000014E-3</v>
      </c>
      <c r="H60" s="237">
        <f t="shared" si="4"/>
        <v>6.6500000000000014E-3</v>
      </c>
      <c r="I60" s="237">
        <f t="shared" si="4"/>
        <v>6.6500000000000014E-3</v>
      </c>
      <c r="J60" s="237">
        <f t="shared" si="4"/>
        <v>0</v>
      </c>
      <c r="K60" s="237">
        <f t="shared" si="4"/>
        <v>0</v>
      </c>
      <c r="L60" s="237">
        <f t="shared" si="4"/>
        <v>0</v>
      </c>
      <c r="M60" s="237">
        <f t="shared" si="4"/>
        <v>0</v>
      </c>
      <c r="N60" s="237">
        <f t="shared" si="4"/>
        <v>0</v>
      </c>
      <c r="O60" s="237">
        <f t="shared" si="4"/>
        <v>0</v>
      </c>
      <c r="P60" s="238">
        <f t="shared" si="2"/>
        <v>3.3250000000000009E-2</v>
      </c>
      <c r="Q60" s="239">
        <f>+P60</f>
        <v>3.3250000000000009E-2</v>
      </c>
      <c r="R60" s="235">
        <f t="shared" si="3"/>
        <v>0</v>
      </c>
      <c r="S60" s="229"/>
      <c r="T60" s="229"/>
      <c r="U60" s="229"/>
      <c r="V60" s="229"/>
      <c r="W60" s="229"/>
      <c r="X60" s="229"/>
      <c r="Y60" s="229"/>
      <c r="Z60" s="229"/>
      <c r="AA60" s="229"/>
      <c r="AB60" s="229"/>
      <c r="AC60" s="229"/>
      <c r="AD60" s="229"/>
    </row>
    <row r="61" spans="1:30" x14ac:dyDescent="0.25">
      <c r="A61" s="620" t="str">
        <f>A42</f>
        <v>15. Convocar y gestionar las sesiones de la Mesa de Transformación Cultural de la Unidad Técnica de Apoyo de la Comisión Intersectorial del Sistema de Cuidado</v>
      </c>
      <c r="B61" s="625">
        <f>B42</f>
        <v>0.05</v>
      </c>
      <c r="C61" s="231" t="s">
        <v>68</v>
      </c>
      <c r="D61" s="232">
        <f t="shared" ref="D61:O62" si="5">D42*$B$42/$P$42</f>
        <v>0</v>
      </c>
      <c r="E61" s="232">
        <f t="shared" si="5"/>
        <v>8.5000000000000006E-3</v>
      </c>
      <c r="F61" s="232">
        <f t="shared" si="5"/>
        <v>0</v>
      </c>
      <c r="G61" s="232">
        <f t="shared" si="5"/>
        <v>8.3000000000000001E-3</v>
      </c>
      <c r="H61" s="232">
        <f t="shared" si="5"/>
        <v>0</v>
      </c>
      <c r="I61" s="232">
        <f t="shared" si="5"/>
        <v>8.3000000000000001E-3</v>
      </c>
      <c r="J61" s="232">
        <f t="shared" si="5"/>
        <v>0</v>
      </c>
      <c r="K61" s="232">
        <f t="shared" si="5"/>
        <v>8.3000000000000001E-3</v>
      </c>
      <c r="L61" s="232">
        <f t="shared" si="5"/>
        <v>0</v>
      </c>
      <c r="M61" s="232">
        <f t="shared" si="5"/>
        <v>8.3000000000000001E-3</v>
      </c>
      <c r="N61" s="232">
        <f t="shared" si="5"/>
        <v>0</v>
      </c>
      <c r="O61" s="232">
        <f t="shared" si="5"/>
        <v>8.3000000000000001E-3</v>
      </c>
      <c r="P61" s="233">
        <f t="shared" si="2"/>
        <v>5.000000000000001E-2</v>
      </c>
      <c r="Q61" s="234">
        <v>2.5000000000000001E-2</v>
      </c>
      <c r="R61" s="235">
        <f t="shared" si="3"/>
        <v>2.5000000000000008E-2</v>
      </c>
      <c r="S61" s="229"/>
      <c r="T61" s="229"/>
      <c r="U61" s="229"/>
      <c r="V61" s="229"/>
      <c r="W61" s="229"/>
      <c r="X61" s="229"/>
      <c r="Y61" s="229"/>
      <c r="Z61" s="229"/>
      <c r="AA61" s="229"/>
      <c r="AB61" s="229"/>
      <c r="AC61" s="229"/>
      <c r="AD61" s="229"/>
    </row>
    <row r="62" spans="1:30" x14ac:dyDescent="0.25">
      <c r="A62" s="624"/>
      <c r="B62" s="626"/>
      <c r="C62" s="236" t="s">
        <v>72</v>
      </c>
      <c r="D62" s="237">
        <f t="shared" si="5"/>
        <v>0</v>
      </c>
      <c r="E62" s="237">
        <f t="shared" si="5"/>
        <v>8.5000000000000006E-3</v>
      </c>
      <c r="F62" s="237">
        <f t="shared" si="5"/>
        <v>0</v>
      </c>
      <c r="G62" s="237">
        <f t="shared" si="5"/>
        <v>8.3000000000000001E-3</v>
      </c>
      <c r="H62" s="237">
        <f t="shared" si="5"/>
        <v>0</v>
      </c>
      <c r="I62" s="237">
        <f t="shared" si="5"/>
        <v>8.3000000000000001E-3</v>
      </c>
      <c r="J62" s="237">
        <f t="shared" si="5"/>
        <v>0</v>
      </c>
      <c r="K62" s="237">
        <f t="shared" si="5"/>
        <v>0</v>
      </c>
      <c r="L62" s="237">
        <f t="shared" si="5"/>
        <v>0</v>
      </c>
      <c r="M62" s="237">
        <f t="shared" si="5"/>
        <v>0</v>
      </c>
      <c r="N62" s="237">
        <f t="shared" si="5"/>
        <v>0</v>
      </c>
      <c r="O62" s="237">
        <f t="shared" si="5"/>
        <v>0</v>
      </c>
      <c r="P62" s="238">
        <f t="shared" si="2"/>
        <v>2.5100000000000004E-2</v>
      </c>
      <c r="Q62" s="239">
        <f>+P62</f>
        <v>2.5100000000000004E-2</v>
      </c>
      <c r="R62" s="235">
        <f t="shared" si="3"/>
        <v>0</v>
      </c>
      <c r="S62" s="229"/>
      <c r="T62" s="229"/>
      <c r="U62" s="229"/>
      <c r="V62" s="229"/>
      <c r="W62" s="229"/>
      <c r="X62" s="229"/>
      <c r="Y62" s="229"/>
      <c r="Z62" s="229"/>
      <c r="AA62" s="229"/>
      <c r="AB62" s="229"/>
      <c r="AC62" s="229"/>
      <c r="AD62" s="229"/>
    </row>
    <row r="63" spans="1:30" x14ac:dyDescent="0.25">
      <c r="A63" s="241"/>
      <c r="B63" s="242"/>
      <c r="C63" s="243"/>
      <c r="D63" s="232"/>
      <c r="E63" s="232"/>
      <c r="F63" s="232"/>
      <c r="G63" s="232"/>
      <c r="H63" s="232"/>
      <c r="I63" s="232"/>
      <c r="J63" s="232"/>
      <c r="K63" s="232"/>
      <c r="L63" s="232"/>
      <c r="M63" s="232"/>
      <c r="N63" s="232"/>
      <c r="O63" s="232"/>
      <c r="P63" s="244"/>
      <c r="Q63" s="234"/>
      <c r="R63" s="235"/>
      <c r="S63" s="229"/>
      <c r="T63" s="229"/>
      <c r="U63" s="229"/>
      <c r="V63" s="229"/>
      <c r="W63" s="229"/>
      <c r="X63" s="229"/>
      <c r="Y63" s="229"/>
      <c r="Z63" s="229"/>
      <c r="AA63" s="229"/>
      <c r="AB63" s="229"/>
      <c r="AC63" s="229"/>
      <c r="AD63" s="229"/>
    </row>
    <row r="64" spans="1:30" x14ac:dyDescent="0.25">
      <c r="A64" s="245"/>
      <c r="B64" s="246"/>
      <c r="C64" s="243"/>
      <c r="D64" s="247"/>
      <c r="E64" s="247"/>
      <c r="F64" s="247"/>
      <c r="G64" s="247"/>
      <c r="H64" s="247"/>
      <c r="I64" s="247"/>
      <c r="J64" s="247"/>
      <c r="K64" s="247"/>
      <c r="L64" s="247"/>
      <c r="M64" s="247"/>
      <c r="N64" s="247"/>
      <c r="O64" s="247"/>
      <c r="P64" s="244"/>
      <c r="Q64" s="239"/>
      <c r="R64" s="235"/>
      <c r="S64" s="229"/>
      <c r="T64" s="229"/>
      <c r="U64" s="229"/>
      <c r="V64" s="229"/>
      <c r="W64" s="229"/>
      <c r="X64" s="229"/>
      <c r="Y64" s="229"/>
      <c r="Z64" s="229"/>
      <c r="AA64" s="229"/>
      <c r="AB64" s="229"/>
      <c r="AC64" s="229"/>
      <c r="AD64" s="229"/>
    </row>
    <row r="65" spans="1:30" x14ac:dyDescent="0.25">
      <c r="A65" s="228"/>
      <c r="B65" s="248"/>
      <c r="C65" s="249"/>
      <c r="D65" s="250">
        <f>D58+D60+D62</f>
        <v>0</v>
      </c>
      <c r="E65" s="250">
        <f t="shared" ref="E65:O65" si="6">E58+E60+E62</f>
        <v>1.9950000000000002E-2</v>
      </c>
      <c r="F65" s="250">
        <f t="shared" si="6"/>
        <v>1.5050000000000003E-2</v>
      </c>
      <c r="G65" s="250">
        <f t="shared" si="6"/>
        <v>2.6638888880000003E-2</v>
      </c>
      <c r="H65" s="250">
        <f t="shared" si="6"/>
        <v>1.5050000000000003E-2</v>
      </c>
      <c r="I65" s="250">
        <f t="shared" si="6"/>
        <v>2.3350000000000003E-2</v>
      </c>
      <c r="J65" s="250">
        <f t="shared" si="6"/>
        <v>0</v>
      </c>
      <c r="K65" s="250">
        <f t="shared" si="6"/>
        <v>0</v>
      </c>
      <c r="L65" s="250">
        <f t="shared" si="6"/>
        <v>0</v>
      </c>
      <c r="M65" s="250">
        <f t="shared" si="6"/>
        <v>0</v>
      </c>
      <c r="N65" s="250">
        <f t="shared" si="6"/>
        <v>0</v>
      </c>
      <c r="O65" s="250">
        <f t="shared" si="6"/>
        <v>0</v>
      </c>
      <c r="P65" s="250">
        <f>P58+P60+P62</f>
        <v>0.10003888888000004</v>
      </c>
      <c r="Q65" s="228"/>
      <c r="R65" s="235">
        <f t="shared" si="3"/>
        <v>0.10003888888000004</v>
      </c>
      <c r="S65" s="229"/>
      <c r="T65" s="229"/>
      <c r="U65" s="229"/>
      <c r="V65" s="229"/>
      <c r="W65" s="229"/>
      <c r="X65" s="229"/>
      <c r="Y65" s="229"/>
      <c r="Z65" s="229"/>
      <c r="AA65" s="229"/>
      <c r="AB65" s="229"/>
      <c r="AC65" s="229"/>
      <c r="AD65" s="229"/>
    </row>
    <row r="66" spans="1:30" x14ac:dyDescent="0.25">
      <c r="A66" s="228"/>
      <c r="B66" s="251"/>
      <c r="C66" s="252" t="s">
        <v>72</v>
      </c>
      <c r="D66" s="253">
        <f>D65*$W$17/$B$34</f>
        <v>0</v>
      </c>
      <c r="E66" s="253">
        <f t="shared" ref="E66:O66" si="7">E65*$W$17/$B$34</f>
        <v>9.9750000000000005E-2</v>
      </c>
      <c r="F66" s="253">
        <f t="shared" si="7"/>
        <v>7.5250000000000011E-2</v>
      </c>
      <c r="G66" s="253">
        <f t="shared" si="7"/>
        <v>0.1331944444</v>
      </c>
      <c r="H66" s="253">
        <f t="shared" si="7"/>
        <v>7.5250000000000011E-2</v>
      </c>
      <c r="I66" s="253">
        <f t="shared" si="7"/>
        <v>0.11675000000000001</v>
      </c>
      <c r="J66" s="253">
        <f t="shared" si="7"/>
        <v>0</v>
      </c>
      <c r="K66" s="253">
        <f t="shared" si="7"/>
        <v>0</v>
      </c>
      <c r="L66" s="253">
        <f t="shared" si="7"/>
        <v>0</v>
      </c>
      <c r="M66" s="253">
        <f t="shared" si="7"/>
        <v>0</v>
      </c>
      <c r="N66" s="253">
        <f t="shared" si="7"/>
        <v>0</v>
      </c>
      <c r="O66" s="253">
        <f t="shared" si="7"/>
        <v>0</v>
      </c>
      <c r="P66" s="254">
        <f>SUM(D66:O66)</f>
        <v>0.50019444440000005</v>
      </c>
      <c r="Q66" s="255"/>
      <c r="R66" s="228"/>
      <c r="S66" s="229"/>
      <c r="T66" s="229"/>
      <c r="U66" s="229"/>
      <c r="V66" s="229"/>
      <c r="W66" s="229"/>
      <c r="X66" s="229"/>
      <c r="Y66" s="229"/>
      <c r="Z66" s="229"/>
      <c r="AA66" s="229"/>
      <c r="AB66" s="229"/>
      <c r="AC66" s="229"/>
      <c r="AD66" s="229"/>
    </row>
    <row r="67" spans="1:30" x14ac:dyDescent="0.25">
      <c r="A67" s="255"/>
      <c r="B67" s="256"/>
      <c r="C67" s="256"/>
      <c r="D67" s="256"/>
      <c r="E67" s="256"/>
      <c r="F67" s="256"/>
      <c r="G67" s="256"/>
      <c r="H67" s="256"/>
      <c r="I67" s="256"/>
      <c r="J67" s="256"/>
      <c r="K67" s="256"/>
      <c r="L67" s="256"/>
      <c r="M67" s="256"/>
      <c r="N67" s="256"/>
      <c r="O67" s="256"/>
      <c r="P67" s="256"/>
      <c r="Q67" s="255"/>
      <c r="R67" s="255"/>
      <c r="S67" s="229"/>
      <c r="T67" s="229"/>
      <c r="U67" s="229"/>
      <c r="V67" s="229"/>
      <c r="W67" s="229"/>
      <c r="X67" s="229"/>
      <c r="Y67" s="229"/>
      <c r="Z67" s="229"/>
      <c r="AA67" s="229"/>
      <c r="AB67" s="229"/>
      <c r="AC67" s="229"/>
      <c r="AD67" s="229"/>
    </row>
    <row r="68" spans="1:30" x14ac:dyDescent="0.25">
      <c r="A68" s="234"/>
      <c r="B68" s="108"/>
      <c r="C68" s="108"/>
      <c r="D68" s="250">
        <f t="shared" ref="D68:P68" si="8">+D57+D59+D61</f>
        <v>0</v>
      </c>
      <c r="E68" s="250">
        <f t="shared" si="8"/>
        <v>1.9950000000000002E-2</v>
      </c>
      <c r="F68" s="250">
        <f t="shared" si="8"/>
        <v>1.5050000000000003E-2</v>
      </c>
      <c r="G68" s="250">
        <f t="shared" si="8"/>
        <v>2.3350000000000003E-2</v>
      </c>
      <c r="H68" s="250">
        <f t="shared" si="8"/>
        <v>1.5050000000000003E-2</v>
      </c>
      <c r="I68" s="250">
        <f t="shared" si="8"/>
        <v>2.3350000000000003E-2</v>
      </c>
      <c r="J68" s="250">
        <f t="shared" si="8"/>
        <v>1.5050000000000003E-2</v>
      </c>
      <c r="K68" s="250">
        <f t="shared" si="8"/>
        <v>2.3350000000000003E-2</v>
      </c>
      <c r="L68" s="250">
        <f t="shared" si="8"/>
        <v>1.5050000000000003E-2</v>
      </c>
      <c r="M68" s="250">
        <f t="shared" si="8"/>
        <v>2.3350000000000003E-2</v>
      </c>
      <c r="N68" s="250">
        <f t="shared" si="8"/>
        <v>1.4650000000000003E-2</v>
      </c>
      <c r="O68" s="250">
        <f t="shared" si="8"/>
        <v>1.1800000000000001E-2</v>
      </c>
      <c r="P68" s="250">
        <f t="shared" si="8"/>
        <v>0.20000000000000007</v>
      </c>
      <c r="Q68" s="234"/>
      <c r="R68" s="234"/>
      <c r="S68" s="229"/>
      <c r="T68" s="229"/>
      <c r="U68" s="229"/>
      <c r="V68" s="229"/>
      <c r="W68" s="229"/>
      <c r="X68" s="229"/>
      <c r="Y68" s="229"/>
      <c r="Z68" s="229"/>
      <c r="AA68" s="229"/>
      <c r="AB68" s="229"/>
      <c r="AC68" s="229"/>
      <c r="AD68" s="229"/>
    </row>
    <row r="69" spans="1:30" x14ac:dyDescent="0.25">
      <c r="A69" s="234"/>
      <c r="B69" s="108"/>
      <c r="C69" s="252" t="s">
        <v>68</v>
      </c>
      <c r="D69" s="253">
        <f t="shared" ref="D69:O69" si="9">D68*$W$17/$B$34</f>
        <v>0</v>
      </c>
      <c r="E69" s="253">
        <f t="shared" si="9"/>
        <v>9.9750000000000005E-2</v>
      </c>
      <c r="F69" s="253">
        <f t="shared" si="9"/>
        <v>7.5250000000000011E-2</v>
      </c>
      <c r="G69" s="253">
        <f t="shared" si="9"/>
        <v>0.11675000000000001</v>
      </c>
      <c r="H69" s="253">
        <f t="shared" si="9"/>
        <v>7.5250000000000011E-2</v>
      </c>
      <c r="I69" s="253">
        <f t="shared" si="9"/>
        <v>0.11675000000000001</v>
      </c>
      <c r="J69" s="253">
        <f t="shared" si="9"/>
        <v>7.5250000000000011E-2</v>
      </c>
      <c r="K69" s="253">
        <f t="shared" si="9"/>
        <v>0.11675000000000001</v>
      </c>
      <c r="L69" s="253">
        <f t="shared" si="9"/>
        <v>7.5250000000000011E-2</v>
      </c>
      <c r="M69" s="253">
        <f t="shared" si="9"/>
        <v>0.11675000000000001</v>
      </c>
      <c r="N69" s="253">
        <f t="shared" si="9"/>
        <v>7.325000000000001E-2</v>
      </c>
      <c r="O69" s="253">
        <f t="shared" si="9"/>
        <v>5.9000000000000004E-2</v>
      </c>
      <c r="P69" s="254">
        <f>SUM(D69:O69)</f>
        <v>1.0000000000000002</v>
      </c>
      <c r="Q69" s="234"/>
      <c r="R69" s="234"/>
      <c r="S69" s="229"/>
      <c r="T69" s="229"/>
      <c r="U69" s="229"/>
      <c r="V69" s="229"/>
      <c r="W69" s="229"/>
      <c r="X69" s="229"/>
      <c r="Y69" s="229"/>
      <c r="Z69" s="229"/>
      <c r="AA69" s="229"/>
      <c r="AB69" s="229"/>
      <c r="AC69" s="229"/>
      <c r="AD69" s="229"/>
    </row>
    <row r="70" spans="1:30" x14ac:dyDescent="0.25">
      <c r="A70" s="229"/>
      <c r="Q70" s="229"/>
      <c r="R70" s="229"/>
      <c r="S70" s="229"/>
      <c r="T70" s="229"/>
      <c r="U70" s="229"/>
      <c r="V70" s="229"/>
      <c r="W70" s="229"/>
      <c r="X70" s="229"/>
      <c r="Y70" s="229"/>
      <c r="Z70" s="229"/>
      <c r="AA70" s="229"/>
      <c r="AB70" s="229"/>
      <c r="AC70" s="229"/>
      <c r="AD70" s="229"/>
    </row>
    <row r="71" spans="1:30" x14ac:dyDescent="0.25">
      <c r="A71" s="229"/>
      <c r="Q71" s="229"/>
      <c r="R71" s="229"/>
      <c r="S71" s="229"/>
      <c r="T71" s="229"/>
      <c r="U71" s="229"/>
      <c r="V71" s="229"/>
      <c r="W71" s="229"/>
      <c r="X71" s="229"/>
      <c r="Y71" s="229"/>
      <c r="Z71" s="229"/>
      <c r="AA71" s="229"/>
      <c r="AB71" s="229"/>
      <c r="AC71" s="229"/>
      <c r="AD71" s="229"/>
    </row>
    <row r="72" spans="1:30" x14ac:dyDescent="0.25">
      <c r="A72" s="229"/>
      <c r="Q72" s="229"/>
      <c r="R72" s="229"/>
      <c r="S72" s="229"/>
      <c r="T72" s="229"/>
      <c r="U72" s="229"/>
      <c r="V72" s="229"/>
      <c r="W72" s="229"/>
      <c r="X72" s="229"/>
      <c r="Y72" s="229"/>
      <c r="Z72" s="229"/>
      <c r="AA72" s="229"/>
      <c r="AB72" s="229"/>
      <c r="AC72" s="229"/>
      <c r="AD72" s="229"/>
    </row>
    <row r="73" spans="1:30" x14ac:dyDescent="0.25">
      <c r="A73" s="229"/>
      <c r="Q73" s="229"/>
      <c r="R73" s="229"/>
      <c r="S73" s="229"/>
      <c r="T73" s="229"/>
      <c r="U73" s="229"/>
      <c r="V73" s="229"/>
      <c r="W73" s="229"/>
      <c r="X73" s="229"/>
      <c r="Y73" s="229"/>
      <c r="Z73" s="229"/>
      <c r="AA73" s="229"/>
      <c r="AB73" s="229"/>
      <c r="AC73" s="229"/>
      <c r="AD73" s="229"/>
    </row>
    <row r="74" spans="1:30" x14ac:dyDescent="0.25">
      <c r="A74" s="229"/>
      <c r="Q74" s="229"/>
      <c r="R74" s="229"/>
      <c r="S74" s="229"/>
      <c r="T74" s="229"/>
      <c r="U74" s="229"/>
      <c r="V74" s="229"/>
      <c r="W74" s="229"/>
      <c r="X74" s="229"/>
      <c r="Y74" s="229"/>
      <c r="Z74" s="229"/>
      <c r="AA74" s="229"/>
      <c r="AB74" s="229"/>
      <c r="AC74" s="229"/>
      <c r="AD74" s="229"/>
    </row>
  </sheetData>
  <mergeCells count="89">
    <mergeCell ref="A61:A62"/>
    <mergeCell ref="B61:B62"/>
    <mergeCell ref="A55:A56"/>
    <mergeCell ref="B55:B56"/>
    <mergeCell ref="C55:P55"/>
    <mergeCell ref="A57:A58"/>
    <mergeCell ref="B57:B58"/>
    <mergeCell ref="A59:A60"/>
    <mergeCell ref="B59:B60"/>
    <mergeCell ref="AA34:AD35"/>
    <mergeCell ref="Q42:AD43"/>
    <mergeCell ref="A38:A39"/>
    <mergeCell ref="B38:B39"/>
    <mergeCell ref="Q38:AD39"/>
    <mergeCell ref="A40:A41"/>
    <mergeCell ref="B40:B41"/>
    <mergeCell ref="Q40:AD41"/>
    <mergeCell ref="A42:A43"/>
    <mergeCell ref="B42:B43"/>
    <mergeCell ref="A34:A35"/>
    <mergeCell ref="B34:B35"/>
    <mergeCell ref="Q34:S35"/>
    <mergeCell ref="T34:V35"/>
    <mergeCell ref="W34:Z35"/>
    <mergeCell ref="A36:A37"/>
    <mergeCell ref="B36:B37"/>
    <mergeCell ref="C36:P36"/>
    <mergeCell ref="Q36:AD36"/>
    <mergeCell ref="Q37:AD37"/>
    <mergeCell ref="B30:C30"/>
    <mergeCell ref="Q30:AD30"/>
    <mergeCell ref="A31:AD31"/>
    <mergeCell ref="A32:A33"/>
    <mergeCell ref="B32:B33"/>
    <mergeCell ref="C32:C33"/>
    <mergeCell ref="D32:P32"/>
    <mergeCell ref="Q32:AD32"/>
    <mergeCell ref="Q33:S33"/>
    <mergeCell ref="T33:V33"/>
    <mergeCell ref="W33:Z33"/>
    <mergeCell ref="AA33:AD33"/>
    <mergeCell ref="A24:B24"/>
    <mergeCell ref="A25:B25"/>
    <mergeCell ref="A27:AD27"/>
    <mergeCell ref="A28:A29"/>
    <mergeCell ref="B28:C29"/>
    <mergeCell ref="D28:O28"/>
    <mergeCell ref="P28:P29"/>
    <mergeCell ref="Q28:AD29"/>
    <mergeCell ref="AC17:AD17"/>
    <mergeCell ref="A19:AD19"/>
    <mergeCell ref="C20:P20"/>
    <mergeCell ref="Q20:AD20"/>
    <mergeCell ref="A22:B22"/>
    <mergeCell ref="A23:B23"/>
    <mergeCell ref="C16:AB16"/>
    <mergeCell ref="A17:B17"/>
    <mergeCell ref="C17:Q17"/>
    <mergeCell ref="R17:V17"/>
    <mergeCell ref="W17:X17"/>
    <mergeCell ref="Y17:AB17"/>
    <mergeCell ref="A15:B15"/>
    <mergeCell ref="C15:K15"/>
    <mergeCell ref="L15:Q15"/>
    <mergeCell ref="R15:X15"/>
    <mergeCell ref="Y15:Z15"/>
    <mergeCell ref="M7:N7"/>
    <mergeCell ref="AA15:AD15"/>
    <mergeCell ref="O7:P7"/>
    <mergeCell ref="M8:N8"/>
    <mergeCell ref="O8:P8"/>
    <mergeCell ref="M9:N9"/>
    <mergeCell ref="O9:P9"/>
    <mergeCell ref="AF22:AM25"/>
    <mergeCell ref="A1:A4"/>
    <mergeCell ref="B1:AA1"/>
    <mergeCell ref="AB1:AD1"/>
    <mergeCell ref="B2:AA2"/>
    <mergeCell ref="AB2:AD2"/>
    <mergeCell ref="B3:AA4"/>
    <mergeCell ref="AB3:AD3"/>
    <mergeCell ref="AB4:AD4"/>
    <mergeCell ref="A11:B13"/>
    <mergeCell ref="C11:AD13"/>
    <mergeCell ref="A7:B9"/>
    <mergeCell ref="C7:C9"/>
    <mergeCell ref="D7:H9"/>
    <mergeCell ref="I7:J9"/>
    <mergeCell ref="K7:L9"/>
  </mergeCells>
  <dataValidations count="3">
    <dataValidation type="list" allowBlank="1" showInputMessage="1" showErrorMessage="1" sqref="C7:C9" xr:uid="{D749C4F0-EA4A-471E-BEBE-4C994C0E6589}">
      <formula1>$C$21:$N$21</formula1>
    </dataValidation>
    <dataValidation type="textLength" operator="lessThanOrEqual" allowBlank="1" showInputMessage="1" showErrorMessage="1" errorTitle="Máximo 2.000 caracteres" error="Máximo 2.000 caracteres" promptTitle="2.000 caracteres" sqref="Q30:AD30" xr:uid="{9EFC8495-C6E2-504B-9B00-1541B1E4A74A}">
      <formula1>2000</formula1>
    </dataValidation>
    <dataValidation type="textLength" operator="lessThanOrEqual" allowBlank="1" showInputMessage="1" showErrorMessage="1" errorTitle="Máximo 2.000 caracteres" error="Máximo 2.000 caracteres" sqref="AA34 Q34 W34 P46:AC47 Q38:AD43" xr:uid="{E390E226-0307-9046-BAA4-9AC9741F4FB0}">
      <formula1>2000</formula1>
    </dataValidation>
  </dataValidations>
  <pageMargins left="0.25" right="0.25" top="0.75" bottom="0.75" header="0.3" footer="0.3"/>
  <pageSetup scale="20" orientation="landscape"/>
  <drawing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7" tint="0.39997558519241921"/>
  </sheetPr>
  <dimension ref="A1:BA77"/>
  <sheetViews>
    <sheetView showGridLines="0" topLeftCell="N32" zoomScale="60" zoomScaleNormal="60" workbookViewId="0">
      <selection activeCell="O34" sqref="O34"/>
    </sheetView>
  </sheetViews>
  <sheetFormatPr baseColWidth="10" defaultColWidth="10.85546875" defaultRowHeight="15" x14ac:dyDescent="0.25"/>
  <cols>
    <col min="1" max="1" width="38.42578125" style="50" customWidth="1"/>
    <col min="2" max="2" width="15.42578125" style="50" customWidth="1"/>
    <col min="3" max="14" width="20.7109375" style="50" customWidth="1"/>
    <col min="15" max="15" width="16.140625" style="50" customWidth="1"/>
    <col min="16" max="16" width="18.140625" style="50" customWidth="1"/>
    <col min="17" max="19" width="25.42578125" style="50" customWidth="1"/>
    <col min="20" max="27" width="18.140625" style="50" customWidth="1"/>
    <col min="28" max="28" width="22.7109375" style="50" customWidth="1"/>
    <col min="29" max="29" width="19" style="50" customWidth="1"/>
    <col min="30" max="30" width="19.42578125" style="50" customWidth="1"/>
    <col min="31" max="31" width="6.28515625" style="50" bestFit="1" customWidth="1"/>
    <col min="32" max="32" width="22.85546875" style="50" customWidth="1"/>
    <col min="33" max="33" width="18.42578125" style="50" bestFit="1" customWidth="1"/>
    <col min="34" max="34" width="8.42578125" style="50" customWidth="1"/>
    <col min="35" max="35" width="18.42578125" style="50" bestFit="1" customWidth="1"/>
    <col min="36" max="36" width="5.7109375" style="50" customWidth="1"/>
    <col min="37" max="37" width="18.42578125" style="50" bestFit="1" customWidth="1"/>
    <col min="38" max="38" width="4.7109375" style="50" customWidth="1"/>
    <col min="39" max="39" width="23" style="50" bestFit="1" customWidth="1"/>
    <col min="40" max="40" width="10.85546875" style="50"/>
    <col min="41" max="41" width="18.42578125" style="50" bestFit="1" customWidth="1"/>
    <col min="42" max="42" width="16.140625" style="50" customWidth="1"/>
    <col min="43" max="16384" width="10.85546875" style="50"/>
  </cols>
  <sheetData>
    <row r="1" spans="1:53" ht="32.25" customHeight="1" thickBot="1" x14ac:dyDescent="0.3">
      <c r="A1" s="443"/>
      <c r="B1" s="446" t="s">
        <v>0</v>
      </c>
      <c r="C1" s="447"/>
      <c r="D1" s="447"/>
      <c r="E1" s="447"/>
      <c r="F1" s="447"/>
      <c r="G1" s="447"/>
      <c r="H1" s="447"/>
      <c r="I1" s="447"/>
      <c r="J1" s="447"/>
      <c r="K1" s="447"/>
      <c r="L1" s="447"/>
      <c r="M1" s="447"/>
      <c r="N1" s="447"/>
      <c r="O1" s="447"/>
      <c r="P1" s="447"/>
      <c r="Q1" s="447"/>
      <c r="R1" s="447"/>
      <c r="S1" s="447"/>
      <c r="T1" s="447"/>
      <c r="U1" s="447"/>
      <c r="V1" s="447"/>
      <c r="W1" s="447"/>
      <c r="X1" s="447"/>
      <c r="Y1" s="447"/>
      <c r="Z1" s="447"/>
      <c r="AA1" s="448"/>
      <c r="AB1" s="449" t="s">
        <v>1</v>
      </c>
      <c r="AC1" s="450"/>
      <c r="AD1" s="451"/>
    </row>
    <row r="2" spans="1:53" ht="30.75" customHeight="1" thickBot="1" x14ac:dyDescent="0.3">
      <c r="A2" s="444"/>
      <c r="B2" s="446" t="s">
        <v>97</v>
      </c>
      <c r="C2" s="447"/>
      <c r="D2" s="447"/>
      <c r="E2" s="447"/>
      <c r="F2" s="447"/>
      <c r="G2" s="447"/>
      <c r="H2" s="447"/>
      <c r="I2" s="447"/>
      <c r="J2" s="447"/>
      <c r="K2" s="447"/>
      <c r="L2" s="447"/>
      <c r="M2" s="447"/>
      <c r="N2" s="447"/>
      <c r="O2" s="447"/>
      <c r="P2" s="447"/>
      <c r="Q2" s="447"/>
      <c r="R2" s="447"/>
      <c r="S2" s="447"/>
      <c r="T2" s="447"/>
      <c r="U2" s="447"/>
      <c r="V2" s="447"/>
      <c r="W2" s="447"/>
      <c r="X2" s="447"/>
      <c r="Y2" s="447"/>
      <c r="Z2" s="447"/>
      <c r="AA2" s="448"/>
      <c r="AB2" s="470" t="s">
        <v>3</v>
      </c>
      <c r="AC2" s="471"/>
      <c r="AD2" s="472"/>
    </row>
    <row r="3" spans="1:53" ht="24" customHeight="1" x14ac:dyDescent="0.25">
      <c r="A3" s="444"/>
      <c r="B3" s="473" t="s">
        <v>4</v>
      </c>
      <c r="C3" s="474"/>
      <c r="D3" s="474"/>
      <c r="E3" s="474"/>
      <c r="F3" s="474"/>
      <c r="G3" s="474"/>
      <c r="H3" s="474"/>
      <c r="I3" s="474"/>
      <c r="J3" s="474"/>
      <c r="K3" s="474"/>
      <c r="L3" s="474"/>
      <c r="M3" s="474"/>
      <c r="N3" s="474"/>
      <c r="O3" s="474"/>
      <c r="P3" s="474"/>
      <c r="Q3" s="474"/>
      <c r="R3" s="474"/>
      <c r="S3" s="474"/>
      <c r="T3" s="474"/>
      <c r="U3" s="474"/>
      <c r="V3" s="474"/>
      <c r="W3" s="474"/>
      <c r="X3" s="474"/>
      <c r="Y3" s="474"/>
      <c r="Z3" s="474"/>
      <c r="AA3" s="475"/>
      <c r="AB3" s="470" t="s">
        <v>5</v>
      </c>
      <c r="AC3" s="471"/>
      <c r="AD3" s="472"/>
    </row>
    <row r="4" spans="1:53" ht="21.95" customHeight="1" thickBot="1" x14ac:dyDescent="0.3">
      <c r="A4" s="445"/>
      <c r="B4" s="476"/>
      <c r="C4" s="477"/>
      <c r="D4" s="477"/>
      <c r="E4" s="477"/>
      <c r="F4" s="477"/>
      <c r="G4" s="477"/>
      <c r="H4" s="477"/>
      <c r="I4" s="477"/>
      <c r="J4" s="477"/>
      <c r="K4" s="477"/>
      <c r="L4" s="477"/>
      <c r="M4" s="477"/>
      <c r="N4" s="477"/>
      <c r="O4" s="477"/>
      <c r="P4" s="477"/>
      <c r="Q4" s="477"/>
      <c r="R4" s="477"/>
      <c r="S4" s="477"/>
      <c r="T4" s="477"/>
      <c r="U4" s="477"/>
      <c r="V4" s="477"/>
      <c r="W4" s="477"/>
      <c r="X4" s="477"/>
      <c r="Y4" s="477"/>
      <c r="Z4" s="477"/>
      <c r="AA4" s="478"/>
      <c r="AB4" s="479" t="s">
        <v>6</v>
      </c>
      <c r="AC4" s="480"/>
      <c r="AD4" s="481"/>
    </row>
    <row r="5" spans="1:53" ht="9" customHeight="1" thickBot="1" x14ac:dyDescent="0.3">
      <c r="A5" s="51"/>
      <c r="B5" s="202"/>
      <c r="C5" s="203"/>
      <c r="D5" s="54"/>
      <c r="E5" s="54"/>
      <c r="F5" s="54"/>
      <c r="G5" s="54"/>
      <c r="H5" s="54"/>
      <c r="I5" s="54"/>
      <c r="J5" s="54"/>
      <c r="K5" s="54"/>
      <c r="L5" s="54"/>
      <c r="M5" s="54"/>
      <c r="N5" s="54"/>
      <c r="O5" s="54"/>
      <c r="P5" s="54"/>
      <c r="Q5" s="54"/>
      <c r="R5" s="54"/>
      <c r="S5" s="54"/>
      <c r="T5" s="54"/>
      <c r="U5" s="54"/>
      <c r="V5" s="54"/>
      <c r="W5" s="54"/>
      <c r="X5" s="54"/>
      <c r="Y5" s="54"/>
      <c r="Z5" s="55"/>
      <c r="AA5" s="54"/>
      <c r="AB5" s="56"/>
      <c r="AC5" s="57"/>
      <c r="AD5" s="58"/>
    </row>
    <row r="6" spans="1:53" ht="9" customHeight="1" x14ac:dyDescent="0.25">
      <c r="A6" s="59"/>
      <c r="B6" s="54"/>
      <c r="C6" s="54"/>
      <c r="D6" s="54"/>
      <c r="E6" s="54"/>
      <c r="F6" s="54"/>
      <c r="G6" s="54"/>
      <c r="H6" s="54"/>
      <c r="I6" s="54"/>
      <c r="J6" s="54"/>
      <c r="K6" s="54"/>
      <c r="L6" s="54"/>
      <c r="M6" s="54"/>
      <c r="N6" s="54"/>
      <c r="O6" s="54"/>
      <c r="P6" s="54"/>
      <c r="Q6" s="54"/>
      <c r="R6" s="54"/>
      <c r="S6" s="54"/>
      <c r="T6" s="54"/>
      <c r="U6" s="54"/>
      <c r="V6" s="54"/>
      <c r="W6" s="54"/>
      <c r="X6" s="54"/>
      <c r="Y6" s="54"/>
      <c r="Z6" s="55"/>
      <c r="AA6" s="54"/>
      <c r="AB6" s="54"/>
      <c r="AC6" s="60"/>
      <c r="AD6" s="61"/>
    </row>
    <row r="7" spans="1:53" ht="15" customHeight="1" x14ac:dyDescent="0.25">
      <c r="A7" s="464" t="s">
        <v>7</v>
      </c>
      <c r="B7" s="465"/>
      <c r="C7" s="500" t="s">
        <v>8</v>
      </c>
      <c r="D7" s="464" t="s">
        <v>9</v>
      </c>
      <c r="E7" s="482"/>
      <c r="F7" s="482"/>
      <c r="G7" s="482"/>
      <c r="H7" s="465"/>
      <c r="I7" s="485">
        <v>45113</v>
      </c>
      <c r="J7" s="486"/>
      <c r="K7" s="464" t="s">
        <v>10</v>
      </c>
      <c r="L7" s="465"/>
      <c r="M7" s="456" t="s">
        <v>98</v>
      </c>
      <c r="N7" s="457"/>
      <c r="O7" s="458"/>
      <c r="P7" s="459"/>
      <c r="Q7" s="54"/>
      <c r="R7" s="54"/>
      <c r="S7" s="54"/>
      <c r="T7" s="54"/>
      <c r="U7" s="54"/>
      <c r="V7" s="54"/>
      <c r="W7" s="54"/>
      <c r="X7" s="54"/>
      <c r="Y7" s="54"/>
      <c r="Z7" s="55"/>
      <c r="AA7" s="54"/>
      <c r="AB7" s="54"/>
      <c r="AC7" s="60"/>
      <c r="AD7" s="61"/>
    </row>
    <row r="8" spans="1:53" ht="15" customHeight="1" x14ac:dyDescent="0.25">
      <c r="A8" s="466"/>
      <c r="B8" s="467"/>
      <c r="C8" s="501"/>
      <c r="D8" s="466"/>
      <c r="E8" s="483"/>
      <c r="F8" s="483"/>
      <c r="G8" s="483"/>
      <c r="H8" s="467"/>
      <c r="I8" s="487"/>
      <c r="J8" s="488"/>
      <c r="K8" s="466"/>
      <c r="L8" s="467"/>
      <c r="M8" s="460" t="s">
        <v>99</v>
      </c>
      <c r="N8" s="461"/>
      <c r="O8" s="816" t="s">
        <v>14</v>
      </c>
      <c r="P8" s="817"/>
      <c r="Q8" s="54"/>
      <c r="R8" s="54"/>
      <c r="S8" s="54"/>
      <c r="T8" s="54"/>
      <c r="U8" s="54"/>
      <c r="V8" s="54"/>
      <c r="W8" s="54"/>
      <c r="X8" s="54"/>
      <c r="Y8" s="54"/>
      <c r="Z8" s="55"/>
      <c r="AA8" s="54"/>
      <c r="AB8" s="54"/>
      <c r="AC8" s="60"/>
      <c r="AD8" s="61"/>
    </row>
    <row r="9" spans="1:53" ht="15.75" customHeight="1" x14ac:dyDescent="0.25">
      <c r="A9" s="468"/>
      <c r="B9" s="469"/>
      <c r="C9" s="502"/>
      <c r="D9" s="468"/>
      <c r="E9" s="484"/>
      <c r="F9" s="484"/>
      <c r="G9" s="484"/>
      <c r="H9" s="469"/>
      <c r="I9" s="489"/>
      <c r="J9" s="490"/>
      <c r="K9" s="468"/>
      <c r="L9" s="469"/>
      <c r="M9" s="452" t="s">
        <v>13</v>
      </c>
      <c r="N9" s="453"/>
      <c r="O9" s="454"/>
      <c r="P9" s="455"/>
      <c r="Q9" s="54"/>
      <c r="R9" s="54"/>
      <c r="S9" s="54"/>
      <c r="T9" s="54"/>
      <c r="U9" s="54"/>
      <c r="V9" s="54"/>
      <c r="W9" s="54"/>
      <c r="X9" s="54"/>
      <c r="Y9" s="54"/>
      <c r="Z9" s="55"/>
      <c r="AA9" s="54"/>
      <c r="AB9" s="54"/>
      <c r="AC9" s="60"/>
      <c r="AD9" s="61"/>
    </row>
    <row r="10" spans="1:53" ht="15" customHeight="1" x14ac:dyDescent="0.25">
      <c r="A10" s="169"/>
      <c r="B10" s="170"/>
      <c r="C10" s="170"/>
      <c r="D10" s="65"/>
      <c r="E10" s="65"/>
      <c r="F10" s="65"/>
      <c r="G10" s="65"/>
      <c r="H10" s="65"/>
      <c r="I10" s="166"/>
      <c r="J10" s="166"/>
      <c r="K10" s="65"/>
      <c r="L10" s="65"/>
      <c r="M10" s="167"/>
      <c r="N10" s="167"/>
      <c r="O10" s="168"/>
      <c r="P10" s="168"/>
      <c r="Q10" s="170"/>
      <c r="R10" s="170"/>
      <c r="S10" s="170"/>
      <c r="T10" s="170"/>
      <c r="U10" s="170"/>
      <c r="V10" s="170"/>
      <c r="W10" s="170"/>
      <c r="X10" s="170"/>
      <c r="Y10" s="170"/>
      <c r="Z10" s="171"/>
      <c r="AA10" s="170"/>
      <c r="AB10" s="170"/>
      <c r="AC10" s="172"/>
      <c r="AD10" s="173"/>
    </row>
    <row r="11" spans="1:53" ht="15" customHeight="1" x14ac:dyDescent="0.25">
      <c r="A11" s="464" t="s">
        <v>15</v>
      </c>
      <c r="B11" s="465"/>
      <c r="C11" s="491" t="s">
        <v>16</v>
      </c>
      <c r="D11" s="492"/>
      <c r="E11" s="492"/>
      <c r="F11" s="492"/>
      <c r="G11" s="492"/>
      <c r="H11" s="492"/>
      <c r="I11" s="492"/>
      <c r="J11" s="492"/>
      <c r="K11" s="492"/>
      <c r="L11" s="492"/>
      <c r="M11" s="492"/>
      <c r="N11" s="492"/>
      <c r="O11" s="492"/>
      <c r="P11" s="492"/>
      <c r="Q11" s="492"/>
      <c r="R11" s="492"/>
      <c r="S11" s="492"/>
      <c r="T11" s="492"/>
      <c r="U11" s="492"/>
      <c r="V11" s="492"/>
      <c r="W11" s="492"/>
      <c r="X11" s="492"/>
      <c r="Y11" s="492"/>
      <c r="Z11" s="492"/>
      <c r="AA11" s="492"/>
      <c r="AB11" s="492"/>
      <c r="AC11" s="492"/>
      <c r="AD11" s="493"/>
      <c r="BA11" s="327"/>
    </row>
    <row r="12" spans="1:53" ht="15" customHeight="1" x14ac:dyDescent="0.25">
      <c r="A12" s="466"/>
      <c r="B12" s="467"/>
      <c r="C12" s="494"/>
      <c r="D12" s="495"/>
      <c r="E12" s="495"/>
      <c r="F12" s="495"/>
      <c r="G12" s="495"/>
      <c r="H12" s="495"/>
      <c r="I12" s="495"/>
      <c r="J12" s="495"/>
      <c r="K12" s="495"/>
      <c r="L12" s="495"/>
      <c r="M12" s="495"/>
      <c r="N12" s="495"/>
      <c r="O12" s="495"/>
      <c r="P12" s="495"/>
      <c r="Q12" s="495"/>
      <c r="R12" s="495"/>
      <c r="S12" s="495"/>
      <c r="T12" s="495"/>
      <c r="U12" s="495"/>
      <c r="V12" s="495"/>
      <c r="W12" s="495"/>
      <c r="X12" s="495"/>
      <c r="Y12" s="495"/>
      <c r="Z12" s="495"/>
      <c r="AA12" s="495"/>
      <c r="AB12" s="495"/>
      <c r="AC12" s="495"/>
      <c r="AD12" s="496"/>
      <c r="BA12" s="327"/>
    </row>
    <row r="13" spans="1:53" ht="15" customHeight="1" thickBot="1" x14ac:dyDescent="0.3">
      <c r="A13" s="468"/>
      <c r="B13" s="469"/>
      <c r="C13" s="497"/>
      <c r="D13" s="498"/>
      <c r="E13" s="498"/>
      <c r="F13" s="498"/>
      <c r="G13" s="498"/>
      <c r="H13" s="498"/>
      <c r="I13" s="498"/>
      <c r="J13" s="498"/>
      <c r="K13" s="498"/>
      <c r="L13" s="498"/>
      <c r="M13" s="498"/>
      <c r="N13" s="498"/>
      <c r="O13" s="498"/>
      <c r="P13" s="498"/>
      <c r="Q13" s="498"/>
      <c r="R13" s="498"/>
      <c r="S13" s="498"/>
      <c r="T13" s="498"/>
      <c r="U13" s="498"/>
      <c r="V13" s="498"/>
      <c r="W13" s="498"/>
      <c r="X13" s="498"/>
      <c r="Y13" s="498"/>
      <c r="Z13" s="498"/>
      <c r="AA13" s="498"/>
      <c r="AB13" s="498"/>
      <c r="AC13" s="498"/>
      <c r="AD13" s="499"/>
      <c r="BA13" s="327"/>
    </row>
    <row r="14" spans="1:53" ht="9" customHeight="1" thickBot="1" x14ac:dyDescent="0.3">
      <c r="A14" s="67"/>
      <c r="B14" s="68"/>
      <c r="C14" s="69"/>
      <c r="D14" s="69"/>
      <c r="E14" s="69"/>
      <c r="F14" s="69"/>
      <c r="G14" s="69"/>
      <c r="H14" s="69"/>
      <c r="I14" s="69"/>
      <c r="J14" s="69"/>
      <c r="K14" s="69"/>
      <c r="L14" s="69"/>
      <c r="M14" s="70"/>
      <c r="N14" s="70"/>
      <c r="O14" s="70"/>
      <c r="P14" s="70"/>
      <c r="Q14" s="70"/>
      <c r="R14" s="71"/>
      <c r="S14" s="71"/>
      <c r="T14" s="71"/>
      <c r="U14" s="71"/>
      <c r="V14" s="71"/>
      <c r="W14" s="71"/>
      <c r="X14" s="71"/>
      <c r="Y14" s="65"/>
      <c r="Z14" s="65"/>
      <c r="AA14" s="65"/>
      <c r="AB14" s="65"/>
      <c r="AC14" s="65"/>
      <c r="AD14" s="66"/>
      <c r="BA14" s="327"/>
    </row>
    <row r="15" spans="1:53" ht="39" customHeight="1" thickBot="1" x14ac:dyDescent="0.3">
      <c r="A15" s="528" t="s">
        <v>17</v>
      </c>
      <c r="B15" s="529"/>
      <c r="C15" s="538" t="s">
        <v>18</v>
      </c>
      <c r="D15" s="539"/>
      <c r="E15" s="539"/>
      <c r="F15" s="539"/>
      <c r="G15" s="539"/>
      <c r="H15" s="539"/>
      <c r="I15" s="539"/>
      <c r="J15" s="539"/>
      <c r="K15" s="540"/>
      <c r="L15" s="503" t="s">
        <v>19</v>
      </c>
      <c r="M15" s="504"/>
      <c r="N15" s="504"/>
      <c r="O15" s="504"/>
      <c r="P15" s="504"/>
      <c r="Q15" s="505"/>
      <c r="R15" s="533" t="s">
        <v>20</v>
      </c>
      <c r="S15" s="534"/>
      <c r="T15" s="534"/>
      <c r="U15" s="534"/>
      <c r="V15" s="534"/>
      <c r="W15" s="534"/>
      <c r="X15" s="535"/>
      <c r="Y15" s="503" t="s">
        <v>21</v>
      </c>
      <c r="Z15" s="505"/>
      <c r="AA15" s="524" t="s">
        <v>22</v>
      </c>
      <c r="AB15" s="525"/>
      <c r="AC15" s="525"/>
      <c r="AD15" s="526"/>
      <c r="BA15" s="327"/>
    </row>
    <row r="16" spans="1:53" ht="105" customHeight="1" thickBot="1" x14ac:dyDescent="0.3">
      <c r="A16" s="59"/>
      <c r="B16" s="54"/>
      <c r="C16" s="527"/>
      <c r="D16" s="527"/>
      <c r="E16" s="527"/>
      <c r="F16" s="527"/>
      <c r="G16" s="527"/>
      <c r="H16" s="527"/>
      <c r="I16" s="527"/>
      <c r="J16" s="527"/>
      <c r="K16" s="527"/>
      <c r="L16" s="527"/>
      <c r="M16" s="527"/>
      <c r="N16" s="527"/>
      <c r="O16" s="527"/>
      <c r="P16" s="527"/>
      <c r="Q16" s="527"/>
      <c r="R16" s="527"/>
      <c r="S16" s="527"/>
      <c r="T16" s="527"/>
      <c r="U16" s="527"/>
      <c r="V16" s="527"/>
      <c r="W16" s="527"/>
      <c r="X16" s="527"/>
      <c r="Y16" s="527"/>
      <c r="Z16" s="527"/>
      <c r="AA16" s="527"/>
      <c r="AB16" s="527"/>
      <c r="AC16" s="73"/>
      <c r="AD16" s="74"/>
      <c r="AX16" s="388" t="s">
        <v>23</v>
      </c>
      <c r="BA16" s="327"/>
    </row>
    <row r="17" spans="1:53" s="76" customFormat="1" ht="37.5" customHeight="1" thickBot="1" x14ac:dyDescent="0.3">
      <c r="A17" s="528" t="s">
        <v>24</v>
      </c>
      <c r="B17" s="529"/>
      <c r="C17" s="530" t="s">
        <v>153</v>
      </c>
      <c r="D17" s="531"/>
      <c r="E17" s="531"/>
      <c r="F17" s="531"/>
      <c r="G17" s="531"/>
      <c r="H17" s="531"/>
      <c r="I17" s="531"/>
      <c r="J17" s="531"/>
      <c r="K17" s="531"/>
      <c r="L17" s="531"/>
      <c r="M17" s="531"/>
      <c r="N17" s="531"/>
      <c r="O17" s="531"/>
      <c r="P17" s="531"/>
      <c r="Q17" s="532"/>
      <c r="R17" s="503" t="s">
        <v>26</v>
      </c>
      <c r="S17" s="504"/>
      <c r="T17" s="504"/>
      <c r="U17" s="504"/>
      <c r="V17" s="505"/>
      <c r="W17" s="691">
        <v>0.25</v>
      </c>
      <c r="X17" s="692"/>
      <c r="Y17" s="504" t="s">
        <v>27</v>
      </c>
      <c r="Z17" s="504"/>
      <c r="AA17" s="504"/>
      <c r="AB17" s="505"/>
      <c r="AC17" s="514">
        <v>0.15</v>
      </c>
      <c r="AD17" s="515"/>
      <c r="AX17" s="387"/>
      <c r="BA17" s="328"/>
    </row>
    <row r="18" spans="1:53" ht="16.5" customHeight="1" thickBot="1" x14ac:dyDescent="0.3">
      <c r="A18" s="77"/>
      <c r="B18" s="78"/>
      <c r="C18" s="78"/>
      <c r="D18" s="78"/>
      <c r="E18" s="78"/>
      <c r="F18" s="78"/>
      <c r="G18" s="78"/>
      <c r="H18" s="78"/>
      <c r="I18" s="78"/>
      <c r="J18" s="78"/>
      <c r="K18" s="78"/>
      <c r="L18" s="78"/>
      <c r="M18" s="78"/>
      <c r="N18" s="78"/>
      <c r="O18" s="78"/>
      <c r="P18" s="78"/>
      <c r="Q18" s="78"/>
      <c r="R18" s="78"/>
      <c r="S18" s="78"/>
      <c r="T18" s="78"/>
      <c r="U18" s="78"/>
      <c r="V18" s="78"/>
      <c r="W18" s="78"/>
      <c r="X18" s="78"/>
      <c r="Y18" s="78"/>
      <c r="Z18" s="78"/>
      <c r="AA18" s="78"/>
      <c r="AB18" s="78"/>
      <c r="AC18" s="78"/>
      <c r="AD18" s="79"/>
      <c r="BA18" s="327"/>
    </row>
    <row r="19" spans="1:53" ht="32.1" customHeight="1" thickBot="1" x14ac:dyDescent="0.3">
      <c r="A19" s="503" t="s">
        <v>28</v>
      </c>
      <c r="B19" s="504"/>
      <c r="C19" s="504"/>
      <c r="D19" s="504"/>
      <c r="E19" s="504"/>
      <c r="F19" s="504"/>
      <c r="G19" s="504"/>
      <c r="H19" s="504"/>
      <c r="I19" s="504"/>
      <c r="J19" s="504"/>
      <c r="K19" s="504"/>
      <c r="L19" s="504"/>
      <c r="M19" s="504"/>
      <c r="N19" s="504"/>
      <c r="O19" s="504"/>
      <c r="P19" s="504"/>
      <c r="Q19" s="504"/>
      <c r="R19" s="504"/>
      <c r="S19" s="504"/>
      <c r="T19" s="504"/>
      <c r="U19" s="504"/>
      <c r="V19" s="504"/>
      <c r="W19" s="504"/>
      <c r="X19" s="504"/>
      <c r="Y19" s="504"/>
      <c r="Z19" s="504"/>
      <c r="AA19" s="504"/>
      <c r="AB19" s="504"/>
      <c r="AC19" s="504"/>
      <c r="AD19" s="505"/>
      <c r="AE19" s="83"/>
      <c r="AF19" s="83"/>
      <c r="BA19" s="327"/>
    </row>
    <row r="20" spans="1:53" ht="32.1" customHeight="1" thickBot="1" x14ac:dyDescent="0.3">
      <c r="A20" s="82"/>
      <c r="B20" s="60"/>
      <c r="C20" s="509" t="s">
        <v>29</v>
      </c>
      <c r="D20" s="510"/>
      <c r="E20" s="510"/>
      <c r="F20" s="510"/>
      <c r="G20" s="510"/>
      <c r="H20" s="510"/>
      <c r="I20" s="510"/>
      <c r="J20" s="510"/>
      <c r="K20" s="510"/>
      <c r="L20" s="510"/>
      <c r="M20" s="510"/>
      <c r="N20" s="510"/>
      <c r="O20" s="510"/>
      <c r="P20" s="511"/>
      <c r="Q20" s="506" t="s">
        <v>30</v>
      </c>
      <c r="R20" s="507"/>
      <c r="S20" s="507"/>
      <c r="T20" s="507"/>
      <c r="U20" s="507"/>
      <c r="V20" s="507"/>
      <c r="W20" s="507"/>
      <c r="X20" s="507"/>
      <c r="Y20" s="507"/>
      <c r="Z20" s="507"/>
      <c r="AA20" s="507"/>
      <c r="AB20" s="507"/>
      <c r="AC20" s="507"/>
      <c r="AD20" s="508"/>
      <c r="AE20" s="83"/>
      <c r="AF20" s="83"/>
      <c r="BA20" s="327"/>
    </row>
    <row r="21" spans="1:53" ht="32.1" customHeight="1" thickBot="1" x14ac:dyDescent="0.3">
      <c r="A21" s="59"/>
      <c r="B21" s="54"/>
      <c r="C21" s="353" t="s">
        <v>31</v>
      </c>
      <c r="D21" s="352" t="s">
        <v>32</v>
      </c>
      <c r="E21" s="352" t="s">
        <v>33</v>
      </c>
      <c r="F21" s="352" t="s">
        <v>34</v>
      </c>
      <c r="G21" s="352" t="s">
        <v>35</v>
      </c>
      <c r="H21" s="352" t="s">
        <v>8</v>
      </c>
      <c r="I21" s="352" t="s">
        <v>36</v>
      </c>
      <c r="J21" s="352" t="s">
        <v>37</v>
      </c>
      <c r="K21" s="352" t="s">
        <v>38</v>
      </c>
      <c r="L21" s="352" t="s">
        <v>39</v>
      </c>
      <c r="M21" s="352" t="s">
        <v>40</v>
      </c>
      <c r="N21" s="352" t="s">
        <v>41</v>
      </c>
      <c r="O21" s="352" t="s">
        <v>42</v>
      </c>
      <c r="P21" s="354" t="s">
        <v>43</v>
      </c>
      <c r="Q21" s="353" t="s">
        <v>31</v>
      </c>
      <c r="R21" s="352" t="s">
        <v>32</v>
      </c>
      <c r="S21" s="352" t="s">
        <v>33</v>
      </c>
      <c r="T21" s="352" t="s">
        <v>34</v>
      </c>
      <c r="U21" s="352" t="s">
        <v>35</v>
      </c>
      <c r="V21" s="352" t="s">
        <v>8</v>
      </c>
      <c r="W21" s="352" t="s">
        <v>36</v>
      </c>
      <c r="X21" s="352" t="s">
        <v>37</v>
      </c>
      <c r="Y21" s="352" t="s">
        <v>38</v>
      </c>
      <c r="Z21" s="352" t="s">
        <v>39</v>
      </c>
      <c r="AA21" s="352" t="s">
        <v>40</v>
      </c>
      <c r="AB21" s="352" t="s">
        <v>41</v>
      </c>
      <c r="AC21" s="352" t="s">
        <v>42</v>
      </c>
      <c r="AD21" s="354" t="s">
        <v>43</v>
      </c>
      <c r="AE21" s="3"/>
      <c r="AF21" s="3"/>
      <c r="BA21" s="327"/>
    </row>
    <row r="22" spans="1:53" ht="32.1" customHeight="1" x14ac:dyDescent="0.25">
      <c r="A22" s="512" t="s">
        <v>101</v>
      </c>
      <c r="B22" s="513"/>
      <c r="C22" s="355"/>
      <c r="D22" s="356"/>
      <c r="E22" s="356"/>
      <c r="F22" s="356"/>
      <c r="G22" s="356"/>
      <c r="H22" s="356"/>
      <c r="I22" s="356"/>
      <c r="J22" s="356"/>
      <c r="K22" s="356"/>
      <c r="L22" s="356"/>
      <c r="M22" s="356"/>
      <c r="N22" s="356"/>
      <c r="O22" s="356">
        <f>SUM(C22:N22)</f>
        <v>0</v>
      </c>
      <c r="P22" s="431"/>
      <c r="Q22" s="361">
        <f>1263646230+1878332432</f>
        <v>3141978662</v>
      </c>
      <c r="R22" s="356"/>
      <c r="S22" s="356">
        <v>19186925</v>
      </c>
      <c r="T22" s="356">
        <f>35000000+21559511</f>
        <v>56559511</v>
      </c>
      <c r="U22" s="356"/>
      <c r="V22" s="356">
        <f>2139476+34249272+145372262</f>
        <v>181761010</v>
      </c>
      <c r="W22" s="356"/>
      <c r="X22" s="356"/>
      <c r="Y22" s="356"/>
      <c r="Z22" s="356"/>
      <c r="AA22" s="356"/>
      <c r="AB22" s="356"/>
      <c r="AC22" s="429">
        <f>SUM(Q22:AB22)</f>
        <v>3399486108</v>
      </c>
      <c r="AD22" s="357"/>
      <c r="AE22" s="3"/>
      <c r="AF22" s="442" t="s">
        <v>116</v>
      </c>
      <c r="AG22" s="442"/>
      <c r="AH22" s="442"/>
      <c r="AI22" s="442"/>
      <c r="AJ22" s="442"/>
      <c r="AK22" s="442"/>
      <c r="AL22" s="442"/>
      <c r="AM22" s="442"/>
    </row>
    <row r="23" spans="1:53" ht="32.1" customHeight="1" x14ac:dyDescent="0.25">
      <c r="A23" s="520" t="s">
        <v>47</v>
      </c>
      <c r="B23" s="521"/>
      <c r="C23" s="175"/>
      <c r="D23" s="174"/>
      <c r="E23" s="174"/>
      <c r="F23" s="174"/>
      <c r="G23" s="174"/>
      <c r="H23" s="174"/>
      <c r="I23" s="174"/>
      <c r="J23" s="174"/>
      <c r="K23" s="174"/>
      <c r="L23" s="174"/>
      <c r="M23" s="174"/>
      <c r="N23" s="174"/>
      <c r="O23" s="174">
        <f>SUM(C23:N23)</f>
        <v>0</v>
      </c>
      <c r="P23" s="432"/>
      <c r="Q23" s="359">
        <v>2221744061</v>
      </c>
      <c r="R23" s="174">
        <v>815510484</v>
      </c>
      <c r="S23" s="174">
        <v>52163827</v>
      </c>
      <c r="T23" s="174">
        <v>-22425420</v>
      </c>
      <c r="U23" s="174">
        <v>169528095</v>
      </c>
      <c r="V23" s="174">
        <v>20743874</v>
      </c>
      <c r="W23" s="174"/>
      <c r="X23" s="174"/>
      <c r="Y23" s="174"/>
      <c r="Z23" s="174"/>
      <c r="AA23" s="174"/>
      <c r="AB23" s="174"/>
      <c r="AC23" s="430">
        <f>SUM(Q23:AB23)</f>
        <v>3257264921</v>
      </c>
      <c r="AD23" s="182">
        <f>+AC23/AC22</f>
        <v>0.95816391581500759</v>
      </c>
      <c r="AE23" s="3"/>
      <c r="AF23" s="442"/>
      <c r="AG23" s="442"/>
      <c r="AH23" s="442"/>
      <c r="AI23" s="442"/>
      <c r="AJ23" s="442"/>
      <c r="AK23" s="442"/>
      <c r="AL23" s="442"/>
      <c r="AM23" s="442"/>
    </row>
    <row r="24" spans="1:53" ht="32.1" customHeight="1" x14ac:dyDescent="0.25">
      <c r="A24" s="520" t="s">
        <v>103</v>
      </c>
      <c r="B24" s="521"/>
      <c r="C24" s="175">
        <f>25110242+1804188+19304540</f>
        <v>46218970</v>
      </c>
      <c r="D24" s="174">
        <f>1749515+3375000+3750000+461422+713790+309000+4326000+713790+772500+772500+432600+4800000+475860+4505045</f>
        <v>27157022</v>
      </c>
      <c r="E24" s="174">
        <v>4956875</v>
      </c>
      <c r="F24" s="174">
        <v>5038625</v>
      </c>
      <c r="G24" s="174"/>
      <c r="H24" s="174"/>
      <c r="I24" s="174"/>
      <c r="J24" s="174"/>
      <c r="K24" s="174"/>
      <c r="L24" s="174"/>
      <c r="M24" s="174"/>
      <c r="N24" s="174"/>
      <c r="O24" s="213">
        <f>SUM(C24:N24)</f>
        <v>83371492</v>
      </c>
      <c r="P24" s="360"/>
      <c r="Q24" s="359"/>
      <c r="R24" s="174">
        <f>54487730+166276438</f>
        <v>220764168</v>
      </c>
      <c r="S24" s="174">
        <f>109923500+166276438</f>
        <v>276199938</v>
      </c>
      <c r="T24" s="174">
        <f>109923500+1918693+166276438</f>
        <v>278118631</v>
      </c>
      <c r="U24" s="174">
        <f>109923500+1918693+3888889+21559511+166276438</f>
        <v>303567031</v>
      </c>
      <c r="V24" s="174">
        <f>109923500+1918693+3888889+166276438+145372262</f>
        <v>427379782</v>
      </c>
      <c r="W24" s="174">
        <f>109923500+1918693+2139476+3888889+11416424+166276438</f>
        <v>295563420</v>
      </c>
      <c r="X24" s="174">
        <f>109923500+1918693+3888889+166276438</f>
        <v>282007520</v>
      </c>
      <c r="Y24" s="174">
        <f>109923500+1918692+3888889+11416424+166276438</f>
        <v>293423943</v>
      </c>
      <c r="Z24" s="174">
        <f>109923500+1918692+3888889+166276438</f>
        <v>282007519</v>
      </c>
      <c r="AA24" s="174">
        <f>109923500+1918692+3888889+11416424+166276438</f>
        <v>293423943</v>
      </c>
      <c r="AB24" s="174">
        <f>219847000+3837384+7777777+215568052</f>
        <v>447030213</v>
      </c>
      <c r="AC24" s="213">
        <f>SUM(Q24:AB24)</f>
        <v>3399486108</v>
      </c>
      <c r="AD24" s="182"/>
      <c r="AE24" s="3"/>
      <c r="AF24" s="442"/>
      <c r="AG24" s="442"/>
      <c r="AH24" s="442"/>
      <c r="AI24" s="442"/>
      <c r="AJ24" s="442"/>
      <c r="AK24" s="442"/>
      <c r="AL24" s="442"/>
      <c r="AM24" s="442"/>
    </row>
    <row r="25" spans="1:53" ht="32.1" customHeight="1" thickBot="1" x14ac:dyDescent="0.3">
      <c r="A25" s="522" t="s">
        <v>50</v>
      </c>
      <c r="B25" s="523"/>
      <c r="C25" s="358">
        <v>14684229</v>
      </c>
      <c r="D25" s="176">
        <v>31987652</v>
      </c>
      <c r="E25" s="176">
        <v>22040035</v>
      </c>
      <c r="F25" s="176">
        <v>10889552</v>
      </c>
      <c r="G25" s="176">
        <v>1</v>
      </c>
      <c r="H25" s="176">
        <v>384894</v>
      </c>
      <c r="I25" s="176"/>
      <c r="J25" s="176"/>
      <c r="K25" s="176"/>
      <c r="L25" s="176"/>
      <c r="M25" s="176"/>
      <c r="N25" s="176"/>
      <c r="O25" s="176">
        <f>SUM(C25:N25)</f>
        <v>79986363</v>
      </c>
      <c r="P25" s="183">
        <f>+O25/O24</f>
        <v>0.95939704425584704</v>
      </c>
      <c r="Q25" s="362" t="s">
        <v>154</v>
      </c>
      <c r="R25" s="176">
        <v>172882318</v>
      </c>
      <c r="S25" s="176">
        <v>221760191</v>
      </c>
      <c r="T25" s="176">
        <v>267642475</v>
      </c>
      <c r="U25" s="176">
        <v>360292355</v>
      </c>
      <c r="V25" s="176">
        <v>306598664</v>
      </c>
      <c r="W25" s="176"/>
      <c r="X25" s="176"/>
      <c r="Y25" s="176"/>
      <c r="Z25" s="176"/>
      <c r="AA25" s="176"/>
      <c r="AB25" s="176"/>
      <c r="AC25" s="176">
        <f>SUM(Q25:AB25)</f>
        <v>1329176003</v>
      </c>
      <c r="AD25" s="183">
        <f>+AC25/AC23</f>
        <v>0.40806505925589098</v>
      </c>
      <c r="AE25" s="3"/>
      <c r="AF25" s="442"/>
      <c r="AG25" s="442"/>
      <c r="AH25" s="442"/>
      <c r="AI25" s="442"/>
      <c r="AJ25" s="442"/>
      <c r="AK25" s="442"/>
      <c r="AL25" s="442"/>
      <c r="AM25" s="442"/>
    </row>
    <row r="26" spans="1:53" ht="32.1" customHeight="1" thickBot="1" x14ac:dyDescent="0.3">
      <c r="A26" s="59"/>
      <c r="B26" s="54"/>
      <c r="C26" s="80"/>
      <c r="D26" s="80"/>
      <c r="E26" s="80"/>
      <c r="F26" s="80"/>
      <c r="G26" s="80"/>
      <c r="H26" s="80"/>
      <c r="I26" s="80"/>
      <c r="J26" s="80"/>
      <c r="K26" s="80"/>
      <c r="L26" s="80"/>
      <c r="M26" s="80"/>
      <c r="N26" s="80"/>
      <c r="O26" s="80"/>
      <c r="P26" s="80"/>
      <c r="Q26" s="80"/>
      <c r="R26" s="80"/>
      <c r="S26" s="80"/>
      <c r="T26" s="80"/>
      <c r="U26" s="80"/>
      <c r="V26" s="80"/>
      <c r="W26" s="80"/>
      <c r="X26" s="80"/>
      <c r="Y26" s="80"/>
      <c r="Z26" s="80"/>
      <c r="AA26" s="80"/>
      <c r="AB26" s="80"/>
      <c r="AC26" s="60"/>
      <c r="AD26" s="173"/>
    </row>
    <row r="27" spans="1:53" ht="33.950000000000003" customHeight="1" x14ac:dyDescent="0.25">
      <c r="A27" s="516" t="s">
        <v>53</v>
      </c>
      <c r="B27" s="517"/>
      <c r="C27" s="518"/>
      <c r="D27" s="518"/>
      <c r="E27" s="518"/>
      <c r="F27" s="518"/>
      <c r="G27" s="518"/>
      <c r="H27" s="518"/>
      <c r="I27" s="518"/>
      <c r="J27" s="518"/>
      <c r="K27" s="518"/>
      <c r="L27" s="518"/>
      <c r="M27" s="518"/>
      <c r="N27" s="518"/>
      <c r="O27" s="518"/>
      <c r="P27" s="518"/>
      <c r="Q27" s="518"/>
      <c r="R27" s="518"/>
      <c r="S27" s="518"/>
      <c r="T27" s="518"/>
      <c r="U27" s="518"/>
      <c r="V27" s="518"/>
      <c r="W27" s="518"/>
      <c r="X27" s="518"/>
      <c r="Y27" s="518"/>
      <c r="Z27" s="518"/>
      <c r="AA27" s="518"/>
      <c r="AB27" s="518"/>
      <c r="AC27" s="518"/>
      <c r="AD27" s="519"/>
    </row>
    <row r="28" spans="1:53" ht="15" customHeight="1" x14ac:dyDescent="0.25">
      <c r="A28" s="541" t="s">
        <v>54</v>
      </c>
      <c r="B28" s="543" t="s">
        <v>55</v>
      </c>
      <c r="C28" s="544"/>
      <c r="D28" s="521" t="s">
        <v>56</v>
      </c>
      <c r="E28" s="547"/>
      <c r="F28" s="547"/>
      <c r="G28" s="547"/>
      <c r="H28" s="547"/>
      <c r="I28" s="547"/>
      <c r="J28" s="547"/>
      <c r="K28" s="547"/>
      <c r="L28" s="547"/>
      <c r="M28" s="547"/>
      <c r="N28" s="547"/>
      <c r="O28" s="548"/>
      <c r="P28" s="549" t="s">
        <v>42</v>
      </c>
      <c r="Q28" s="549" t="s">
        <v>57</v>
      </c>
      <c r="R28" s="549"/>
      <c r="S28" s="549"/>
      <c r="T28" s="549"/>
      <c r="U28" s="549"/>
      <c r="V28" s="549"/>
      <c r="W28" s="549"/>
      <c r="X28" s="549"/>
      <c r="Y28" s="549"/>
      <c r="Z28" s="549"/>
      <c r="AA28" s="549"/>
      <c r="AB28" s="549"/>
      <c r="AC28" s="549"/>
      <c r="AD28" s="550"/>
    </row>
    <row r="29" spans="1:53" ht="27" customHeight="1" x14ac:dyDescent="0.25">
      <c r="A29" s="542"/>
      <c r="B29" s="545"/>
      <c r="C29" s="546"/>
      <c r="D29" s="88" t="s">
        <v>31</v>
      </c>
      <c r="E29" s="88" t="s">
        <v>32</v>
      </c>
      <c r="F29" s="88" t="s">
        <v>33</v>
      </c>
      <c r="G29" s="88" t="s">
        <v>34</v>
      </c>
      <c r="H29" s="88" t="s">
        <v>35</v>
      </c>
      <c r="I29" s="88" t="s">
        <v>8</v>
      </c>
      <c r="J29" s="88" t="s">
        <v>36</v>
      </c>
      <c r="K29" s="88" t="s">
        <v>37</v>
      </c>
      <c r="L29" s="88" t="s">
        <v>38</v>
      </c>
      <c r="M29" s="88" t="s">
        <v>39</v>
      </c>
      <c r="N29" s="88" t="s">
        <v>40</v>
      </c>
      <c r="O29" s="88" t="s">
        <v>41</v>
      </c>
      <c r="P29" s="548"/>
      <c r="Q29" s="549"/>
      <c r="R29" s="549"/>
      <c r="S29" s="549"/>
      <c r="T29" s="549"/>
      <c r="U29" s="549"/>
      <c r="V29" s="549"/>
      <c r="W29" s="549"/>
      <c r="X29" s="549"/>
      <c r="Y29" s="549"/>
      <c r="Z29" s="549"/>
      <c r="AA29" s="549"/>
      <c r="AB29" s="549"/>
      <c r="AC29" s="549"/>
      <c r="AD29" s="550"/>
    </row>
    <row r="30" spans="1:53" ht="68.25" customHeight="1" x14ac:dyDescent="0.25">
      <c r="A30" s="85" t="s">
        <v>155</v>
      </c>
      <c r="B30" s="551"/>
      <c r="C30" s="552"/>
      <c r="D30" s="89">
        <v>112</v>
      </c>
      <c r="E30" s="89"/>
      <c r="F30" s="89"/>
      <c r="G30" s="89"/>
      <c r="H30" s="89"/>
      <c r="I30" s="89"/>
      <c r="J30" s="89"/>
      <c r="K30" s="89"/>
      <c r="L30" s="89"/>
      <c r="M30" s="89"/>
      <c r="N30" s="89"/>
      <c r="O30" s="89"/>
      <c r="P30" s="86">
        <f>SUM(D30:O30)</f>
        <v>112</v>
      </c>
      <c r="Q30" s="553"/>
      <c r="R30" s="553"/>
      <c r="S30" s="553"/>
      <c r="T30" s="553"/>
      <c r="U30" s="553"/>
      <c r="V30" s="553"/>
      <c r="W30" s="553"/>
      <c r="X30" s="553"/>
      <c r="Y30" s="553"/>
      <c r="Z30" s="553"/>
      <c r="AA30" s="553"/>
      <c r="AB30" s="553"/>
      <c r="AC30" s="553"/>
      <c r="AD30" s="554"/>
    </row>
    <row r="31" spans="1:53" ht="45" customHeight="1" thickBot="1" x14ac:dyDescent="0.3">
      <c r="A31" s="555" t="s">
        <v>59</v>
      </c>
      <c r="B31" s="556"/>
      <c r="C31" s="556"/>
      <c r="D31" s="556"/>
      <c r="E31" s="556"/>
      <c r="F31" s="556"/>
      <c r="G31" s="556"/>
      <c r="H31" s="556"/>
      <c r="I31" s="556"/>
      <c r="J31" s="556"/>
      <c r="K31" s="556"/>
      <c r="L31" s="556"/>
      <c r="M31" s="556"/>
      <c r="N31" s="556"/>
      <c r="O31" s="556"/>
      <c r="P31" s="556"/>
      <c r="Q31" s="556"/>
      <c r="R31" s="556"/>
      <c r="S31" s="556"/>
      <c r="T31" s="556"/>
      <c r="U31" s="556"/>
      <c r="V31" s="556"/>
      <c r="W31" s="556"/>
      <c r="X31" s="556"/>
      <c r="Y31" s="556"/>
      <c r="Z31" s="556"/>
      <c r="AA31" s="556"/>
      <c r="AB31" s="556"/>
      <c r="AC31" s="556"/>
      <c r="AD31" s="557"/>
    </row>
    <row r="32" spans="1:53" ht="23.1" customHeight="1" x14ac:dyDescent="0.25">
      <c r="A32" s="512" t="s">
        <v>60</v>
      </c>
      <c r="B32" s="558" t="s">
        <v>61</v>
      </c>
      <c r="C32" s="559" t="s">
        <v>55</v>
      </c>
      <c r="D32" s="512" t="s">
        <v>62</v>
      </c>
      <c r="E32" s="558"/>
      <c r="F32" s="558"/>
      <c r="G32" s="558"/>
      <c r="H32" s="558"/>
      <c r="I32" s="558"/>
      <c r="J32" s="558"/>
      <c r="K32" s="558"/>
      <c r="L32" s="558"/>
      <c r="M32" s="558"/>
      <c r="N32" s="558"/>
      <c r="O32" s="558"/>
      <c r="P32" s="559"/>
      <c r="Q32" s="561" t="s">
        <v>63</v>
      </c>
      <c r="R32" s="558"/>
      <c r="S32" s="558"/>
      <c r="T32" s="558"/>
      <c r="U32" s="558"/>
      <c r="V32" s="558"/>
      <c r="W32" s="558"/>
      <c r="X32" s="558"/>
      <c r="Y32" s="558"/>
      <c r="Z32" s="558"/>
      <c r="AA32" s="558"/>
      <c r="AB32" s="558"/>
      <c r="AC32" s="558"/>
      <c r="AD32" s="559"/>
      <c r="AG32" s="87"/>
      <c r="AH32" s="87"/>
      <c r="AI32" s="87"/>
      <c r="AJ32" s="87"/>
      <c r="AK32" s="87"/>
      <c r="AL32" s="87"/>
      <c r="AM32" s="87"/>
      <c r="AN32" s="87"/>
      <c r="AO32" s="87"/>
    </row>
    <row r="33" spans="1:41" ht="27" customHeight="1" x14ac:dyDescent="0.25">
      <c r="A33" s="520"/>
      <c r="B33" s="549"/>
      <c r="C33" s="560"/>
      <c r="D33" s="222" t="s">
        <v>31</v>
      </c>
      <c r="E33" s="265" t="s">
        <v>32</v>
      </c>
      <c r="F33" s="265" t="s">
        <v>33</v>
      </c>
      <c r="G33" s="265" t="s">
        <v>34</v>
      </c>
      <c r="H33" s="265" t="s">
        <v>35</v>
      </c>
      <c r="I33" s="265" t="s">
        <v>8</v>
      </c>
      <c r="J33" s="265" t="s">
        <v>36</v>
      </c>
      <c r="K33" s="265" t="s">
        <v>37</v>
      </c>
      <c r="L33" s="265" t="s">
        <v>38</v>
      </c>
      <c r="M33" s="265" t="s">
        <v>39</v>
      </c>
      <c r="N33" s="265" t="s">
        <v>40</v>
      </c>
      <c r="O33" s="265" t="s">
        <v>41</v>
      </c>
      <c r="P33" s="266" t="s">
        <v>42</v>
      </c>
      <c r="Q33" s="548" t="s">
        <v>64</v>
      </c>
      <c r="R33" s="549"/>
      <c r="S33" s="549"/>
      <c r="T33" s="549" t="s">
        <v>65</v>
      </c>
      <c r="U33" s="549"/>
      <c r="V33" s="549"/>
      <c r="W33" s="549" t="s">
        <v>106</v>
      </c>
      <c r="X33" s="549"/>
      <c r="Y33" s="549"/>
      <c r="Z33" s="549"/>
      <c r="AA33" s="549" t="s">
        <v>67</v>
      </c>
      <c r="AB33" s="549"/>
      <c r="AC33" s="549"/>
      <c r="AD33" s="550"/>
      <c r="AG33" s="87"/>
      <c r="AH33" s="87"/>
      <c r="AI33" s="87"/>
      <c r="AJ33" s="87"/>
      <c r="AK33" s="87"/>
      <c r="AL33" s="87"/>
      <c r="AM33" s="87"/>
      <c r="AN33" s="87"/>
      <c r="AO33" s="87"/>
    </row>
    <row r="34" spans="1:41" ht="105" customHeight="1" x14ac:dyDescent="0.25">
      <c r="A34" s="564" t="s">
        <v>155</v>
      </c>
      <c r="B34" s="565">
        <v>0.15</v>
      </c>
      <c r="C34" s="276" t="s">
        <v>68</v>
      </c>
      <c r="D34" s="277">
        <f>D69</f>
        <v>2.1762103731630403E-2</v>
      </c>
      <c r="E34" s="272">
        <f t="shared" ref="E34:O34" si="0">E69</f>
        <v>2.1762103731630403E-2</v>
      </c>
      <c r="F34" s="272">
        <f t="shared" si="0"/>
        <v>2.1175335050377265E-2</v>
      </c>
      <c r="G34" s="272">
        <f t="shared" si="0"/>
        <v>2.1175335050377265E-2</v>
      </c>
      <c r="H34" s="272">
        <f t="shared" si="0"/>
        <v>2.1175335050377265E-2</v>
      </c>
      <c r="I34" s="272">
        <f t="shared" si="0"/>
        <v>2.1175335050377265E-2</v>
      </c>
      <c r="J34" s="272">
        <f t="shared" si="0"/>
        <v>2.1175335050377265E-2</v>
      </c>
      <c r="K34" s="272">
        <f t="shared" si="0"/>
        <v>2.1175335050377265E-2</v>
      </c>
      <c r="L34" s="272">
        <f t="shared" si="0"/>
        <v>2.1175335050377265E-2</v>
      </c>
      <c r="M34" s="272">
        <f t="shared" si="0"/>
        <v>2.1175335050377265E-2</v>
      </c>
      <c r="N34" s="272">
        <f t="shared" si="0"/>
        <v>2.1175335050377265E-2</v>
      </c>
      <c r="O34" s="272">
        <f t="shared" si="0"/>
        <v>1.5897777083343837E-2</v>
      </c>
      <c r="P34" s="267">
        <f>SUM(D34:O34)</f>
        <v>0.25000000000000011</v>
      </c>
      <c r="Q34" s="800" t="s">
        <v>156</v>
      </c>
      <c r="R34" s="801"/>
      <c r="S34" s="801"/>
      <c r="T34" s="801" t="s">
        <v>556</v>
      </c>
      <c r="U34" s="801"/>
      <c r="V34" s="801"/>
      <c r="W34" s="569" t="s">
        <v>573</v>
      </c>
      <c r="X34" s="570"/>
      <c r="Y34" s="570"/>
      <c r="Z34" s="575"/>
      <c r="AA34" s="812" t="s">
        <v>157</v>
      </c>
      <c r="AB34" s="812"/>
      <c r="AC34" s="812"/>
      <c r="AD34" s="813"/>
      <c r="AE34" s="50" t="s">
        <v>158</v>
      </c>
      <c r="AG34" s="87"/>
      <c r="AH34" s="87"/>
      <c r="AI34" s="87"/>
      <c r="AJ34" s="87"/>
      <c r="AK34" s="87"/>
      <c r="AL34" s="87"/>
      <c r="AM34" s="87"/>
      <c r="AN34" s="87"/>
      <c r="AO34" s="87"/>
    </row>
    <row r="35" spans="1:41" ht="105" customHeight="1" x14ac:dyDescent="0.25">
      <c r="A35" s="476"/>
      <c r="B35" s="477"/>
      <c r="C35" s="270" t="s">
        <v>72</v>
      </c>
      <c r="D35" s="258">
        <f>D66</f>
        <v>2.1762103731630403E-2</v>
      </c>
      <c r="E35" s="259">
        <f t="shared" ref="E35:O35" si="1">E66</f>
        <v>2.1762103731630403E-2</v>
      </c>
      <c r="F35" s="259">
        <f t="shared" si="1"/>
        <v>2.1175335050377265E-2</v>
      </c>
      <c r="G35" s="259">
        <f t="shared" si="1"/>
        <v>2.1175335050377265E-2</v>
      </c>
      <c r="H35" s="259">
        <f t="shared" si="1"/>
        <v>2.1175335050377265E-2</v>
      </c>
      <c r="I35" s="259">
        <f t="shared" si="1"/>
        <v>2.1762103731630403E-2</v>
      </c>
      <c r="J35" s="259">
        <f t="shared" si="1"/>
        <v>0</v>
      </c>
      <c r="K35" s="259">
        <f t="shared" si="1"/>
        <v>0</v>
      </c>
      <c r="L35" s="259">
        <f t="shared" si="1"/>
        <v>0</v>
      </c>
      <c r="M35" s="259">
        <f t="shared" si="1"/>
        <v>0</v>
      </c>
      <c r="N35" s="259">
        <f t="shared" si="1"/>
        <v>0</v>
      </c>
      <c r="O35" s="259">
        <f t="shared" si="1"/>
        <v>0</v>
      </c>
      <c r="P35" s="268">
        <f>SUM(D35:O35)</f>
        <v>0.128812316346023</v>
      </c>
      <c r="Q35" s="802"/>
      <c r="R35" s="803"/>
      <c r="S35" s="803"/>
      <c r="T35" s="803"/>
      <c r="U35" s="803"/>
      <c r="V35" s="803"/>
      <c r="W35" s="572"/>
      <c r="X35" s="573"/>
      <c r="Y35" s="573"/>
      <c r="Z35" s="576"/>
      <c r="AA35" s="814"/>
      <c r="AB35" s="814"/>
      <c r="AC35" s="814"/>
      <c r="AD35" s="815"/>
      <c r="AE35" s="49"/>
      <c r="AG35" s="87"/>
      <c r="AH35" s="87"/>
      <c r="AI35" s="87"/>
      <c r="AJ35" s="87"/>
      <c r="AK35" s="87"/>
      <c r="AL35" s="87"/>
      <c r="AM35" s="87"/>
      <c r="AN35" s="87"/>
      <c r="AO35" s="87"/>
    </row>
    <row r="36" spans="1:41" ht="26.1" customHeight="1" x14ac:dyDescent="0.25">
      <c r="A36" s="512" t="s">
        <v>73</v>
      </c>
      <c r="B36" s="558" t="s">
        <v>74</v>
      </c>
      <c r="C36" s="561" t="s">
        <v>75</v>
      </c>
      <c r="D36" s="558"/>
      <c r="E36" s="558"/>
      <c r="F36" s="558"/>
      <c r="G36" s="558"/>
      <c r="H36" s="558"/>
      <c r="I36" s="558"/>
      <c r="J36" s="558"/>
      <c r="K36" s="558"/>
      <c r="L36" s="558"/>
      <c r="M36" s="558"/>
      <c r="N36" s="558"/>
      <c r="O36" s="558"/>
      <c r="P36" s="559"/>
      <c r="Q36" s="594" t="s">
        <v>76</v>
      </c>
      <c r="R36" s="595"/>
      <c r="S36" s="595"/>
      <c r="T36" s="595"/>
      <c r="U36" s="595"/>
      <c r="V36" s="595"/>
      <c r="W36" s="595"/>
      <c r="X36" s="595"/>
      <c r="Y36" s="595"/>
      <c r="Z36" s="595"/>
      <c r="AA36" s="595"/>
      <c r="AB36" s="595"/>
      <c r="AC36" s="595"/>
      <c r="AD36" s="596"/>
      <c r="AG36" s="87"/>
      <c r="AH36" s="87"/>
      <c r="AI36" s="87"/>
      <c r="AJ36" s="87"/>
      <c r="AK36" s="87"/>
      <c r="AL36" s="87"/>
      <c r="AM36" s="87"/>
      <c r="AN36" s="87"/>
      <c r="AO36" s="87"/>
    </row>
    <row r="37" spans="1:41" ht="26.1" customHeight="1" thickBot="1" x14ac:dyDescent="0.3">
      <c r="A37" s="681"/>
      <c r="B37" s="688"/>
      <c r="C37" s="348" t="s">
        <v>77</v>
      </c>
      <c r="D37" s="351" t="s">
        <v>78</v>
      </c>
      <c r="E37" s="351" t="s">
        <v>79</v>
      </c>
      <c r="F37" s="351" t="s">
        <v>80</v>
      </c>
      <c r="G37" s="351" t="s">
        <v>81</v>
      </c>
      <c r="H37" s="351" t="s">
        <v>82</v>
      </c>
      <c r="I37" s="351" t="s">
        <v>83</v>
      </c>
      <c r="J37" s="351" t="s">
        <v>84</v>
      </c>
      <c r="K37" s="351" t="s">
        <v>85</v>
      </c>
      <c r="L37" s="351" t="s">
        <v>86</v>
      </c>
      <c r="M37" s="351" t="s">
        <v>87</v>
      </c>
      <c r="N37" s="351" t="s">
        <v>88</v>
      </c>
      <c r="O37" s="351" t="s">
        <v>89</v>
      </c>
      <c r="P37" s="363" t="s">
        <v>90</v>
      </c>
      <c r="Q37" s="541" t="s">
        <v>91</v>
      </c>
      <c r="R37" s="807"/>
      <c r="S37" s="807"/>
      <c r="T37" s="807"/>
      <c r="U37" s="807"/>
      <c r="V37" s="807"/>
      <c r="W37" s="807"/>
      <c r="X37" s="807"/>
      <c r="Y37" s="807"/>
      <c r="Z37" s="807"/>
      <c r="AA37" s="807"/>
      <c r="AB37" s="807"/>
      <c r="AC37" s="807"/>
      <c r="AD37" s="808"/>
      <c r="AG37" s="94"/>
      <c r="AH37" s="94"/>
      <c r="AI37" s="94"/>
      <c r="AJ37" s="94"/>
      <c r="AK37" s="94"/>
      <c r="AL37" s="94"/>
      <c r="AM37" s="94"/>
      <c r="AN37" s="94"/>
      <c r="AO37" s="94"/>
    </row>
    <row r="38" spans="1:41" ht="48.75" customHeight="1" x14ac:dyDescent="0.25">
      <c r="A38" s="809" t="s">
        <v>159</v>
      </c>
      <c r="B38" s="669">
        <v>0.1</v>
      </c>
      <c r="C38" s="371" t="s">
        <v>68</v>
      </c>
      <c r="D38" s="365">
        <v>0.09</v>
      </c>
      <c r="E38" s="365">
        <v>0.09</v>
      </c>
      <c r="F38" s="367">
        <v>8.5000000000000006E-2</v>
      </c>
      <c r="G38" s="367">
        <v>8.5000000000000006E-2</v>
      </c>
      <c r="H38" s="367">
        <v>8.5000000000000006E-2</v>
      </c>
      <c r="I38" s="367">
        <v>8.5000000000000006E-2</v>
      </c>
      <c r="J38" s="367">
        <v>8.5000000000000006E-2</v>
      </c>
      <c r="K38" s="367">
        <v>8.5000000000000006E-2</v>
      </c>
      <c r="L38" s="367">
        <v>8.5000000000000006E-2</v>
      </c>
      <c r="M38" s="367">
        <v>8.5000000000000006E-2</v>
      </c>
      <c r="N38" s="367">
        <v>8.5000000000000006E-2</v>
      </c>
      <c r="O38" s="367">
        <v>0.05</v>
      </c>
      <c r="P38" s="368">
        <f>SUM(D38:O38)</f>
        <v>0.99499999999999988</v>
      </c>
      <c r="Q38" s="811" t="s">
        <v>581</v>
      </c>
      <c r="R38" s="702"/>
      <c r="S38" s="702"/>
      <c r="T38" s="702"/>
      <c r="U38" s="702"/>
      <c r="V38" s="702"/>
      <c r="W38" s="702"/>
      <c r="X38" s="702"/>
      <c r="Y38" s="702"/>
      <c r="Z38" s="702"/>
      <c r="AA38" s="702"/>
      <c r="AB38" s="702"/>
      <c r="AC38" s="702"/>
      <c r="AD38" s="703"/>
      <c r="AE38" s="97"/>
      <c r="AG38" s="98"/>
      <c r="AH38" s="98"/>
      <c r="AI38" s="98"/>
      <c r="AJ38" s="98"/>
      <c r="AK38" s="98"/>
      <c r="AL38" s="98"/>
      <c r="AM38" s="98"/>
      <c r="AN38" s="98"/>
      <c r="AO38" s="98"/>
    </row>
    <row r="39" spans="1:41" ht="48.75" customHeight="1" x14ac:dyDescent="0.25">
      <c r="A39" s="810"/>
      <c r="B39" s="602"/>
      <c r="C39" s="225" t="s">
        <v>72</v>
      </c>
      <c r="D39" s="283">
        <v>0.09</v>
      </c>
      <c r="E39" s="283">
        <v>0.09</v>
      </c>
      <c r="F39" s="283">
        <v>8.5000000000000006E-2</v>
      </c>
      <c r="G39" s="283">
        <v>8.5000000000000006E-2</v>
      </c>
      <c r="H39" s="283">
        <v>8.5000000000000006E-2</v>
      </c>
      <c r="I39" s="411">
        <v>0.09</v>
      </c>
      <c r="J39" s="100"/>
      <c r="K39" s="100"/>
      <c r="L39" s="100"/>
      <c r="M39" s="100"/>
      <c r="N39" s="100"/>
      <c r="O39" s="100"/>
      <c r="P39" s="263">
        <f>SUM(D39:O39)</f>
        <v>0.52500000000000002</v>
      </c>
      <c r="Q39" s="704"/>
      <c r="R39" s="705"/>
      <c r="S39" s="705"/>
      <c r="T39" s="705"/>
      <c r="U39" s="705"/>
      <c r="V39" s="705"/>
      <c r="W39" s="705"/>
      <c r="X39" s="705"/>
      <c r="Y39" s="705"/>
      <c r="Z39" s="705"/>
      <c r="AA39" s="705"/>
      <c r="AB39" s="705"/>
      <c r="AC39" s="705"/>
      <c r="AD39" s="706"/>
      <c r="AE39" s="97"/>
    </row>
    <row r="40" spans="1:41" ht="39.75" customHeight="1" x14ac:dyDescent="0.25">
      <c r="A40" s="635" t="s">
        <v>160</v>
      </c>
      <c r="B40" s="584">
        <v>0.05</v>
      </c>
      <c r="C40" s="226" t="s">
        <v>68</v>
      </c>
      <c r="D40" s="282">
        <v>0.08</v>
      </c>
      <c r="E40" s="282">
        <v>0.08</v>
      </c>
      <c r="F40" s="206">
        <v>8.3000000000000004E-2</v>
      </c>
      <c r="G40" s="206">
        <v>8.3000000000000004E-2</v>
      </c>
      <c r="H40" s="206">
        <v>8.3000000000000004E-2</v>
      </c>
      <c r="I40" s="206">
        <v>8.3000000000000004E-2</v>
      </c>
      <c r="J40" s="206">
        <v>8.3000000000000004E-2</v>
      </c>
      <c r="K40" s="206">
        <v>8.3000000000000004E-2</v>
      </c>
      <c r="L40" s="206">
        <v>8.3000000000000004E-2</v>
      </c>
      <c r="M40" s="206">
        <v>8.3000000000000004E-2</v>
      </c>
      <c r="N40" s="206">
        <v>8.3000000000000004E-2</v>
      </c>
      <c r="O40" s="206">
        <v>0.09</v>
      </c>
      <c r="P40" s="263">
        <f>SUM(D40:O40)</f>
        <v>0.99699999999999989</v>
      </c>
      <c r="Q40" s="637" t="s">
        <v>582</v>
      </c>
      <c r="R40" s="638"/>
      <c r="S40" s="638"/>
      <c r="T40" s="638"/>
      <c r="U40" s="638"/>
      <c r="V40" s="638"/>
      <c r="W40" s="638"/>
      <c r="X40" s="638"/>
      <c r="Y40" s="638"/>
      <c r="Z40" s="638"/>
      <c r="AA40" s="638"/>
      <c r="AB40" s="638"/>
      <c r="AC40" s="638"/>
      <c r="AD40" s="639"/>
      <c r="AE40" s="97"/>
    </row>
    <row r="41" spans="1:41" ht="39.75" customHeight="1" thickBot="1" x14ac:dyDescent="0.3">
      <c r="A41" s="628"/>
      <c r="B41" s="585"/>
      <c r="C41" s="280" t="s">
        <v>72</v>
      </c>
      <c r="D41" s="284">
        <v>0.08</v>
      </c>
      <c r="E41" s="284">
        <v>0.08</v>
      </c>
      <c r="F41" s="284">
        <v>8.3000000000000004E-2</v>
      </c>
      <c r="G41" s="284">
        <v>8.3000000000000004E-2</v>
      </c>
      <c r="H41" s="284">
        <v>8.3000000000000004E-2</v>
      </c>
      <c r="I41" s="428">
        <v>0.08</v>
      </c>
      <c r="J41" s="105"/>
      <c r="K41" s="105"/>
      <c r="L41" s="106"/>
      <c r="M41" s="106"/>
      <c r="N41" s="106"/>
      <c r="O41" s="106"/>
      <c r="P41" s="264">
        <f>SUM(D41:O41)</f>
        <v>0.48900000000000005</v>
      </c>
      <c r="Q41" s="804"/>
      <c r="R41" s="805"/>
      <c r="S41" s="805"/>
      <c r="T41" s="805"/>
      <c r="U41" s="805"/>
      <c r="V41" s="805"/>
      <c r="W41" s="805"/>
      <c r="X41" s="805"/>
      <c r="Y41" s="805"/>
      <c r="Z41" s="805"/>
      <c r="AA41" s="805"/>
      <c r="AB41" s="805"/>
      <c r="AC41" s="805"/>
      <c r="AD41" s="806"/>
      <c r="AE41" s="97"/>
    </row>
    <row r="42" spans="1:41" x14ac:dyDescent="0.25">
      <c r="A42" s="50" t="s">
        <v>95</v>
      </c>
    </row>
    <row r="55" spans="1:30" x14ac:dyDescent="0.25">
      <c r="A55" s="613" t="s">
        <v>96</v>
      </c>
      <c r="B55" s="615" t="s">
        <v>74</v>
      </c>
      <c r="C55" s="617" t="s">
        <v>75</v>
      </c>
      <c r="D55" s="618"/>
      <c r="E55" s="618"/>
      <c r="F55" s="618"/>
      <c r="G55" s="618"/>
      <c r="H55" s="618"/>
      <c r="I55" s="618"/>
      <c r="J55" s="618"/>
      <c r="K55" s="618"/>
      <c r="L55" s="618"/>
      <c r="M55" s="618"/>
      <c r="N55" s="618"/>
      <c r="O55" s="618"/>
      <c r="P55" s="619"/>
      <c r="Q55" s="228"/>
      <c r="R55" s="228"/>
      <c r="S55" s="229"/>
      <c r="T55" s="229"/>
      <c r="U55" s="229"/>
      <c r="V55" s="229"/>
      <c r="W55" s="229"/>
      <c r="X55" s="229"/>
      <c r="Y55" s="229"/>
      <c r="Z55" s="229"/>
      <c r="AA55" s="229"/>
      <c r="AB55" s="229"/>
      <c r="AC55" s="229"/>
      <c r="AD55" s="229"/>
    </row>
    <row r="56" spans="1:30" ht="21" x14ac:dyDescent="0.25">
      <c r="A56" s="614"/>
      <c r="B56" s="616"/>
      <c r="C56" s="230" t="s">
        <v>77</v>
      </c>
      <c r="D56" s="230" t="s">
        <v>78</v>
      </c>
      <c r="E56" s="230" t="s">
        <v>79</v>
      </c>
      <c r="F56" s="230" t="s">
        <v>80</v>
      </c>
      <c r="G56" s="230" t="s">
        <v>81</v>
      </c>
      <c r="H56" s="230" t="s">
        <v>82</v>
      </c>
      <c r="I56" s="230" t="s">
        <v>83</v>
      </c>
      <c r="J56" s="230" t="s">
        <v>84</v>
      </c>
      <c r="K56" s="230" t="s">
        <v>85</v>
      </c>
      <c r="L56" s="230" t="s">
        <v>86</v>
      </c>
      <c r="M56" s="230" t="s">
        <v>87</v>
      </c>
      <c r="N56" s="230" t="s">
        <v>88</v>
      </c>
      <c r="O56" s="230" t="s">
        <v>89</v>
      </c>
      <c r="P56" s="230" t="s">
        <v>90</v>
      </c>
      <c r="Q56" s="228"/>
      <c r="R56" s="228"/>
      <c r="S56" s="229"/>
      <c r="T56" s="229"/>
      <c r="U56" s="229"/>
      <c r="V56" s="229"/>
      <c r="W56" s="229"/>
      <c r="X56" s="229"/>
      <c r="Y56" s="229"/>
      <c r="Z56" s="229"/>
      <c r="AA56" s="229"/>
      <c r="AB56" s="229"/>
      <c r="AC56" s="229"/>
      <c r="AD56" s="229"/>
    </row>
    <row r="57" spans="1:30" x14ac:dyDescent="0.25">
      <c r="A57" s="620" t="str">
        <f>A38</f>
        <v>16. Hacer seguimiento a la ejecución del Contrato No. 928 de 2022 cuyo objeto es: "Prestar los servicios requeridos para la operación y puesta en marcha de las Unidades Móviles en el marco de la implementación de la estrategia territorial del Sistema Distrital de Cuidado, de acuerdo con el anexo técnico"</v>
      </c>
      <c r="B57" s="622">
        <f>B38</f>
        <v>0.1</v>
      </c>
      <c r="C57" s="231" t="s">
        <v>68</v>
      </c>
      <c r="D57" s="232">
        <f>D38*$B$38/$P$38</f>
        <v>9.0452261306532659E-3</v>
      </c>
      <c r="E57" s="232">
        <f t="shared" ref="D57:O58" si="2">E38*$B$38/$P$38</f>
        <v>9.0452261306532659E-3</v>
      </c>
      <c r="F57" s="232">
        <f t="shared" si="2"/>
        <v>8.5427135678391979E-3</v>
      </c>
      <c r="G57" s="232">
        <f t="shared" si="2"/>
        <v>8.5427135678391979E-3</v>
      </c>
      <c r="H57" s="232">
        <f t="shared" si="2"/>
        <v>8.5427135678391979E-3</v>
      </c>
      <c r="I57" s="232">
        <f t="shared" si="2"/>
        <v>8.5427135678391979E-3</v>
      </c>
      <c r="J57" s="232">
        <f t="shared" si="2"/>
        <v>8.5427135678391979E-3</v>
      </c>
      <c r="K57" s="232">
        <f t="shared" si="2"/>
        <v>8.5427135678391979E-3</v>
      </c>
      <c r="L57" s="232">
        <f t="shared" si="2"/>
        <v>8.5427135678391979E-3</v>
      </c>
      <c r="M57" s="232">
        <f t="shared" si="2"/>
        <v>8.5427135678391979E-3</v>
      </c>
      <c r="N57" s="232">
        <f t="shared" si="2"/>
        <v>8.5427135678391979E-3</v>
      </c>
      <c r="O57" s="232">
        <f t="shared" si="2"/>
        <v>5.0251256281407053E-3</v>
      </c>
      <c r="P57" s="233">
        <f>SUM(D57:O57)</f>
        <v>0.10000000000000003</v>
      </c>
      <c r="Q57" s="234">
        <v>0.05</v>
      </c>
      <c r="R57" s="235">
        <f t="shared" ref="R57:R65" si="3">+P57-Q57</f>
        <v>5.0000000000000031E-2</v>
      </c>
      <c r="S57" s="229"/>
      <c r="T57" s="229"/>
      <c r="U57" s="229"/>
      <c r="V57" s="229"/>
      <c r="W57" s="229"/>
      <c r="X57" s="229"/>
      <c r="Y57" s="229"/>
      <c r="Z57" s="229"/>
      <c r="AA57" s="229"/>
      <c r="AB57" s="229"/>
      <c r="AC57" s="229"/>
      <c r="AD57" s="229"/>
    </row>
    <row r="58" spans="1:30" x14ac:dyDescent="0.25">
      <c r="A58" s="621"/>
      <c r="B58" s="623"/>
      <c r="C58" s="236" t="s">
        <v>72</v>
      </c>
      <c r="D58" s="237">
        <f t="shared" si="2"/>
        <v>9.0452261306532659E-3</v>
      </c>
      <c r="E58" s="237">
        <f t="shared" si="2"/>
        <v>9.0452261306532659E-3</v>
      </c>
      <c r="F58" s="237">
        <f t="shared" si="2"/>
        <v>8.5427135678391979E-3</v>
      </c>
      <c r="G58" s="237">
        <f t="shared" si="2"/>
        <v>8.5427135678391979E-3</v>
      </c>
      <c r="H58" s="237">
        <f t="shared" si="2"/>
        <v>8.5427135678391979E-3</v>
      </c>
      <c r="I58" s="237">
        <f t="shared" si="2"/>
        <v>9.0452261306532659E-3</v>
      </c>
      <c r="J58" s="237">
        <f t="shared" si="2"/>
        <v>0</v>
      </c>
      <c r="K58" s="237">
        <f t="shared" si="2"/>
        <v>0</v>
      </c>
      <c r="L58" s="237">
        <f t="shared" si="2"/>
        <v>0</v>
      </c>
      <c r="M58" s="237">
        <f t="shared" si="2"/>
        <v>0</v>
      </c>
      <c r="N58" s="237">
        <f t="shared" si="2"/>
        <v>0</v>
      </c>
      <c r="O58" s="237">
        <f t="shared" si="2"/>
        <v>0</v>
      </c>
      <c r="P58" s="238">
        <f>SUM(D58:O58)</f>
        <v>5.2763819095477393E-2</v>
      </c>
      <c r="Q58" s="239">
        <f>+P58</f>
        <v>5.2763819095477393E-2</v>
      </c>
      <c r="R58" s="235">
        <f t="shared" si="3"/>
        <v>0</v>
      </c>
      <c r="S58" s="229"/>
      <c r="T58" s="229"/>
      <c r="U58" s="229"/>
      <c r="V58" s="229"/>
      <c r="W58" s="229"/>
      <c r="X58" s="229"/>
      <c r="Y58" s="229"/>
      <c r="Z58" s="229"/>
      <c r="AA58" s="229"/>
      <c r="AB58" s="229"/>
      <c r="AC58" s="229"/>
      <c r="AD58" s="229"/>
    </row>
    <row r="59" spans="1:30" x14ac:dyDescent="0.25">
      <c r="A59" s="620" t="str">
        <f>A40</f>
        <v>17. Convocar y gestionar las sesiones de las Mesa de Unidades Móviles de Servicios del Cuidado</v>
      </c>
      <c r="B59" s="625">
        <f>B40</f>
        <v>0.05</v>
      </c>
      <c r="C59" s="231" t="s">
        <v>68</v>
      </c>
      <c r="D59" s="232">
        <f t="shared" ref="D59:O60" si="4">D40*$B$40/$P$40</f>
        <v>4.0120361083249758E-3</v>
      </c>
      <c r="E59" s="232">
        <f t="shared" si="4"/>
        <v>4.0120361083249758E-3</v>
      </c>
      <c r="F59" s="232">
        <f t="shared" si="4"/>
        <v>4.1624874623871619E-3</v>
      </c>
      <c r="G59" s="232">
        <f t="shared" si="4"/>
        <v>4.1624874623871619E-3</v>
      </c>
      <c r="H59" s="232">
        <f t="shared" si="4"/>
        <v>4.1624874623871619E-3</v>
      </c>
      <c r="I59" s="232">
        <f t="shared" si="4"/>
        <v>4.1624874623871619E-3</v>
      </c>
      <c r="J59" s="232">
        <f t="shared" si="4"/>
        <v>4.1624874623871619E-3</v>
      </c>
      <c r="K59" s="232">
        <f t="shared" si="4"/>
        <v>4.1624874623871619E-3</v>
      </c>
      <c r="L59" s="232">
        <f t="shared" si="4"/>
        <v>4.1624874623871619E-3</v>
      </c>
      <c r="M59" s="232">
        <f t="shared" si="4"/>
        <v>4.1624874623871619E-3</v>
      </c>
      <c r="N59" s="232">
        <f t="shared" si="4"/>
        <v>4.1624874623871619E-3</v>
      </c>
      <c r="O59" s="232">
        <f t="shared" si="4"/>
        <v>4.5135406218655971E-3</v>
      </c>
      <c r="P59" s="233">
        <f>SUM(D59:O59)</f>
        <v>5.000000000000001E-2</v>
      </c>
      <c r="Q59" s="234">
        <v>2.5000000000000001E-2</v>
      </c>
      <c r="R59" s="235">
        <f t="shared" si="3"/>
        <v>2.5000000000000008E-2</v>
      </c>
      <c r="S59" s="229"/>
      <c r="T59" s="229"/>
      <c r="U59" s="229"/>
      <c r="V59" s="229"/>
      <c r="W59" s="229"/>
      <c r="X59" s="229"/>
      <c r="Y59" s="229"/>
      <c r="Z59" s="229"/>
      <c r="AA59" s="229"/>
      <c r="AB59" s="229"/>
      <c r="AC59" s="229"/>
      <c r="AD59" s="229"/>
    </row>
    <row r="60" spans="1:30" x14ac:dyDescent="0.25">
      <c r="A60" s="624"/>
      <c r="B60" s="626"/>
      <c r="C60" s="240" t="s">
        <v>72</v>
      </c>
      <c r="D60" s="237">
        <f t="shared" si="4"/>
        <v>4.0120361083249758E-3</v>
      </c>
      <c r="E60" s="237">
        <f t="shared" si="4"/>
        <v>4.0120361083249758E-3</v>
      </c>
      <c r="F60" s="237">
        <f t="shared" si="4"/>
        <v>4.1624874623871619E-3</v>
      </c>
      <c r="G60" s="237">
        <f t="shared" si="4"/>
        <v>4.1624874623871619E-3</v>
      </c>
      <c r="H60" s="237">
        <f t="shared" si="4"/>
        <v>4.1624874623871619E-3</v>
      </c>
      <c r="I60" s="237">
        <f t="shared" si="4"/>
        <v>4.0120361083249758E-3</v>
      </c>
      <c r="J60" s="237">
        <f t="shared" si="4"/>
        <v>0</v>
      </c>
      <c r="K60" s="237">
        <f t="shared" si="4"/>
        <v>0</v>
      </c>
      <c r="L60" s="237">
        <f t="shared" si="4"/>
        <v>0</v>
      </c>
      <c r="M60" s="237">
        <f t="shared" si="4"/>
        <v>0</v>
      </c>
      <c r="N60" s="237">
        <f t="shared" si="4"/>
        <v>0</v>
      </c>
      <c r="O60" s="237">
        <f t="shared" si="4"/>
        <v>0</v>
      </c>
      <c r="P60" s="238">
        <f>SUM(D60:O60)</f>
        <v>2.4523570712136414E-2</v>
      </c>
      <c r="Q60" s="239">
        <f>+P60</f>
        <v>2.4523570712136414E-2</v>
      </c>
      <c r="R60" s="235">
        <f t="shared" si="3"/>
        <v>0</v>
      </c>
      <c r="S60" s="229"/>
      <c r="T60" s="229"/>
      <c r="U60" s="229"/>
      <c r="V60" s="229"/>
      <c r="W60" s="229"/>
      <c r="X60" s="229"/>
      <c r="Y60" s="229"/>
      <c r="Z60" s="229"/>
      <c r="AA60" s="229"/>
      <c r="AB60" s="229"/>
      <c r="AC60" s="229"/>
      <c r="AD60" s="229"/>
    </row>
    <row r="61" spans="1:30" x14ac:dyDescent="0.25">
      <c r="A61" s="609"/>
      <c r="B61" s="611"/>
      <c r="C61" s="243"/>
      <c r="D61" s="232"/>
      <c r="E61" s="232"/>
      <c r="F61" s="232"/>
      <c r="G61" s="232"/>
      <c r="H61" s="232"/>
      <c r="I61" s="232"/>
      <c r="J61" s="232"/>
      <c r="K61" s="232"/>
      <c r="L61" s="232"/>
      <c r="M61" s="232"/>
      <c r="N61" s="232"/>
      <c r="O61" s="232"/>
      <c r="P61" s="244"/>
      <c r="Q61" s="234"/>
      <c r="R61" s="235"/>
      <c r="S61" s="229"/>
      <c r="T61" s="229"/>
      <c r="U61" s="229"/>
      <c r="V61" s="229"/>
      <c r="W61" s="229"/>
      <c r="X61" s="229"/>
      <c r="Y61" s="229"/>
      <c r="Z61" s="229"/>
      <c r="AA61" s="229"/>
      <c r="AB61" s="229"/>
      <c r="AC61" s="229"/>
      <c r="AD61" s="229"/>
    </row>
    <row r="62" spans="1:30" x14ac:dyDescent="0.25">
      <c r="A62" s="610"/>
      <c r="B62" s="612"/>
      <c r="C62" s="243"/>
      <c r="D62" s="247"/>
      <c r="E62" s="247"/>
      <c r="F62" s="247"/>
      <c r="G62" s="247"/>
      <c r="H62" s="247"/>
      <c r="I62" s="247"/>
      <c r="J62" s="247"/>
      <c r="K62" s="247"/>
      <c r="L62" s="247"/>
      <c r="M62" s="247"/>
      <c r="N62" s="247"/>
      <c r="O62" s="247"/>
      <c r="P62" s="244"/>
      <c r="Q62" s="239"/>
      <c r="R62" s="235"/>
      <c r="S62" s="229"/>
      <c r="T62" s="229"/>
      <c r="U62" s="229"/>
      <c r="V62" s="229"/>
      <c r="W62" s="229"/>
      <c r="X62" s="229"/>
      <c r="Y62" s="229"/>
      <c r="Z62" s="229"/>
      <c r="AA62" s="229"/>
      <c r="AB62" s="229"/>
      <c r="AC62" s="229"/>
      <c r="AD62" s="229"/>
    </row>
    <row r="63" spans="1:30" x14ac:dyDescent="0.25">
      <c r="A63" s="241"/>
      <c r="B63" s="242"/>
      <c r="C63" s="243"/>
      <c r="D63" s="232"/>
      <c r="E63" s="232"/>
      <c r="F63" s="232"/>
      <c r="G63" s="232"/>
      <c r="H63" s="232"/>
      <c r="I63" s="232"/>
      <c r="J63" s="232"/>
      <c r="K63" s="232"/>
      <c r="L63" s="232"/>
      <c r="M63" s="232"/>
      <c r="N63" s="232"/>
      <c r="O63" s="232"/>
      <c r="P63" s="244"/>
      <c r="Q63" s="234"/>
      <c r="R63" s="235"/>
      <c r="S63" s="229"/>
      <c r="T63" s="229"/>
      <c r="U63" s="229"/>
      <c r="V63" s="229"/>
      <c r="W63" s="229"/>
      <c r="X63" s="229"/>
      <c r="Y63" s="229"/>
      <c r="Z63" s="229"/>
      <c r="AA63" s="229"/>
      <c r="AB63" s="229"/>
      <c r="AC63" s="229"/>
      <c r="AD63" s="229"/>
    </row>
    <row r="64" spans="1:30" x14ac:dyDescent="0.25">
      <c r="A64" s="245"/>
      <c r="B64" s="246"/>
      <c r="C64" s="243"/>
      <c r="D64" s="247"/>
      <c r="E64" s="247"/>
      <c r="F64" s="247"/>
      <c r="G64" s="247"/>
      <c r="H64" s="247"/>
      <c r="I64" s="247"/>
      <c r="J64" s="247"/>
      <c r="K64" s="247"/>
      <c r="L64" s="247"/>
      <c r="M64" s="247"/>
      <c r="N64" s="247"/>
      <c r="O64" s="247"/>
      <c r="P64" s="244"/>
      <c r="Q64" s="239"/>
      <c r="R64" s="235"/>
      <c r="S64" s="229"/>
      <c r="T64" s="229"/>
      <c r="U64" s="229"/>
      <c r="V64" s="229"/>
      <c r="W64" s="229"/>
      <c r="X64" s="229"/>
      <c r="Y64" s="229"/>
      <c r="Z64" s="229"/>
      <c r="AA64" s="229"/>
      <c r="AB64" s="229"/>
      <c r="AC64" s="229"/>
      <c r="AD64" s="229"/>
    </row>
    <row r="65" spans="1:30" x14ac:dyDescent="0.25">
      <c r="A65" s="228"/>
      <c r="B65" s="248"/>
      <c r="C65" s="249"/>
      <c r="D65" s="250">
        <f>D58+D60</f>
        <v>1.3057262238978242E-2</v>
      </c>
      <c r="E65" s="250">
        <f t="shared" ref="E65:O65" si="5">E58+E60</f>
        <v>1.3057262238978242E-2</v>
      </c>
      <c r="F65" s="250">
        <f t="shared" si="5"/>
        <v>1.2705201030226359E-2</v>
      </c>
      <c r="G65" s="250">
        <f t="shared" si="5"/>
        <v>1.2705201030226359E-2</v>
      </c>
      <c r="H65" s="250">
        <f t="shared" si="5"/>
        <v>1.2705201030226359E-2</v>
      </c>
      <c r="I65" s="250">
        <f t="shared" si="5"/>
        <v>1.3057262238978242E-2</v>
      </c>
      <c r="J65" s="250">
        <f t="shared" si="5"/>
        <v>0</v>
      </c>
      <c r="K65" s="250">
        <f t="shared" si="5"/>
        <v>0</v>
      </c>
      <c r="L65" s="250">
        <f t="shared" si="5"/>
        <v>0</v>
      </c>
      <c r="M65" s="250">
        <f t="shared" si="5"/>
        <v>0</v>
      </c>
      <c r="N65" s="250">
        <f t="shared" si="5"/>
        <v>0</v>
      </c>
      <c r="O65" s="250">
        <f t="shared" si="5"/>
        <v>0</v>
      </c>
      <c r="P65" s="250">
        <f>P58+P60+P62</f>
        <v>7.7287389807613807E-2</v>
      </c>
      <c r="Q65" s="228"/>
      <c r="R65" s="235">
        <f t="shared" si="3"/>
        <v>7.7287389807613807E-2</v>
      </c>
      <c r="S65" s="229"/>
      <c r="T65" s="229"/>
      <c r="U65" s="229"/>
      <c r="V65" s="229"/>
      <c r="W65" s="229"/>
      <c r="X65" s="229"/>
      <c r="Y65" s="229"/>
      <c r="Z65" s="229"/>
      <c r="AA65" s="229"/>
      <c r="AB65" s="229"/>
      <c r="AC65" s="229"/>
      <c r="AD65" s="229"/>
    </row>
    <row r="66" spans="1:30" x14ac:dyDescent="0.25">
      <c r="A66" s="228"/>
      <c r="B66" s="251"/>
      <c r="C66" s="252" t="s">
        <v>72</v>
      </c>
      <c r="D66" s="253">
        <f>D65*$W$17/$B$34</f>
        <v>2.1762103731630403E-2</v>
      </c>
      <c r="E66" s="253">
        <f t="shared" ref="E66:O66" si="6">E65*$W$17/$B$34</f>
        <v>2.1762103731630403E-2</v>
      </c>
      <c r="F66" s="253">
        <f t="shared" si="6"/>
        <v>2.1175335050377265E-2</v>
      </c>
      <c r="G66" s="253">
        <f t="shared" si="6"/>
        <v>2.1175335050377265E-2</v>
      </c>
      <c r="H66" s="253">
        <f t="shared" si="6"/>
        <v>2.1175335050377265E-2</v>
      </c>
      <c r="I66" s="253">
        <f t="shared" si="6"/>
        <v>2.1762103731630403E-2</v>
      </c>
      <c r="J66" s="253">
        <f t="shared" si="6"/>
        <v>0</v>
      </c>
      <c r="K66" s="253">
        <f t="shared" si="6"/>
        <v>0</v>
      </c>
      <c r="L66" s="253">
        <f t="shared" si="6"/>
        <v>0</v>
      </c>
      <c r="M66" s="253">
        <f t="shared" si="6"/>
        <v>0</v>
      </c>
      <c r="N66" s="253">
        <f t="shared" si="6"/>
        <v>0</v>
      </c>
      <c r="O66" s="253">
        <f t="shared" si="6"/>
        <v>0</v>
      </c>
      <c r="P66" s="254">
        <f>SUM(D66:O66)</f>
        <v>0.128812316346023</v>
      </c>
      <c r="Q66" s="255"/>
      <c r="R66" s="228"/>
      <c r="S66" s="229"/>
      <c r="T66" s="229"/>
      <c r="U66" s="229"/>
      <c r="V66" s="229"/>
      <c r="W66" s="229"/>
      <c r="X66" s="229"/>
      <c r="Y66" s="229"/>
      <c r="Z66" s="229"/>
      <c r="AA66" s="229"/>
      <c r="AB66" s="229"/>
      <c r="AC66" s="229"/>
      <c r="AD66" s="229"/>
    </row>
    <row r="67" spans="1:30" x14ac:dyDescent="0.25">
      <c r="A67" s="255"/>
      <c r="B67" s="256"/>
      <c r="C67" s="256"/>
      <c r="D67" s="256"/>
      <c r="E67" s="256"/>
      <c r="F67" s="256"/>
      <c r="G67" s="256"/>
      <c r="H67" s="256"/>
      <c r="I67" s="256"/>
      <c r="J67" s="256"/>
      <c r="K67" s="256"/>
      <c r="L67" s="256"/>
      <c r="M67" s="256"/>
      <c r="N67" s="256"/>
      <c r="O67" s="256"/>
      <c r="P67" s="256"/>
      <c r="Q67" s="255"/>
      <c r="R67" s="255"/>
      <c r="S67" s="229"/>
      <c r="T67" s="229"/>
      <c r="U67" s="229"/>
      <c r="V67" s="229"/>
      <c r="W67" s="229"/>
      <c r="X67" s="229"/>
      <c r="Y67" s="229"/>
      <c r="Z67" s="229"/>
      <c r="AA67" s="229"/>
      <c r="AB67" s="229"/>
      <c r="AC67" s="229"/>
      <c r="AD67" s="229"/>
    </row>
    <row r="68" spans="1:30" x14ac:dyDescent="0.25">
      <c r="A68" s="234"/>
      <c r="B68" s="108"/>
      <c r="C68" s="108"/>
      <c r="D68" s="250">
        <f>+D57+D59</f>
        <v>1.3057262238978242E-2</v>
      </c>
      <c r="E68" s="250">
        <f t="shared" ref="E68:O68" si="7">+E57+E59</f>
        <v>1.3057262238978242E-2</v>
      </c>
      <c r="F68" s="250">
        <f t="shared" si="7"/>
        <v>1.2705201030226359E-2</v>
      </c>
      <c r="G68" s="250">
        <f t="shared" si="7"/>
        <v>1.2705201030226359E-2</v>
      </c>
      <c r="H68" s="250">
        <f t="shared" si="7"/>
        <v>1.2705201030226359E-2</v>
      </c>
      <c r="I68" s="250">
        <f t="shared" si="7"/>
        <v>1.2705201030226359E-2</v>
      </c>
      <c r="J68" s="250">
        <f t="shared" si="7"/>
        <v>1.2705201030226359E-2</v>
      </c>
      <c r="K68" s="250">
        <f t="shared" si="7"/>
        <v>1.2705201030226359E-2</v>
      </c>
      <c r="L68" s="250">
        <f t="shared" si="7"/>
        <v>1.2705201030226359E-2</v>
      </c>
      <c r="M68" s="250">
        <f t="shared" si="7"/>
        <v>1.2705201030226359E-2</v>
      </c>
      <c r="N68" s="250">
        <f t="shared" si="7"/>
        <v>1.2705201030226359E-2</v>
      </c>
      <c r="O68" s="250">
        <f t="shared" si="7"/>
        <v>9.5386662500063016E-3</v>
      </c>
      <c r="P68" s="250">
        <f>+P57+P59+P61</f>
        <v>0.15000000000000005</v>
      </c>
      <c r="Q68" s="234"/>
      <c r="R68" s="234"/>
      <c r="S68" s="229"/>
      <c r="T68" s="229"/>
      <c r="U68" s="229"/>
      <c r="V68" s="229"/>
      <c r="W68" s="229"/>
      <c r="X68" s="229"/>
      <c r="Y68" s="229"/>
      <c r="Z68" s="229"/>
      <c r="AA68" s="229"/>
      <c r="AB68" s="229"/>
      <c r="AC68" s="229"/>
      <c r="AD68" s="229"/>
    </row>
    <row r="69" spans="1:30" x14ac:dyDescent="0.25">
      <c r="A69" s="234"/>
      <c r="B69" s="108"/>
      <c r="C69" s="252" t="s">
        <v>68</v>
      </c>
      <c r="D69" s="253">
        <f>D68*$W$17/$B$34</f>
        <v>2.1762103731630403E-2</v>
      </c>
      <c r="E69" s="253">
        <f t="shared" ref="E69:O69" si="8">E68*$W$17/$B$34</f>
        <v>2.1762103731630403E-2</v>
      </c>
      <c r="F69" s="253">
        <f t="shared" si="8"/>
        <v>2.1175335050377265E-2</v>
      </c>
      <c r="G69" s="253">
        <f t="shared" si="8"/>
        <v>2.1175335050377265E-2</v>
      </c>
      <c r="H69" s="253">
        <f t="shared" si="8"/>
        <v>2.1175335050377265E-2</v>
      </c>
      <c r="I69" s="253">
        <f t="shared" si="8"/>
        <v>2.1175335050377265E-2</v>
      </c>
      <c r="J69" s="253">
        <f t="shared" si="8"/>
        <v>2.1175335050377265E-2</v>
      </c>
      <c r="K69" s="253">
        <f t="shared" si="8"/>
        <v>2.1175335050377265E-2</v>
      </c>
      <c r="L69" s="253">
        <f t="shared" si="8"/>
        <v>2.1175335050377265E-2</v>
      </c>
      <c r="M69" s="253">
        <f t="shared" si="8"/>
        <v>2.1175335050377265E-2</v>
      </c>
      <c r="N69" s="253">
        <f t="shared" si="8"/>
        <v>2.1175335050377265E-2</v>
      </c>
      <c r="O69" s="253">
        <f t="shared" si="8"/>
        <v>1.5897777083343837E-2</v>
      </c>
      <c r="P69" s="254">
        <f>SUM(D69:O69)</f>
        <v>0.25000000000000011</v>
      </c>
      <c r="Q69" s="234"/>
      <c r="R69" s="234"/>
      <c r="S69" s="229"/>
      <c r="T69" s="229"/>
      <c r="U69" s="229"/>
      <c r="V69" s="229"/>
      <c r="W69" s="229"/>
      <c r="X69" s="229"/>
      <c r="Y69" s="229"/>
      <c r="Z69" s="229"/>
      <c r="AA69" s="229"/>
      <c r="AB69" s="229"/>
      <c r="AC69" s="229"/>
      <c r="AD69" s="229"/>
    </row>
    <row r="70" spans="1:30" x14ac:dyDescent="0.25">
      <c r="A70" s="229"/>
      <c r="Q70" s="229"/>
      <c r="R70" s="229"/>
      <c r="S70" s="229"/>
      <c r="T70" s="229"/>
      <c r="U70" s="229"/>
      <c r="V70" s="229"/>
      <c r="W70" s="229"/>
      <c r="X70" s="229"/>
      <c r="Y70" s="229"/>
      <c r="Z70" s="229"/>
      <c r="AA70" s="229"/>
      <c r="AB70" s="229"/>
      <c r="AC70" s="229"/>
      <c r="AD70" s="229"/>
    </row>
    <row r="71" spans="1:30" x14ac:dyDescent="0.25">
      <c r="A71" s="229"/>
      <c r="Q71" s="229"/>
      <c r="R71" s="229"/>
      <c r="S71" s="229"/>
      <c r="T71" s="229"/>
      <c r="U71" s="229"/>
      <c r="V71" s="229"/>
      <c r="W71" s="229"/>
      <c r="X71" s="229"/>
      <c r="Y71" s="229"/>
      <c r="Z71" s="229"/>
      <c r="AA71" s="229"/>
      <c r="AB71" s="229"/>
      <c r="AC71" s="229"/>
      <c r="AD71" s="229"/>
    </row>
    <row r="72" spans="1:30" x14ac:dyDescent="0.25">
      <c r="A72" s="229"/>
      <c r="Q72" s="229"/>
      <c r="R72" s="229"/>
      <c r="S72" s="229"/>
      <c r="T72" s="229"/>
      <c r="U72" s="229"/>
      <c r="V72" s="229"/>
      <c r="W72" s="229"/>
      <c r="X72" s="229"/>
      <c r="Y72" s="229"/>
      <c r="Z72" s="229"/>
      <c r="AA72" s="229"/>
      <c r="AB72" s="229"/>
      <c r="AC72" s="229"/>
      <c r="AD72" s="229"/>
    </row>
    <row r="73" spans="1:30" x14ac:dyDescent="0.25">
      <c r="A73" s="229"/>
      <c r="Q73" s="229"/>
      <c r="R73" s="229"/>
      <c r="S73" s="229"/>
      <c r="T73" s="229"/>
      <c r="U73" s="229"/>
      <c r="V73" s="229"/>
      <c r="W73" s="229"/>
      <c r="X73" s="229"/>
      <c r="Y73" s="229"/>
      <c r="Z73" s="229"/>
      <c r="AA73" s="229"/>
      <c r="AB73" s="229"/>
      <c r="AC73" s="229"/>
      <c r="AD73" s="229"/>
    </row>
    <row r="74" spans="1:30" x14ac:dyDescent="0.25">
      <c r="A74" s="229"/>
      <c r="Q74" s="229"/>
      <c r="R74" s="229"/>
      <c r="S74" s="229"/>
      <c r="T74" s="229"/>
      <c r="U74" s="229"/>
      <c r="V74" s="229"/>
      <c r="W74" s="229"/>
      <c r="X74" s="229"/>
      <c r="Y74" s="229"/>
      <c r="Z74" s="229"/>
      <c r="AA74" s="229"/>
      <c r="AB74" s="229"/>
      <c r="AC74" s="229"/>
      <c r="AD74" s="229"/>
    </row>
    <row r="75" spans="1:30" x14ac:dyDescent="0.25">
      <c r="A75" s="229"/>
      <c r="Q75" s="229"/>
      <c r="R75" s="229"/>
      <c r="S75" s="229"/>
      <c r="T75" s="229"/>
      <c r="U75" s="229"/>
      <c r="V75" s="229"/>
      <c r="W75" s="229"/>
      <c r="X75" s="229"/>
      <c r="Y75" s="229"/>
      <c r="Z75" s="229"/>
      <c r="AA75" s="229"/>
      <c r="AB75" s="229"/>
      <c r="AC75" s="229"/>
      <c r="AD75" s="229"/>
    </row>
    <row r="76" spans="1:30" x14ac:dyDescent="0.25">
      <c r="A76" s="229"/>
      <c r="Q76" s="229"/>
      <c r="R76" s="229"/>
      <c r="S76" s="229"/>
      <c r="T76" s="229"/>
      <c r="U76" s="229"/>
      <c r="V76" s="229"/>
      <c r="W76" s="229"/>
      <c r="X76" s="229"/>
      <c r="Y76" s="229"/>
      <c r="Z76" s="229"/>
      <c r="AA76" s="229"/>
      <c r="AB76" s="229"/>
      <c r="AC76" s="229"/>
      <c r="AD76" s="229"/>
    </row>
    <row r="77" spans="1:30" x14ac:dyDescent="0.25">
      <c r="A77" s="229"/>
      <c r="Q77" s="229"/>
      <c r="R77" s="229"/>
      <c r="S77" s="229"/>
      <c r="T77" s="229"/>
      <c r="U77" s="229"/>
      <c r="V77" s="229"/>
      <c r="W77" s="229"/>
      <c r="X77" s="229"/>
      <c r="Y77" s="229"/>
      <c r="Z77" s="229"/>
      <c r="AA77" s="229"/>
      <c r="AB77" s="229"/>
      <c r="AC77" s="229"/>
      <c r="AD77" s="229"/>
    </row>
  </sheetData>
  <mergeCells count="86">
    <mergeCell ref="A61:A62"/>
    <mergeCell ref="B61:B62"/>
    <mergeCell ref="A55:A56"/>
    <mergeCell ref="B55:B56"/>
    <mergeCell ref="C55:P55"/>
    <mergeCell ref="A57:A58"/>
    <mergeCell ref="B57:B58"/>
    <mergeCell ref="A59:A60"/>
    <mergeCell ref="B59:B60"/>
    <mergeCell ref="A1:A4"/>
    <mergeCell ref="B1:AA1"/>
    <mergeCell ref="O7:P7"/>
    <mergeCell ref="M8:N8"/>
    <mergeCell ref="O8:P8"/>
    <mergeCell ref="AB1:AD1"/>
    <mergeCell ref="B2:AA2"/>
    <mergeCell ref="AB2:AD2"/>
    <mergeCell ref="B3:AA4"/>
    <mergeCell ref="AB3:AD3"/>
    <mergeCell ref="AB4:AD4"/>
    <mergeCell ref="A11:B13"/>
    <mergeCell ref="C11:AD13"/>
    <mergeCell ref="A7:B9"/>
    <mergeCell ref="C7:C9"/>
    <mergeCell ref="D7:H9"/>
    <mergeCell ref="I7:J9"/>
    <mergeCell ref="K7:L9"/>
    <mergeCell ref="M7:N7"/>
    <mergeCell ref="M9:N9"/>
    <mergeCell ref="O9:P9"/>
    <mergeCell ref="AA15:AD15"/>
    <mergeCell ref="C16:AB16"/>
    <mergeCell ref="A17:B17"/>
    <mergeCell ref="C17:Q17"/>
    <mergeCell ref="R17:V17"/>
    <mergeCell ref="W17:X17"/>
    <mergeCell ref="Y17:AB17"/>
    <mergeCell ref="AC17:AD17"/>
    <mergeCell ref="A15:B15"/>
    <mergeCell ref="C15:K15"/>
    <mergeCell ref="L15:Q15"/>
    <mergeCell ref="R15:X15"/>
    <mergeCell ref="Y15:Z15"/>
    <mergeCell ref="A19:AD19"/>
    <mergeCell ref="C20:P20"/>
    <mergeCell ref="Q20:AD20"/>
    <mergeCell ref="A22:B22"/>
    <mergeCell ref="A23:B23"/>
    <mergeCell ref="B30:C30"/>
    <mergeCell ref="Q30:AD30"/>
    <mergeCell ref="A31:AD31"/>
    <mergeCell ref="A32:A33"/>
    <mergeCell ref="B32:B33"/>
    <mergeCell ref="C32:C33"/>
    <mergeCell ref="D32:P32"/>
    <mergeCell ref="A24:B24"/>
    <mergeCell ref="A25:B25"/>
    <mergeCell ref="A27:AD27"/>
    <mergeCell ref="A28:A29"/>
    <mergeCell ref="B28:C29"/>
    <mergeCell ref="D28:O28"/>
    <mergeCell ref="P28:P29"/>
    <mergeCell ref="Q28:AD29"/>
    <mergeCell ref="A34:A35"/>
    <mergeCell ref="Q32:AD32"/>
    <mergeCell ref="Q33:S33"/>
    <mergeCell ref="T33:V33"/>
    <mergeCell ref="W33:Z33"/>
    <mergeCell ref="AA33:AD33"/>
    <mergeCell ref="B34:B35"/>
    <mergeCell ref="AF22:AM25"/>
    <mergeCell ref="Q34:S35"/>
    <mergeCell ref="T34:V35"/>
    <mergeCell ref="A40:A41"/>
    <mergeCell ref="B40:B41"/>
    <mergeCell ref="Q40:AD41"/>
    <mergeCell ref="A36:A37"/>
    <mergeCell ref="B36:B37"/>
    <mergeCell ref="C36:P36"/>
    <mergeCell ref="Q36:AD36"/>
    <mergeCell ref="Q37:AD37"/>
    <mergeCell ref="A38:A39"/>
    <mergeCell ref="B38:B39"/>
    <mergeCell ref="Q38:AD39"/>
    <mergeCell ref="W34:Z35"/>
    <mergeCell ref="AA34:AD35"/>
  </mergeCells>
  <dataValidations count="3">
    <dataValidation type="list" allowBlank="1" showInputMessage="1" showErrorMessage="1" sqref="C7:C9" xr:uid="{CCE8E7B6-6D0A-4866-8D5A-2CB941117DB8}">
      <formula1>$C$21:$N$21</formula1>
    </dataValidation>
    <dataValidation type="textLength" operator="lessThanOrEqual" allowBlank="1" showInputMessage="1" showErrorMessage="1" errorTitle="Máximo 2.000 caracteres" error="Máximo 2.000 caracteres" promptTitle="2.000 caracteres" sqref="Q30:AD30" xr:uid="{00000000-0002-0000-0600-000001000000}">
      <formula1>2000</formula1>
    </dataValidation>
    <dataValidation type="textLength" operator="lessThanOrEqual" allowBlank="1" showInputMessage="1" showErrorMessage="1" errorTitle="Máximo 2.000 caracteres" error="Máximo 2.000 caracteres" sqref="AA34 Q34 Q38:AD41" xr:uid="{00000000-0002-0000-0600-000002000000}">
      <formula1>2000</formula1>
    </dataValidation>
  </dataValidations>
  <pageMargins left="0.23622047244094491" right="0.23622047244094491" top="0.74803149606299213" bottom="0.74803149606299213" header="0.31496062992125984" footer="0.31496062992125984"/>
  <pageSetup paperSize="119" scale="35" orientation="landscape" r:id="rId1"/>
  <customProperties>
    <customPr name="_pios_id" r:id="rId2"/>
  </customProperties>
  <ignoredErrors>
    <ignoredError sqref="W24 Z24" formula="1"/>
  </ignoredErrors>
  <drawing r:id="rId3"/>
  <legacyDrawing r:id="rId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LongProperties xmlns="http://schemas.microsoft.com/office/2006/metadata/longProperties">
  <LongProp xmlns="" name="display_urn_x003a_schemas_x002d_microsoft_x002d_com_x003a_office_x003a_office_x0023_SharedWithUsers"><![CDATA[Girlesa Andrea Santos Medina;Iliana Maria Espitia Sutachan;Carol Dayana Quintero Hernandez;Carol Viviana Rozo Almonacid;Laura Camila Diaz Garcia;Ilsa Carlota Alméciga Romero;Ivette Shirley Sepulveda Sanabria;Rafael Eduardo Ronderos Garcia;Nestor Moreno Gutierrez;Claudia Marcela Rodríguez Pinzón;Angela Marcela Forero Ruiz;Miguel Giovanny Gómez López;Yanira Galindo Páez]]></LongProp>
  <LongProp xmlns="" name="SharedWithUsers"><![CDATA[680;#Girlesa Andrea Santos Medina;#681;#Iliana Maria Espitia Sutachan;#308;#Carol Dayana Quintero Hernandez;#57;#Carol Viviana Rozo Almonacid;#549;#Laura Camila Diaz Garcia;#122;#Ilsa Carlota Alméciga Romero;#63;#Ivette Shirley Sepulveda Sanabria;#652;#Rafael Eduardo Ronderos Garcia;#673;#Nestor Moreno Gutierrez;#92;#Claudia Marcela Rodríguez Pinzón;#27;#Angela Marcela Forero Ruiz;#654;#Miguel Giovanny Gómez López;#672;#Yanira Galindo Páez]]></LongProp>
</Long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f5e60779-6af5-4dde-a1c8-ebb5582c629e" xsi:nil="true"/>
    <lcf76f155ced4ddcb4097134ff3c332f xmlns="bfb5676e-0d71-42df-8fc5-13002709b90b">
      <Terms xmlns="http://schemas.microsoft.com/office/infopath/2007/PartnerControls"/>
    </lcf76f155ced4ddcb4097134ff3c332f>
    <SharedWithUsers xmlns="f5e60779-6af5-4dde-a1c8-ebb5582c629e">
      <UserInfo>
        <DisplayName>Girlesa Andrea Santos Medina</DisplayName>
        <AccountId>680</AccountId>
        <AccountType/>
      </UserInfo>
      <UserInfo>
        <DisplayName>Iliana Maria Espitia Sutachan</DisplayName>
        <AccountId>681</AccountId>
        <AccountType/>
      </UserInfo>
      <UserInfo>
        <DisplayName>Carol Dayana Quintero Hernandez</DisplayName>
        <AccountId>308</AccountId>
        <AccountType/>
      </UserInfo>
      <UserInfo>
        <DisplayName>Carol Viviana Rozo Almonacid</DisplayName>
        <AccountId>57</AccountId>
        <AccountType/>
      </UserInfo>
      <UserInfo>
        <DisplayName>Laura Camila Diaz Garcia</DisplayName>
        <AccountId>549</AccountId>
        <AccountType/>
      </UserInfo>
      <UserInfo>
        <DisplayName>Ilsa Carlota Alméciga Romero</DisplayName>
        <AccountId>122</AccountId>
        <AccountType/>
      </UserInfo>
      <UserInfo>
        <DisplayName>Ivette Shirley Sepulveda Sanabria</DisplayName>
        <AccountId>63</AccountId>
        <AccountType/>
      </UserInfo>
      <UserInfo>
        <DisplayName>Ra</DisplayName>
        <AccountId>652</AccountId>
        <AccountType/>
      </UserInfo>
    </SharedWithUsers>
  </documentManagement>
</p:properties>
</file>

<file path=customXml/item4.xml><?xml version="1.0" encoding="utf-8"?>
<ct:contentTypeSchema xmlns:ct="http://schemas.microsoft.com/office/2006/metadata/contentType" xmlns:ma="http://schemas.microsoft.com/office/2006/metadata/properties/metaAttributes" ct:_="" ma:_="" ma:contentTypeName="Documento" ma:contentTypeID="0x010100ED341F55659C9A4985F05E4B957308E7" ma:contentTypeVersion="17" ma:contentTypeDescription="Crear nuevo documento." ma:contentTypeScope="" ma:versionID="d956573d87abb794c4a9810d20ba9997">
  <xsd:schema xmlns:xsd="http://www.w3.org/2001/XMLSchema" xmlns:xs="http://www.w3.org/2001/XMLSchema" xmlns:p="http://schemas.microsoft.com/office/2006/metadata/properties" xmlns:ns2="bfb5676e-0d71-42df-8fc5-13002709b90b" xmlns:ns3="f5e60779-6af5-4dde-a1c8-ebb5582c629e" targetNamespace="http://schemas.microsoft.com/office/2006/metadata/properties" ma:root="true" ma:fieldsID="17bacb17f57d4cda79cc9468e4177047" ns2:_="" ns3:_="">
    <xsd:import namespace="bfb5676e-0d71-42df-8fc5-13002709b90b"/>
    <xsd:import namespace="f5e60779-6af5-4dde-a1c8-ebb5582c629e"/>
    <xsd:element name="properties">
      <xsd:complexType>
        <xsd:sequence>
          <xsd:element name="documentManagement">
            <xsd:complexType>
              <xsd:all>
                <xsd:element ref="ns2:MediaServiceMetadata" minOccurs="0"/>
                <xsd:element ref="ns2:MediaServiceFastMetadata"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element ref="ns2:MediaLengthInSeconds" minOccurs="0"/>
                <xsd:element ref="ns2:MediaServiceAutoKeyPoints" minOccurs="0"/>
                <xsd:element ref="ns2:MediaServiceKeyPoints" minOccurs="0"/>
                <xsd:element ref="ns2:MediaServiceLocation"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fb5676e-0d71-42df-8fc5-13002709b90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Extracted Text" ma:internalName="MediaServiceOCR" ma:readOnly="true">
      <xsd:simpleType>
        <xsd:restriction base="dms:Note">
          <xsd:maxLength value="255"/>
        </xsd:restriction>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DateTaken" ma:index="15" nillable="true" ma:displayName="MediaServiceDateTaken" ma:hidden="true" ma:internalName="MediaServiceDateTaken" ma:readOnly="true">
      <xsd:simpleType>
        <xsd:restriction base="dms:Text"/>
      </xsd:simpleType>
    </xsd:element>
    <xsd:element name="MediaLengthInSeconds" ma:index="16" nillable="true" ma:displayName="Length (seconds)" ma:internalName="MediaLengthInSeconds" ma:readOnly="true">
      <xsd:simpleType>
        <xsd:restriction base="dms:Unknown"/>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Location" ma:index="19" nillable="true" ma:displayName="Location" ma:internalName="MediaServiceLocation" ma:readOnly="true">
      <xsd:simpleType>
        <xsd:restriction base="dms:Text"/>
      </xsd:simpleType>
    </xsd:element>
    <xsd:element name="lcf76f155ced4ddcb4097134ff3c332f" ma:index="21" nillable="true" ma:taxonomy="true" ma:internalName="lcf76f155ced4ddcb4097134ff3c332f" ma:taxonomyFieldName="MediaServiceImageTags" ma:displayName="Etiquetas de imagen" ma:readOnly="false" ma:fieldId="{5cf76f15-5ced-4ddc-b409-7134ff3c332f}" ma:taxonomyMulti="true" ma:sspId="0502971d-3a7e-42d3-b9b5-ba916876657b" ma:termSetId="09814cd3-568e-fe90-9814-8d621ff8fb84" ma:anchorId="fba54fb3-c3e1-fe81-a776-ca4b69148c4d" ma:open="true" ma:isKeyword="false">
      <xsd:complexType>
        <xsd:sequence>
          <xsd:element ref="pc:Terms" minOccurs="0" maxOccurs="1"/>
        </xsd:sequence>
      </xsd:complexType>
    </xsd:element>
    <xsd:element name="MediaServiceSearchProperties" ma:index="23"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f5e60779-6af5-4dde-a1c8-ebb5582c629e" elementFormDefault="qualified">
    <xsd:import namespace="http://schemas.microsoft.com/office/2006/documentManagement/types"/>
    <xsd:import namespace="http://schemas.microsoft.com/office/infopath/2007/PartnerControls"/>
    <xsd:element name="SharedWithUsers" ma:index="13"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Detalles de uso compartido" ma:internalName="SharedWithDetails" ma:readOnly="true">
      <xsd:simpleType>
        <xsd:restriction base="dms:Note">
          <xsd:maxLength value="255"/>
        </xsd:restriction>
      </xsd:simpleType>
    </xsd:element>
    <xsd:element name="TaxCatchAll" ma:index="22" nillable="true" ma:displayName="Taxonomy Catch All Column" ma:hidden="true" ma:list="{6691ca9c-6b0b-4471-b295-8a95b19cc813}" ma:internalName="TaxCatchAll" ma:showField="CatchAllData" ma:web="f5e60779-6af5-4dde-a1c8-ebb5582c629e">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2755F45-56CF-4922-B831-05FE8D765C4E}">
  <ds:schemaRefs>
    <ds:schemaRef ds:uri="http://schemas.microsoft.com/office/2006/metadata/longProperties"/>
    <ds:schemaRef ds:uri=""/>
  </ds:schemaRefs>
</ds:datastoreItem>
</file>

<file path=customXml/itemProps2.xml><?xml version="1.0" encoding="utf-8"?>
<ds:datastoreItem xmlns:ds="http://schemas.openxmlformats.org/officeDocument/2006/customXml" ds:itemID="{E0F8F493-500F-4D8B-AD15-7D8853B38986}">
  <ds:schemaRefs>
    <ds:schemaRef ds:uri="http://schemas.microsoft.com/sharepoint/v3/contenttype/forms"/>
  </ds:schemaRefs>
</ds:datastoreItem>
</file>

<file path=customXml/itemProps3.xml><?xml version="1.0" encoding="utf-8"?>
<ds:datastoreItem xmlns:ds="http://schemas.openxmlformats.org/officeDocument/2006/customXml" ds:itemID="{271AEF18-ED97-4A63-9151-0A451046D2D7}">
  <ds:schemaRefs>
    <ds:schemaRef ds:uri="http://schemas.microsoft.com/office/2006/metadata/properties"/>
    <ds:schemaRef ds:uri="http://schemas.microsoft.com/office/infopath/2007/PartnerControls"/>
    <ds:schemaRef ds:uri="f5e60779-6af5-4dde-a1c8-ebb5582c629e"/>
    <ds:schemaRef ds:uri="bfb5676e-0d71-42df-8fc5-13002709b90b"/>
  </ds:schemaRefs>
</ds:datastoreItem>
</file>

<file path=customXml/itemProps4.xml><?xml version="1.0" encoding="utf-8"?>
<ds:datastoreItem xmlns:ds="http://schemas.openxmlformats.org/officeDocument/2006/customXml" ds:itemID="{B16B3A02-E73F-47F4-A68F-FF3273135D2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fb5676e-0d71-42df-8fc5-13002709b90b"/>
    <ds:schemaRef ds:uri="f5e60779-6af5-4dde-a1c8-ebb5582c629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9</vt:i4>
      </vt:variant>
    </vt:vector>
  </HeadingPairs>
  <TitlesOfParts>
    <vt:vector size="25" baseType="lpstr">
      <vt:lpstr>Meta 1</vt:lpstr>
      <vt:lpstr>Meta 2</vt:lpstr>
      <vt:lpstr>Meta 3</vt:lpstr>
      <vt:lpstr>Meta 4</vt:lpstr>
      <vt:lpstr>Meta 5</vt:lpstr>
      <vt:lpstr>Meta 6</vt:lpstr>
      <vt:lpstr>Meta 5.</vt:lpstr>
      <vt:lpstr>Meta 6.</vt:lpstr>
      <vt:lpstr>Meta 7</vt:lpstr>
      <vt:lpstr>Meta 1..n</vt:lpstr>
      <vt:lpstr>Indicadores PA</vt:lpstr>
      <vt:lpstr>Territorialización PA</vt:lpstr>
      <vt:lpstr>Generalidades</vt:lpstr>
      <vt:lpstr>Instructivo</vt:lpstr>
      <vt:lpstr>Hoja13</vt:lpstr>
      <vt:lpstr>Hoja1</vt:lpstr>
      <vt:lpstr>'Meta 1'!Área_de_impresión</vt:lpstr>
      <vt:lpstr>'Meta 2'!Área_de_impresión</vt:lpstr>
      <vt:lpstr>'Meta 3'!Área_de_impresión</vt:lpstr>
      <vt:lpstr>'Meta 4'!Área_de_impresión</vt:lpstr>
      <vt:lpstr>'Meta 5'!Área_de_impresión</vt:lpstr>
      <vt:lpstr>'Meta 5.'!Área_de_impresión</vt:lpstr>
      <vt:lpstr>'Meta 6'!Área_de_impresión</vt:lpstr>
      <vt:lpstr>'Meta 6.'!Área_de_impresión</vt:lpstr>
      <vt:lpstr>'Meta 7'!Área_de_impresión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fhinestroza</dc:creator>
  <cp:keywords/>
  <dc:description/>
  <cp:lastModifiedBy>ANGELA MARCELA FORERO RUIZ</cp:lastModifiedBy>
  <cp:revision/>
  <dcterms:created xsi:type="dcterms:W3CDTF">2011-04-26T22:16:52Z</dcterms:created>
  <dcterms:modified xsi:type="dcterms:W3CDTF">2023-07-24T15:33:30Z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0x010100ED341F55659C9A4985F05E4B957308E7</vt:lpwstr>
  </property>
  <property fmtid="{D5CDD505-2E9C-101B-9397-08002B2CF9AE}" pid="3" name="display_urn:schemas-microsoft-com:office:office#SharedWithUsers">
    <vt:lpwstr>Girlesa Andrea Santos Medina;Iliana Maria Espitia Sutachan;Carol Dayana Quintero Hernandez;Carol Viviana Rozo Almonacid;Laura Camila Diaz Garcia;Ilsa Carlota Alméciga Romero;Ivette Shirley Sepulveda Sanabria;Rafael Eduardo Ronderos Garcia;Nestor Moreno Gu</vt:lpwstr>
  </property>
  <property fmtid="{D5CDD505-2E9C-101B-9397-08002B2CF9AE}" pid="4" name="SharedWithUsers">
    <vt:lpwstr>680;#Girlesa Andrea Santos Medina;#681;#Iliana Maria Espitia Sutachan;#308;#Carol Dayana Quintero Hernandez;#57;#Carol Viviana Rozo Almonacid;#549;#Laura Camila Diaz Garcia;#122;#Ilsa Carlota Alméciga Romero;#63;#Ivette Shirley Sepulveda Sanabria;#652;#Ra</vt:lpwstr>
  </property>
  <property fmtid="{D5CDD505-2E9C-101B-9397-08002B2CF9AE}" pid="5" name="MediaServiceImageTags">
    <vt:lpwstr/>
  </property>
</Properties>
</file>