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0.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1.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6" activeTab="7"/>
  </bookViews>
  <sheets>
    <sheet name="Metas PA proyecto" sheetId="1" state="hidden" r:id="rId1"/>
    <sheet name="Meta 1..n" sheetId="2" state="hidden" r:id="rId2"/>
    <sheet name="Indicadores PA" sheetId="3" state="hidden" r:id="rId3"/>
    <sheet name="Territorialización PA" sheetId="4" state="hidden" r:id="rId4"/>
    <sheet name="Instructivo" sheetId="5" state="hidden" r:id="rId5"/>
    <sheet name="Generalidades" sheetId="6" state="hidden" r:id="rId6"/>
    <sheet name="RESERVA" sheetId="7" r:id="rId7"/>
    <sheet name="VIGENCIA" sheetId="8" r:id="rId8"/>
    <sheet name="Meta 1" sheetId="9" r:id="rId9"/>
    <sheet name="Metas 2" sheetId="10" r:id="rId10"/>
    <sheet name="Meta 3" sheetId="11" r:id="rId11"/>
    <sheet name="Meta 4" sheetId="12" r:id="rId12"/>
    <sheet name="1. Ind. PA - DE" sheetId="13" r:id="rId13"/>
    <sheet name="2. Ind PA - GT" sheetId="14" r:id="rId14"/>
    <sheet name="3. Ind PA - TH" sheetId="15" r:id="rId15"/>
    <sheet name="4. Ind PA - Planeación" sheetId="16" r:id="rId16"/>
    <sheet name="5. Ind PA - Seg Ev y C" sheetId="17" r:id="rId17"/>
    <sheet name="6. Ind PA - GD" sheetId="18" r:id="rId18"/>
    <sheet name="7. Ind PA - GF" sheetId="19" r:id="rId19"/>
    <sheet name="8. Ind PA - GA" sheetId="20" r:id="rId20"/>
    <sheet name="9. Ind PA - CDI" sheetId="21" r:id="rId21"/>
    <sheet name="10. Ind PA - Contratación" sheetId="22" r:id="rId22"/>
    <sheet name="11. Ind PA - AC" sheetId="23" r:id="rId23"/>
    <sheet name="12. Ind PA - OAJ" sheetId="24" r:id="rId24"/>
    <sheet name="Hoja13" sheetId="25" r:id="rId25"/>
    <sheet name="Hoja1" sheetId="26" r:id="rId26"/>
  </sheets>
  <externalReferences>
    <externalReference r:id="rId29"/>
  </externalReferences>
  <definedNames>
    <definedName name="_xlfn.IFERROR" hidden="1">#NAME?</definedName>
    <definedName name="_xlnm.Print_Area" localSheetId="12">'1. Ind. PA - DE'!$A$1:$AY$20</definedName>
    <definedName name="_xlnm.Print_Area" localSheetId="21">'10. Ind PA - Contratación'!$A$1:$AY$23</definedName>
    <definedName name="_xlnm.Print_Area" localSheetId="22">'11. Ind PA - AC'!$A$1:$AY$25</definedName>
    <definedName name="_xlnm.Print_Area" localSheetId="23">'12. Ind PA - OAJ'!$A$1:$AY$22</definedName>
    <definedName name="_xlnm.Print_Area" localSheetId="13">'2. Ind PA - GT'!$A$1:$AY$23</definedName>
    <definedName name="_xlnm.Print_Area" localSheetId="14">'3. Ind PA - TH'!$A$1:$AY$21</definedName>
    <definedName name="_xlnm.Print_Area" localSheetId="15">'4. Ind PA - Planeación'!$A$1:$AY$22</definedName>
    <definedName name="_xlnm.Print_Area" localSheetId="16">'5. Ind PA - Seg Ev y C'!$A$1:$AY$19</definedName>
    <definedName name="_xlnm.Print_Area" localSheetId="17">'6. Ind PA - GD'!$A$1:$AY$20</definedName>
    <definedName name="_xlnm.Print_Area" localSheetId="18">'7. Ind PA - GF'!$A$1:$AY$19</definedName>
    <definedName name="_xlnm.Print_Area" localSheetId="19">'8. Ind PA - GA'!$A$1:$AY$20</definedName>
    <definedName name="_xlnm.Print_Area" localSheetId="20">'9. Ind PA - CDI'!$A$1:$AY$18</definedName>
    <definedName name="_xlnm.Print_Area" localSheetId="8">'Meta 1'!$A$1:$AD$43</definedName>
    <definedName name="_xlnm.Print_Area" localSheetId="10">'Meta 3'!$A$1:$AD$43</definedName>
    <definedName name="_xlnm.Print_Area" localSheetId="11">'Meta 4'!$A$1:$AD$50</definedName>
    <definedName name="_xlnm.Print_Area" localSheetId="9">'Metas 2'!$A$1:$AD$49</definedName>
    <definedName name="_xlnm.Print_Area" localSheetId="0">'Metas PA proyecto'!$A$1:$AD$45</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2.xml><?xml version="1.0" encoding="utf-8"?>
<comments xmlns="http://schemas.openxmlformats.org/spreadsheetml/2006/main">
  <authors>
    <author>Usuario de Microsoft Office</author>
    <author>Microsoft Office User</author>
    <author/>
  </authors>
  <commentList>
    <comment ref="O24" authorId="0">
      <text>
        <r>
          <rPr>
            <b/>
            <sz val="10"/>
            <rFont val="Calibri"/>
            <family val="2"/>
          </rPr>
          <t>Usuario de Microsoft Office:</t>
        </r>
        <r>
          <rPr>
            <sz val="10"/>
            <rFont val="Calibri"/>
            <family val="2"/>
          </rPr>
          <t xml:space="preserve">
Se tiene prevista la liberación de $2´200.000</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stefania vidal p</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V13" authorId="1">
      <text>
        <r>
          <rPr>
            <b/>
            <sz val="9"/>
            <rFont val="Tahoma"/>
            <family val="2"/>
          </rPr>
          <t>stefania vidal p: SE DEBE REPORTAR LA INFORMACIÓN DEL 2DO TRIMESTRE CONFORME A LO INCADO EN EL AVANCE INDICADOR, POR LO QUE SE SUGIERE INDICAR: 1.  EN EL 2DO TRIMESTRE.. 0  2. EN ESTE PERIODO.. O 3. EN LOS MESES DE ABRIL A JUNIO</t>
        </r>
      </text>
    </comment>
    <comment ref="AW13" authorId="1">
      <text>
        <r>
          <rPr>
            <b/>
            <sz val="9"/>
            <rFont val="Tahoma"/>
            <family val="2"/>
          </rPr>
          <t>stefania vidal p:</t>
        </r>
        <r>
          <rPr>
            <sz val="9"/>
            <rFont val="Tahoma"/>
            <family val="2"/>
          </rPr>
          <t xml:space="preserve">
LA INFORMACIÓN A REPORTAR DEBE SER DE LOS 2 TRIMESTRES (1 ENERO - 30 DE JUNIO) NO SE DEBE ENUNCIAR EL MES MAYO. </t>
        </r>
      </text>
    </comment>
    <comment ref="AM13" authorId="1">
      <text>
        <r>
          <rPr>
            <b/>
            <sz val="14"/>
            <rFont val="Tahoma"/>
            <family val="2"/>
          </rPr>
          <t>stefania vidal p:</t>
        </r>
        <r>
          <rPr>
            <sz val="14"/>
            <rFont val="Tahoma"/>
            <family val="2"/>
          </rPr>
          <t xml:space="preserve">
NO DEBE HABER INFORMACIÓN DE LOS MESES ABRIL Y MAYO, SOLO EN JUNIO, QUE ES EL MES DEL REPORTE PROGRAMADO. 
</t>
        </r>
        <r>
          <rPr>
            <b/>
            <sz val="14"/>
            <rFont val="Tahoma"/>
            <family val="2"/>
          </rPr>
          <t>Nayla Isaza:</t>
        </r>
        <r>
          <rPr>
            <sz val="14"/>
            <rFont val="Tahoma"/>
            <family val="2"/>
          </rPr>
          <t xml:space="preserve">
La razon por la que se colocaron los avances en metros de los meses de abril y mayo, es por el rezago que se trae de marzo, se ajusto en abril, y para cumplir en junio q solo salen 2 mts, creimos necesario que se viera que la mayor gestión fue en mayo con 13,25 mt., para con los 2mts de junio, cumplir con la meta de 27 mts.  Los voy a eliminar, pero es importante que uds tengan esa claridad, porque entonces quedamos con 1 solo mt de transferencia desde marzo a los 27 de junio.. Ok?</t>
        </r>
      </text>
    </comment>
  </commentList>
</comments>
</file>

<file path=xl/comments19.xml><?xml version="1.0" encoding="utf-8"?>
<comments xmlns="http://schemas.openxmlformats.org/spreadsheetml/2006/main">
  <authors>
    <author>Microsoft Office User</author>
    <author>stefania vidal p</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3" authorId="1">
      <text>
        <r>
          <rPr>
            <b/>
            <sz val="9"/>
            <rFont val="Tahoma"/>
            <family val="2"/>
          </rPr>
          <t>stefania vidal p:</t>
        </r>
        <r>
          <rPr>
            <sz val="9"/>
            <rFont val="Tahoma"/>
            <family val="2"/>
          </rPr>
          <t xml:space="preserve">
El informe es con corte al mes de junio no mayo. 8por favor ajustar.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5"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2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3.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<sst xmlns="http://schemas.openxmlformats.org/spreadsheetml/2006/main" count="3603" uniqueCount="988">
  <si>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</si>
  <si>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</si>
  <si>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</si>
  <si>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</si>
  <si>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</si>
  <si>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</si>
  <si>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</si>
  <si>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</si>
  <si>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</si>
  <si>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</si>
  <si>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</si>
  <si>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</si>
  <si>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</si>
  <si>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</si>
  <si>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</si>
  <si>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</si>
  <si>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</si>
  <si>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</si>
  <si>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</si>
  <si>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</si>
  <si>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</si>
  <si>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</si>
  <si>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</si>
  <si>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</si>
  <si>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</si>
  <si>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</si>
  <si>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</si>
  <si>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</si>
  <si>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</si>
  <si>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</si>
  <si>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</si>
  <si>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</si>
  <si>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</si>
  <si>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</si>
  <si>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</si>
  <si>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</si>
  <si>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</si>
  <si>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</si>
  <si>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</si>
  <si>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</si>
  <si>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</si>
  <si>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</si>
  <si>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</si>
  <si>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</si>
  <si>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</si>
  <si>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</si>
  <si>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</si>
  <si>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</si>
  <si>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</si>
  <si>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</si>
  <si>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</si>
  <si>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</si>
  <si>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</si>
  <si>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</si>
  <si>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</si>
  <si>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</si>
  <si>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</si>
  <si>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</si>
  <si>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</si>
  <si>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</si>
  <si>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</si>
  <si>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</si>
  <si>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</si>
  <si>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</si>
  <si>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</si>
  <si>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</si>
  <si>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</si>
  <si>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</si>
  <si>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</si>
  <si>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</si>
  <si>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</si>
  <si>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</si>
  <si>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</si>
  <si>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</si>
  <si>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</si>
  <si>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</si>
  <si>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</si>
  <si>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</si>
  <si>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</si>
  <si>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</si>
  <si>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</si>
  <si>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</si>
  <si>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</si>
  <si>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</si>
  <si>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</si>
  <si>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</si>
  <si>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</si>
  <si>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</si>
  <si>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</si>
  <si>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</si>
  <si>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</si>
  <si>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</si>
  <si>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</si>
  <si>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</si>
  <si>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</si>
  <si>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</si>
  <si>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</si>
  <si>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</si>
  <si>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</si>
  <si>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</si>
  <si>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</si>
  <si>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</si>
  <si>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</si>
  <si>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</si>
  <si>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</si>
  <si>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</si>
  <si>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</si>
  <si>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</si>
  <si>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</si>
  <si>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</si>
  <si>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</si>
  <si>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</si>
  <si>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</si>
  <si>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</si>
  <si>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</si>
  <si>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</si>
  <si>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</si>
  <si>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</si>
  <si>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</si>
  <si>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</si>
  <si>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</si>
  <si>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</si>
  <si>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</si>
  <si>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</si>
  <si>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</si>
  <si>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</si>
  <si>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</si>
  <si>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</si>
  <si>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</si>
  <si>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</si>
  <si>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</si>
  <si>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</si>
  <si>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</si>
  <si>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</si>
  <si>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</si>
  <si>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</si>
  <si>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</si>
  <si>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</si>
  <si>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</si>
  <si>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</si>
  <si>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</si>
  <si>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</si>
  <si>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</si>
  <si>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</si>
  <si>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</si>
  <si>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</si>
  <si>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</si>
  <si>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</si>
  <si>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</si>
  <si>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</si>
  <si>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</si>
  <si>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</si>
  <si>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</si>
  <si>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</si>
  <si>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</si>
  <si>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</si>
  <si>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</si>
  <si>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</si>
  <si>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</si>
  <si>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</si>
  <si>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</si>
  <si>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</si>
  <si>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</si>
  <si>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</si>
  <si>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</si>
  <si>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</si>
  <si>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</si>
  <si>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</si>
  <si>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</si>
  <si>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</si>
  <si>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</si>
  <si>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</si>
  <si>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</si>
  <si>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</si>
  <si>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</si>
  <si>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</si>
  <si>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</si>
  <si>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</si>
  <si>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</si>
  <si>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</si>
  <si>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</si>
  <si>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</si>
  <si>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</si>
  <si>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</si>
  <si>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</si>
  <si>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</si>
  <si>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</si>
  <si>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</si>
  <si>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</si>
  <si>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</si>
  <si>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</si>
  <si>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</si>
  <si>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</si>
  <si>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</si>
  <si>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</si>
  <si>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</si>
  <si>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</si>
  <si>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</si>
  <si>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</si>
  <si>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</si>
  <si>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</si>
  <si>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</si>
  <si>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</si>
  <si>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</si>
  <si>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</si>
  <si>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</si>
  <si>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</si>
  <si>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</si>
  <si>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</si>
  <si>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</si>
  <si>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</si>
  <si>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</si>
  <si>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</si>
  <si>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</si>
  <si>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</si>
  <si>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</si>
  <si>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</si>
  <si>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</si>
  <si>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</si>
  <si>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</si>
  <si>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</si>
  <si>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</si>
  <si>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</si>
  <si>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</si>
  <si>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</si>
  <si>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</si>
  <si>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</si>
  <si>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</si>
  <si>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</si>
  <si>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</si>
  <si>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</si>
  <si>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</si>
  <si>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</si>
  <si>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</si>
  <si>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</si>
  <si>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</si>
  <si>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</si>
  <si>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</si>
  <si>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</si>
  <si>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</si>
  <si>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</si>
  <si>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</si>
  <si>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</si>
  <si>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</si>
  <si>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</si>
  <si>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</si>
  <si>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</si>
  <si>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</si>
  <si>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</si>
  <si>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</si>
  <si>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</si>
  <si>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</si>
  <si>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</si>
  <si>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</si>
  <si>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</si>
  <si>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</si>
  <si>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</si>
  <si>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</si>
  <si>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</si>
  <si>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</si>
  <si>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</si>
  <si>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</si>
  <si>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</si>
  <si>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</si>
  <si>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</si>
  <si>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</si>
  <si>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</si>
  <si>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</si>
  <si>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</si>
  <si>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</si>
  <si>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</si>
  <si>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</si>
  <si>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</si>
  <si>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</si>
  <si>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</si>
  <si>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</si>
  <si>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</si>
  <si>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</si>
  <si>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</si>
  <si>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</si>
  <si>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</si>
  <si>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</si>
  <si>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</si>
  <si>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</si>
  <si>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</si>
  <si>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</si>
  <si>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</si>
  <si>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</si>
  <si>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</si>
  <si>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</si>
  <si>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</si>
  <si>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</si>
  <si>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</si>
  <si>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</si>
  <si>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</si>
  <si>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</si>
  <si>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</si>
  <si>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</si>
  <si>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</si>
  <si>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</si>
  <si>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</si>
  <si>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</si>
  <si>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</si>
  <si>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</si>
  <si>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</si>
  <si>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</si>
  <si>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</si>
  <si>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</si>
  <si>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</si>
  <si>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</si>
  <si>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</si>
  <si>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</si>
  <si>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</si>
  <si>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</si>
  <si>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</si>
  <si>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</si>
  <si>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</si>
  <si>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</si>
  <si>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</si>
  <si>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</si>
  <si>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</si>
  <si>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</si>
  <si>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</si>
  <si>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</si>
  <si>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</si>
  <si>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</si>
  <si>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</si>
  <si>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</si>
  <si>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</si>
  <si>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</si>
  <si>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</si>
  <si>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</si>
  <si>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</si>
  <si>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</si>
  <si>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</si>
  <si>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</si>
  <si>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</si>
  <si>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</si>
  <si>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</si>
  <si>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</si>
  <si>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</si>
  <si>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</si>
  <si>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</si>
  <si>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</si>
  <si>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</si>
  <si>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</si>
  <si>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</si>
  <si>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</si>
  <si>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</si>
  <si>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</si>
  <si>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</si>
  <si>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</si>
  <si>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</si>
  <si>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</si>
  <si>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</si>
  <si>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</si>
  <si>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</si>
  <si>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</si>
  <si>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</si>
  <si>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</si>
  <si>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</si>
  <si>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</si>
  <si>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</si>
  <si>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</si>
  <si>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</si>
  <si>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</si>
  <si>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</si>
  <si>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</si>
  <si>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</si>
  <si>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</si>
  <si>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</si>
  <si>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</si>
  <si>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</si>
  <si>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</si>
  <si>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</si>
  <si>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</si>
  <si>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</si>
  <si>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</si>
  <si>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</si>
  <si>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</si>
  <si>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</si>
  <si>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</si>
  <si>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</si>
  <si>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</si>
  <si>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</si>
  <si>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</si>
  <si>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</si>
  <si>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</si>
  <si>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</si>
  <si>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</si>
  <si>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</si>
  <si>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</si>
  <si>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</si>
  <si>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</si>
  <si>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</si>
  <si>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</si>
  <si>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</si>
  <si>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</si>
  <si>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</si>
  <si>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</si>
  <si>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</si>
  <si>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</si>
  <si>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</si>
  <si>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</si>
  <si>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</si>
  <si>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</si>
  <si>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</si>
  <si>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</si>
  <si>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</si>
  <si>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</si>
  <si>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</si>
  <si>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</si>
  <si>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</si>
  <si>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</si>
  <si>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</si>
  <si>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</si>
  <si>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</si>
  <si>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</si>
  <si>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</si>
  <si>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</si>
  <si>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</si>
  <si>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</si>
  <si>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</si>
  <si>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</si>
  <si>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</si>
  <si>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</si>
  <si>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05 - Construir Bogotá Región con gobierno abierto, transparente y ciudadanía consciente</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</si>
  <si>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</si>
  <si>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</si>
  <si>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</si>
  <si>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Suma</t>
  </si>
  <si>
    <t>%</t>
  </si>
  <si>
    <t>(No de actualizaciones desarrolladas en plataformas virtuales/No de actualizaciones programadas o solicitadas en plataformas virtuales)*100*(peso ponderado del periodo de medición)</t>
  </si>
  <si>
    <t>Trimestral</t>
  </si>
  <si>
    <t>Evidencias de actualización de la Información relacionada al proceso de Atención a la Ciudadanía en plataformas virtuales</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</si>
  <si>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</si>
  <si>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</si>
  <si>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</si>
  <si>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</si>
  <si>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</si>
  <si>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</si>
  <si>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</si>
  <si>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</si>
  <si>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</si>
  <si>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Cuatrimestral</t>
  </si>
  <si>
    <t>Evidencias del desarrollo de sensibilizaciones en temas de atención a la ciudadanía y gestión de peticiones ciudadanas</t>
  </si>
  <si>
    <t>Difundir mínimo 6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</si>
  <si>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</si>
  <si>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</si>
  <si>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</si>
  <si>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N/A</t>
  </si>
  <si>
    <t>Realizar el seguimiento y revisión de los documentos asociados al proceso de Atención a la Ciudadanía para identificar su necesidad de actualización.</t>
  </si>
  <si>
    <t>Porcentaje de avance en la ejecución de las actividades programadas para el seguimiento y actualización a la documentación del proceso de atención a la ciudadanía.</t>
  </si>
  <si>
    <t>Constante</t>
  </si>
  <si>
    <t>(Número de actividades de seguimiento a la documentación realizadas en el periodo de medición/Número de actividades programadas o solicitadas de seguimiento a la documentación)*100</t>
  </si>
  <si>
    <t>Semestral</t>
  </si>
  <si>
    <t>Actas de reuniones realizadas para revisión documental</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</si>
  <si>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</si>
  <si>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</si>
  <si>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</si>
  <si>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Mensual</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</si>
  <si>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</si>
  <si>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</si>
  <si>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</si>
  <si>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</si>
  <si>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</si>
  <si>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</si>
  <si>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</si>
  <si>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</si>
  <si>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Informes de seguimiento a la adopción de las sugerencias relacionadas con la emisión de respuestas y la operatividad del sistema Bogotá Te Escucha</t>
  </si>
  <si>
    <t>Elaborar informes mensuales de seguimiento a la gestión de las peticiones ciudadanas.</t>
  </si>
  <si>
    <t>Informes de seguimiento a la gestión de las peticiones ciudadanas.</t>
  </si>
  <si>
    <t>No. de informes de seguimiento a la gestión de las peticiones ciudadanas.</t>
  </si>
  <si>
    <t>Informes mensuales de seguimiento</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</si>
  <si>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</si>
  <si>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</si>
  <si>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</si>
  <si>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</si>
  <si>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Fecha de Emisión: 10 de enero de 2023</t>
  </si>
  <si>
    <t>Planeación y Gestión</t>
  </si>
  <si>
    <t>NA</t>
  </si>
  <si>
    <t xml:space="preserve">Soportar el 100% en la implementación del Modelo Integrado de Planeación y Gestión </t>
  </si>
  <si>
    <t>(No. acciones ejecutadas del plan de adecuación y sostenibilidad de MIPG durante el periodo de medición / No. de acciones totales del plan de adecuación y sostenibilidad de MIPG)*100</t>
  </si>
  <si>
    <t>Seguimiento al plan de adecuación y sostenibilidad de MIPG</t>
  </si>
  <si>
    <t>Efectuar el 100% de las solicitudes documentales de los procesos  que lo requieran para la mejora del sistema de gestión.</t>
  </si>
  <si>
    <t xml:space="preserve">((No. de solicitudes documentales atendidas  / No. Total de solicitudes recibidas)*100)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</si>
  <si>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</si>
  <si>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</si>
  <si>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Ejecutar el 100% del Plan Institucional de Gestión Ambiental - PIGA 2023</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</si>
  <si>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</si>
  <si>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</si>
  <si>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</si>
  <si>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</si>
  <si>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 xml:space="preserve">Matriz de monitoreo, orientación y acompañamiento a riesgos </t>
  </si>
  <si>
    <t>Mantener actualizada al 100% la información que se debe publicar en el Botón de transparencia de acuerdo con la normatividad vigente</t>
  </si>
  <si>
    <t>(No. de publicaciones realizadas en Boton de Transparencia en el período de medición / No. de publicaciones solicitadas en el periodo de medición)* 100</t>
  </si>
  <si>
    <t>Matriz de seguimiento que refleje la actualización de información en el botón de transparencia en cada numeral y dependencia responsable.</t>
  </si>
  <si>
    <t>7662 - Fortalecimiento a la gestión institucional de la SDMujer en Bogotá</t>
  </si>
  <si>
    <t>Soportar al 100% la implementación de las políticas del Modelo Integrado de Planeación y Gestión</t>
  </si>
  <si>
    <t>Soportar la  implementación y mantenimiento del Sistema de Gestión en el marco de MIPG</t>
  </si>
  <si>
    <t>Implementar buenas prácticas de gestión en la Secretaría Distrital de la Mujer.</t>
  </si>
  <si>
    <t>Seguimiento Evaluación y Control</t>
  </si>
  <si>
    <t>Planear, ejecutar las auditorías programadas en el Plan Anual de Auditoría, asi como emitir y publicar el informe con los resultados.</t>
  </si>
  <si>
    <t>Informes de Auditoria elaborados, remitidos y publicados de acuerdo con el Plan Anual de Auditoría aprobado.</t>
  </si>
  <si>
    <t>Porcentaje</t>
  </si>
  <si>
    <t>(Número de Informes de auditoria emitidos/Número de Informes de auditoria programados)*100</t>
  </si>
  <si>
    <t>Informes de auditorías emitidos.</t>
  </si>
  <si>
    <t>Elaborar, remitir y publicar los informes de seguimiento establecidos en el Plan Anual de Auditoría aprobado.</t>
  </si>
  <si>
    <t>Informes de seguimiento elaborados, remitidos y publicados de acuerdo con el Plan Anual de Auditoría aprobado.</t>
  </si>
  <si>
    <t>(Número de Informes de seguimiento emitidos/Número de Informes de seguimiento programados)*100</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</si>
  <si>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</si>
  <si>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</si>
  <si>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</si>
  <si>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(Número de Informes reglamentarios emitidos/Número de Informes reglamentarios programados)*100</t>
  </si>
  <si>
    <t>Informes reglamentarios emitidos.</t>
  </si>
  <si>
    <t>Ejecutar actividades de consultoría (asesoría y aocmpañamiento) requeridas, que contribuyan al mejoramiento de la gestión y desempeño de la entidad.</t>
  </si>
  <si>
    <t>Actividades de consultoría (asesoría y aocmpañamiento)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</si>
  <si>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</si>
  <si>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</si>
  <si>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Control Disciplinario Interno</t>
  </si>
  <si>
    <t>Expedir cincuenta (50) decisiones de fondo dentro de los procesos disciplinarios iniciados en  2018, 2019, 2020, 2021, 2022 y 2023.</t>
  </si>
  <si>
    <t>Número de autos proferidos</t>
  </si>
  <si>
    <t>suma</t>
  </si>
  <si>
    <t>Autos</t>
  </si>
  <si>
    <t>Informe semestral de las decisones de fondo que son proferidas por la OCDI Sdmujer</t>
  </si>
  <si>
    <t>Informe semestral soportado a traves de una matriz de las decisones de fondo que son proferidas por la OCDI Sdmujer</t>
  </si>
  <si>
    <t>Adelantar veinte (20) jornadas de prevención de la falta disciplinaria dirigidas a servidoras, servidores y contratistas de la SDMujer.</t>
  </si>
  <si>
    <t>Número de jornadas de prevención.</t>
  </si>
  <si>
    <t>Jornadas</t>
  </si>
  <si>
    <t>Informe mensual de las diferentes jornadas adelantadas por la OCDI SDMujer</t>
  </si>
  <si>
    <t>Informe mensual de las diferentes jornadas de prevención  adelantadas por la OCDI SDMujer</t>
  </si>
  <si>
    <t>Realizar dos (2) Conversatorios de Derecho Disciplinario para servidoras, servidores y contratistas de la SDMujer.</t>
  </si>
  <si>
    <t>Número de Conversatorios de Derecho Disciplinario</t>
  </si>
  <si>
    <t>Conversatorios</t>
  </si>
  <si>
    <t>Gestión de Talento Humano</t>
  </si>
  <si>
    <t>Formular, ejecutar y evaluar el Plan de Bienestar Social, Estímulos e Incentivos en la Entidad, para la vigencia 2023.</t>
  </si>
  <si>
    <t>Porcentaje de actividades del Plan de Bienestar Social, Estímulos e Incentivos ejecutadas.</t>
  </si>
  <si>
    <t>(No. de actividades ejecutadas en el Plan de Bienestar Social, Estímulos e Incentivos durante el periodo de medición / No. de actividades programadas del Plan de Bienestar Social, Estímulos e Incentivos) *100</t>
  </si>
  <si>
    <t>TRIMESTRAL</t>
  </si>
  <si>
    <t>Actas, registros de asistencia, registros fotográficos, videos, piezas de comunicación, correos electrónicos, certificados, comunicaciones internas y externas, archivos de excel, presentaciones power point, invitaciones, entre otros, de las actividades ejecutadas.</t>
  </si>
  <si>
    <t>Plan Institucional de Capacitación - PIC.</t>
  </si>
  <si>
    <t>Formular, ejecutar y evaluar el Plan Institucional Capacitación - PIC, así como los programas de inducción y reinducción de la Secretaría Distrital de la Mujer, para la vigencia 2023.</t>
  </si>
  <si>
    <t>Porcentaje de actividades previstas en el Plan Institucional de Capacitación - PIC y de los programas de inducción y reinducción ejecutadas.</t>
  </si>
  <si>
    <t>(No. de actividades ejecutadas en el Plan Institucional de Capacitación - PIC durante el periodo de medición/ No. de actividades programadas en el Plan Institucional de Capacitación - PIC) *100</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</si>
  <si>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</si>
  <si>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2023.</t>
  </si>
  <si>
    <t>Porcentaje de las actividades previstas en el Plan de Trabajo Anual de Seguridad y Salud en el Trabajo ejecutadas</t>
  </si>
  <si>
    <t>(No. de actividades ejecutadas en el Plan Anual de Seguridad y Salud en el Trabajo durante el periodo de medición / No. de actividades programadas en el Plan Anual de Seguridad y Salud en el Trabajo) *100</t>
  </si>
  <si>
    <t>Formular y ejecutar el Plan  de Gestión de Integridad establecido en el Componente de Iniciativas Adicionales del Plan de Anticorrupción y Atención a la Ciudadanía - PAAC, para la vigencia 2023.</t>
  </si>
  <si>
    <t>Porcentaje de las actividades previstas en el el Plan  de Gestión de Integridad establecido en el Componente de Iniciativas Adicionales del Plan de Anticorrupción y Atención a la Ciudadanía - PAAC ejecutadas.</t>
  </si>
  <si>
    <t>(No. de actividades ejecutadas en el Plan  de Gestión de Integridad establecido en el Componente de Iniciativas Adicionales del Plan de Anticorrupción y Atención a la Ciudadanía - PAAC durante el periodo de medición / No. de actividades programadas en el el Plan  de Gestión de Integridad establecido en el Componente de Iniciativas Adicionales del Plan de Anticorrupción y Atención a la Ciudadanía - PAAC) *100</t>
  </si>
  <si>
    <t>CUATRIMESTRAL</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</si>
  <si>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</si>
  <si>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</si>
  <si>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</si>
  <si>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</si>
  <si>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</si>
  <si>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</si>
  <si>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</si>
  <si>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</si>
  <si>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Minutas (Secop II) de los Contratos Electrónicos y Minutas (Secop I) cuando aplique</t>
  </si>
  <si>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</si>
  <si>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</si>
  <si>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</si>
  <si>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</si>
  <si>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</si>
  <si>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</si>
  <si>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</si>
  <si>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</si>
  <si>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Correos, oficios o memorandos con respuestas emitidas</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</si>
  <si>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</si>
  <si>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</si>
  <si>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</si>
  <si>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</si>
  <si>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(No. de liquidaciones realizadas  /No. de soliciutdes liquidaciones radicadas ) * 100 (peso porcentual del periodo)</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</si>
  <si>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</si>
  <si>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</si>
  <si>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</si>
  <si>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Memorandos y/o correos remitidos a las dependencias.</t>
  </si>
  <si>
    <t>Ejecutar el 100%  las actividades programadas para una correcta gestión administrativa y organizacional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</si>
  <si>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</si>
  <si>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t xml:space="preserve">CONTRATACIÓN : </t>
    </r>
    <r>
      <rPr>
        <sz val="11"/>
        <rFont val="Times New Roman"/>
        <family val="1"/>
      </rPr>
      <t>Tramitar las diferentes solicitudes radicadas en la Dirección de contratación  en las etapas (Precontractual, Contractual y Postcontractual).</t>
    </r>
  </si>
  <si>
    <r>
      <rPr>
        <b/>
        <sz val="11"/>
        <rFont val="Times New Roman"/>
        <family val="1"/>
      </rPr>
      <t>TALENTO HUMANO :</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</si>
  <si>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</si>
  <si>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</si>
  <si>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Informes enviados</t>
  </si>
  <si>
    <t xml:space="preserve">Sumatoria de informes de austeridad del gasto enviados </t>
  </si>
  <si>
    <t xml:space="preserve">Informes enviados a control interno y al Concejo en la fechas establecidas </t>
  </si>
  <si>
    <t>Actualizar oportunamente la matriz del esquema de publicación de informaciòn en el boton de transparencia en la página web de la SMMujer</t>
  </si>
  <si>
    <t>Esquema de publicaciòn actualizado y publicado</t>
  </si>
  <si>
    <t>Esquema publicado</t>
  </si>
  <si>
    <t>Anual de acuerdo a la normatividad vigente</t>
  </si>
  <si>
    <t>Esquema de publicacion actualizado y publicado</t>
  </si>
  <si>
    <t>Solicitudes de la mesa de ayuda gestionadas</t>
  </si>
  <si>
    <t>No. solicitudes gestionadas/No. Solicitudes recibidas en la mesa de ayuda</t>
  </si>
  <si>
    <t>Reporte Plataforma Mesa de Ayuda</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</si>
  <si>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</si>
  <si>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</si>
  <si>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</si>
  <si>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</si>
  <si>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Informe parcial y final de la toma fisica de inventarios</t>
  </si>
  <si>
    <t xml:space="preserve"> </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</si>
  <si>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</si>
  <si>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</si>
  <si>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</si>
  <si>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</si>
  <si>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</si>
  <si>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</si>
  <si>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Porcentaje de reportes de información exogena presentados da la SDH</t>
  </si>
  <si>
    <t>No de informes enviados a la SHD / No de reportes a presetar de acuerdo con la normatividad vigente</t>
  </si>
  <si>
    <t>De acuerdo a los tiempos establecidos por la SDH</t>
  </si>
  <si>
    <t>Informes enviados:
* Enero estampillas
* Abril exogena nacional
* Julio estampillas
* Julio exogena Distrital</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</si>
  <si>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</si>
  <si>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</si>
  <si>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</si>
  <si>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</si>
  <si>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</si>
  <si>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</si>
  <si>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</si>
  <si>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</si>
  <si>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</si>
  <si>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</si>
  <si>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30 - Incrementar la efectividad de la gestión pública distrital y local.</t>
  </si>
  <si>
    <t>56 - Gestión Pública Efectiva</t>
  </si>
  <si>
    <t>Avanzar en el 80% en las políticas de Gobierno Digital y Seguridad Digital contenidas en la Dimensión Gestión con valores para Resultados</t>
  </si>
  <si>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</si>
  <si>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</si>
  <si>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</si>
  <si>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</si>
  <si>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Apoyar el desarrollo del Plan Anual de Auditoría de la entidad, en ejercicio de los roles de la Oficina de Control Interno para la evaluación del Sistema de Control Interno</t>
  </si>
  <si>
    <t>Desarrollar acciones para la formulación, ejecución y seguimiento de los diferentes instrumentos de gestión en el marco de la planeación institucional y del Sistema de gestión.</t>
  </si>
  <si>
    <t>Versión: 08</t>
  </si>
  <si>
    <t>Fecha de Emisión: 4 de enero de 2022</t>
  </si>
  <si>
    <t>Ejecutar al 90% la implementación de la Política de Gestión Documental institucional</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</si>
  <si>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</si>
  <si>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</si>
  <si>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</si>
  <si>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</si>
  <si>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 xml:space="preserve"> Firma:</t>
  </si>
  <si>
    <t>APROBÓ</t>
  </si>
  <si>
    <t xml:space="preserve">Firma: </t>
  </si>
  <si>
    <t>REVISIÓN OFICINA ASESORA DE PLANEACIÓN</t>
  </si>
  <si>
    <t xml:space="preserve"> Firmas:</t>
  </si>
  <si>
    <t>Nombre: Zareth Ivana Doncel Baracaldo</t>
  </si>
  <si>
    <t xml:space="preserve">Cargo: Lideresa Técnica - Contratista Oficina Asesora de Planeación </t>
  </si>
  <si>
    <t xml:space="preserve">Cargo: Gerenta de Proyecto - Jefa Oficina Asesora de Planeación </t>
  </si>
  <si>
    <t>Transferencia Documental Primaria de 55 metros lineales de los archivos de gestión al  Archivo Central de la Entidad</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</si>
  <si>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</si>
  <si>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</si>
  <si>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</si>
  <si>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</si>
  <si>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</si>
  <si>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</si>
  <si>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</si>
  <si>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</si>
  <si>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</si>
  <si>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</si>
  <si>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</si>
  <si>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</si>
  <si>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</si>
  <si>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</si>
  <si>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</si>
  <si>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</si>
  <si>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</si>
  <si>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</si>
  <si>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</si>
  <si>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</si>
  <si>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</si>
  <si>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 xml:space="preserve">Gestión Tecnológica </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</si>
  <si>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</si>
  <si>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</si>
  <si>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</si>
  <si>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</si>
  <si>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</si>
  <si>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</si>
  <si>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</si>
  <si>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</si>
  <si>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</si>
  <si>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</si>
  <si>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</si>
  <si>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</si>
  <si>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</si>
  <si>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</si>
  <si>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</si>
  <si>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</si>
  <si>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</si>
  <si>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</si>
  <si>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</si>
  <si>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</si>
  <si>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</si>
  <si>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</si>
  <si>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</si>
  <si>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</si>
  <si>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</si>
  <si>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</si>
  <si>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</si>
  <si>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</si>
  <si>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</si>
  <si>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</si>
  <si>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r>
      <t>Correos electrónicos y/o evidencias de reuniones</t>
    </r>
    <r>
      <rPr>
        <sz val="11"/>
        <color indexed="8"/>
        <rFont val="Times New Roman"/>
        <family val="1"/>
      </rPr>
      <t>(actas) y reportes de lucha</t>
    </r>
  </si>
  <si>
    <t>Gestiòn Documental</t>
  </si>
  <si>
    <t>Ejecutar al 90% la implementación de la politica de Gestión Documental institucional</t>
  </si>
  <si>
    <t>Archivos de la entidad organizados y transferidos, dispuestos para consulta</t>
  </si>
  <si>
    <t xml:space="preserve">Metros lineales de archivo transferido </t>
  </si>
  <si>
    <t>Sumatoria de metros lineales de archivo tranferido dispuestos para consulta durante el periodo de medición</t>
  </si>
  <si>
    <t>Actas de legalización de trasnferencia</t>
  </si>
  <si>
    <t>Archivos de la entidad organizados e intervenidos, dispuestos para trasnferencia primaria</t>
  </si>
  <si>
    <t xml:space="preserve">Metros lineales de archivo intervenido </t>
  </si>
  <si>
    <t>Sumatoria de metros lineales de archivo intervenido y dispuesto para transferencia primaria</t>
  </si>
  <si>
    <t>Reporte de seguimiento a la intervención</t>
  </si>
  <si>
    <t>Instrumentos archivisticos actualizados y publicados, dispuestos para consulta</t>
  </si>
  <si>
    <t>Instrumentos actualizados y publicados</t>
  </si>
  <si>
    <t>Sumatoria de instrumentos actualizados y publicados</t>
  </si>
  <si>
    <t>Instrumento actualizado y publicado</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</si>
  <si>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</si>
  <si>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</si>
  <si>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</si>
  <si>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</si>
  <si>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</si>
  <si>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Gestión Administrativa</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</si>
  <si>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</si>
  <si>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</si>
  <si>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</si>
  <si>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</si>
  <si>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</si>
  <si>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</si>
  <si>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</si>
  <si>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</si>
  <si>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</si>
  <si>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</si>
  <si>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</si>
  <si>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</si>
  <si>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</si>
  <si>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</si>
  <si>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</si>
  <si>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constante</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</si>
  <si>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</si>
  <si>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</si>
  <si>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</si>
  <si>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</si>
  <si>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</si>
  <si>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</si>
  <si>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</si>
  <si>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</si>
  <si>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</si>
  <si>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</si>
  <si>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</si>
  <si>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</si>
  <si>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</si>
  <si>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</si>
  <si>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RESERVAS PRESUPUESTALES</t>
  </si>
  <si>
    <t>Etiquetas de fila</t>
  </si>
  <si>
    <t>Suma de RESERVAS 2023</t>
  </si>
  <si>
    <t>1. Avanzar en el 80% en las políticas de Gobierno Digital y Seguridad Digital contenidas en la Dimensión “Gestión con valores para  Resultados"</t>
  </si>
  <si>
    <t>2. Ejecutar el 100% de las actividades programadas para una correcta gestión administrativa y organizacional</t>
  </si>
  <si>
    <t>3. Soportar al 100%  la implementación de las políticas del Modelo Integrado de Planeación y Gestión</t>
  </si>
  <si>
    <t>4. Ejecutar al 90% la implementación de la Política de Gestión Documental institucional</t>
  </si>
  <si>
    <t>Total general</t>
  </si>
  <si>
    <t xml:space="preserve">Suma de Valor total estimado </t>
  </si>
  <si>
    <t>VIGENCIA</t>
  </si>
  <si>
    <t>Porcentaje de ejecución al Plan de Adecuación y Sostenibilidad del MIPG</t>
  </si>
  <si>
    <t>Porcentaje de solicitudes documentales atendidas.</t>
  </si>
  <si>
    <t>Porcentaje de solicitudes atendidas de acompañamiento a los procesos de la entidad para la formulacion de planes de mejoramiento derivados de las auditorias internas y externas.</t>
  </si>
  <si>
    <t>Porcentaje de ejecución del Plan Institucional de Gestión Ambiental - PIGA 2023</t>
  </si>
  <si>
    <t>Porcentaje de procesos monitoreados, orientados y acompañados en actividades de riesgos</t>
  </si>
  <si>
    <t>Porcentaje de información actualizada en el Botón de transparencia</t>
  </si>
  <si>
    <t>Gestionar el 100% de las solicitudes recibidas en la mesa de ayuda de almacen y mantenimiento</t>
  </si>
  <si>
    <t>Cerrar el 70% de las solicitudes recibidas en la mesa de ayuda de ayuda de almacen y mantenimiento</t>
  </si>
  <si>
    <t>Solcitudes de la mesa de ayuda cerradas</t>
  </si>
  <si>
    <t>No solicitudes cerradas/ No. Solicitudes recibidas</t>
  </si>
  <si>
    <t>Junio y noviembre 2023</t>
  </si>
  <si>
    <t>Nombre: Sandra Catalina Campos Romero</t>
  </si>
  <si>
    <t>Cargo: Profesional Especializada - Oficina Asesora de Planeación</t>
  </si>
  <si>
    <t>Nombre: Diana Milena Blanco Jaimes</t>
  </si>
  <si>
    <t>Cargo: Contratista - Oficina Asesora de Planeación</t>
  </si>
  <si>
    <t>Cargo: Contratista Oficina Asesora de Planeación - Lideresa Técnica</t>
  </si>
  <si>
    <t>Cargo: Gerenta de Proyecto - Jefa Oficina Asesora de Planeación</t>
  </si>
  <si>
    <t>Página 1 de 16</t>
  </si>
  <si>
    <t>Página 2 de 16</t>
  </si>
  <si>
    <t>Página 3 de 16</t>
  </si>
  <si>
    <t>Página 4 de 16</t>
  </si>
  <si>
    <t>Página 5 de 16</t>
  </si>
  <si>
    <t>Página 6 de 16</t>
  </si>
  <si>
    <t>Página 7 de 16</t>
  </si>
  <si>
    <t>Página 8 de 16</t>
  </si>
  <si>
    <t>Página 9 de 16</t>
  </si>
  <si>
    <t>Página 10 de 16</t>
  </si>
  <si>
    <t>Página 11 de 16</t>
  </si>
  <si>
    <t>Página 12 de 16</t>
  </si>
  <si>
    <t>Página 13 de 16</t>
  </si>
  <si>
    <t>Página 14 de 16</t>
  </si>
  <si>
    <t>Página 15 de 16</t>
  </si>
  <si>
    <t>Página 16 de 16</t>
  </si>
  <si>
    <r>
      <t xml:space="preserve">ADMINISTRATIVA Y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Informaciòn Exogéna, Solcitudes de CDR y CRP,  Ejecución presupuestal)</t>
    </r>
  </si>
  <si>
    <r>
      <t xml:space="preserve">ADMINISTRATIVA Y FINANCIERA: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Fisica de Inventarios)</t>
    </r>
  </si>
  <si>
    <t>Nombre: Angela Johanna Márquez Mora</t>
  </si>
  <si>
    <t>Cargo: Jefa Oficina de Control Interno</t>
  </si>
  <si>
    <t>Nombre: Diego Andrés Pedraza Peña</t>
  </si>
  <si>
    <t>Cargo: Contratista - Subsecretaria de Gestión Corporativa</t>
  </si>
  <si>
    <t>Nombre: Luz Amparo Macías Quintana</t>
  </si>
  <si>
    <t>Nombre: Laura Marcela Tami Leal</t>
  </si>
  <si>
    <t>Cargo: Subsecretaria de Gestión Corporativa</t>
  </si>
  <si>
    <t>Nombre: Erika de Lourdes Cervantes Linero</t>
  </si>
  <si>
    <t>Cargo: Jefe de Oficina de Control Disciplinario Interno</t>
  </si>
  <si>
    <t>Nombre: Kelly Carolina Morantes Pérez</t>
  </si>
  <si>
    <t>Cargo: Profesional Especializado</t>
  </si>
  <si>
    <t>Nombre: Catalina Zota Bernal</t>
  </si>
  <si>
    <t>Cargo: Jefa Oficina Asesora Jurídica</t>
  </si>
  <si>
    <t>Nombre: Mónica Libia de la Cruz Villota</t>
  </si>
  <si>
    <t xml:space="preserve">Cargo: Contratista Oficina Asesora de Planeación </t>
  </si>
  <si>
    <t xml:space="preserve">Nombre: Jennifer Lorena Moreno Arcila </t>
  </si>
  <si>
    <t>Nombre: Luis Guillermo Flechas Salcedo</t>
  </si>
  <si>
    <t>Cargo: Director de Contratación</t>
  </si>
  <si>
    <t>Cargo: Contratista Dirección de Contratación</t>
  </si>
  <si>
    <t>Nombre: Claudia Marcela Garcia Santos</t>
  </si>
  <si>
    <t>Cargo: Directora de Talento Humano</t>
  </si>
  <si>
    <t>Nombre: Nayla Zoreth Isaza Tabon</t>
  </si>
  <si>
    <t>Cargo: Contratista Dirección Administrativa y Financiera</t>
  </si>
  <si>
    <t>Cargo: Directora Administrativa y Financiera</t>
  </si>
  <si>
    <t>Corresponde a la sumatoria de número de seguimientos semestrales que se realizarán al PEI de la entidad, teniendo en cuenta los siguientes cortes:
1 en el mes de enero correspondiente al segundo semestre de 2021
1 en el mes de julio correspondiente al primer semestre de 2022</t>
  </si>
  <si>
    <t>ENERO</t>
  </si>
  <si>
    <t>FEBRERO</t>
  </si>
  <si>
    <t>MARZO</t>
  </si>
  <si>
    <t>ABRIL</t>
  </si>
  <si>
    <t>MAYO</t>
  </si>
  <si>
    <t>JUNIO</t>
  </si>
  <si>
    <t>JULIO</t>
  </si>
  <si>
    <t>AGOSTO</t>
  </si>
  <si>
    <t>SEPTIEMBRE</t>
  </si>
  <si>
    <t>OCTUBRE</t>
  </si>
  <si>
    <t>NOVIEMBRE</t>
  </si>
  <si>
    <t>DICIEMBRE</t>
  </si>
  <si>
    <t>RESERVA DEF</t>
  </si>
  <si>
    <t>ANULACIONES</t>
  </si>
  <si>
    <t>SEGUIMIENTO OAP</t>
  </si>
  <si>
    <t>VIGENCIA DEF</t>
  </si>
  <si>
    <t>PLAN DE ACCIÓN</t>
  </si>
  <si>
    <t>VALIDACIÓN</t>
  </si>
  <si>
    <t>SPI</t>
  </si>
  <si>
    <t>AVANCE PLAN</t>
  </si>
  <si>
    <t>Se ha ejecutado el 1,88% de giros sobre los compromisos con corte a 28 de febrero de 2023</t>
  </si>
  <si>
    <t>Plan Estratégico de Tecnologías de la Información y las Comunicaciones -­ PETI</t>
  </si>
  <si>
    <t>Plan de Seguridad y Privacidad de la Información</t>
  </si>
  <si>
    <t>Plan de Incentivos Institucionales</t>
  </si>
  <si>
    <t>Plan Anticorrupción y Atención a la Ciudadanía</t>
  </si>
  <si>
    <t>Plan Anticorrupción y de Atención al Ciudadano</t>
  </si>
  <si>
    <t>Plan Institucional de Archivos de la Entidad ­PINAR</t>
  </si>
  <si>
    <t>Nombre: Olga Lucia Sanchez Mendieta</t>
  </si>
  <si>
    <t>Nombre: Andrea Milena Parada Ortiz</t>
  </si>
  <si>
    <t>Cargo: Profesional Universitaria Dirección de Talento Humano</t>
  </si>
  <si>
    <t>La Oficina de Control Disciplinario Interno durante el primer semestre de 2023, expidió 44 deciciones de fondo dentro de los expedientes disciplinarios de las vigencias 2018, 2019, 2020, 2021, 2022 y 2023, verificandose con el informe primer semestre 2023 soportado con la matriz de seguimiento de la OCDI.</t>
  </si>
  <si>
    <t>La Oficina de Control Disciplinario Interno durante el mes de junio de 2023 cumplió con la meta formulada al dictar dos (2)  jornadas  de prevención a Servidoras, servidores y contratistas de la SDMujer, el día 21 y el  28 del mes citado, al equipo de la OCDI y a la Dirección de Eliminación de Violencias Contra Las Mujeres y Acceso a la Justicia - Grupo 1, respectivamente,  tal como se verifica en la evidencia cargada en la carpeta One Drive.</t>
  </si>
  <si>
    <t>La Oficina de Control Disciplinario Interno en cumplimiento del Plan de Acción 2023, según la meta: jornadas de prevención para Servidoras, Servidores y Contratistas de la SDMujer, al mes de junio de 2023, ha logrado  un avance acumulado del 50% de las jornadas programadas mes a mes, así:
Febrero: Dos (2) Jornadas de Prevención.
Marzo: Dos (2) Jornadas de Prevención.
Abril: Dos (2) Jornadas de Prevención.
Mayo: Dos (2) Jornadas de Prevención.
Junio: Dos (2) Jornadas de Prevención.</t>
  </si>
  <si>
    <t>En e mes de Junio de 2022 no se pudo realizar el conversatorio programado el 14 de junio por razones de fuerza mayor, teniendo en cuenta que una panelista (Magistrada del Consejo de Estado) a última hora no pudo participar, por tanto se corrió la fecha para el 14 de julio de 2023, con se puede verificar en las evidencias adjuntas en la carpeta One Drive.</t>
  </si>
  <si>
    <t>El Conversatorio se denomina:  "EL DERECHO A LA PARTICIPACIÓN EN POLITÍCA Y SU PROHIBICIÓN PARA LOS SERVIDORES Y SERVIDORAS PÚBLICAS", se encuentra programado para el día 14 de julio de 2023 , a las 10.00 a.m., en el Aula de la Independencia de la Universidad Santo Tomas (Carrera 9 No. 63-28 Edificio Aquinate, Bogotá D.C..</t>
  </si>
  <si>
    <t>Este mes no se reporta avance de este indicador</t>
  </si>
  <si>
    <t>El siguiente es el avance del PAA 2023 para junio de acuerdo con programación de la vigencia: 
AUDITORÍAS: Se encuentran en etapa de ejecución las auditorías a los procesos de Gestión de Políticas Públicas y Planeación y Gestión.  
INF REGLAMENTARIOS: Se realizó el diligenciamiento del FURAG de la vigencia 2022 en lo relacionado con la Evaluación Independiente del Rol de la Oficina de Control Interno. 
INF. SEGUIMIENTO: Se emitió y publicó en pág web el informe de Seguimiento a PMI del Proceso Gestión Tecnológica con corte a 31.05.23. Se llevaron a cabo actividades de asesorías, acompañamientos (Líneas de defensa, Gestión inventarios y bodega – participación comités CDA) y atención a entes de control (Réplica Prelim Inf Regularidad Contraloría Cód 29 PAD 2023).
En cuanto a la ejecución acumulada de la presente meta, con corte a 30 de junio de 2023 se han emitido y publicado un total de dos (2) informes de auditoría, tres (3) informes de seguimiento y diecisiete (17) informes reglamentarios para un total de veintidós (22) informes del total de cuarenta y seis (46) informes programados en el PAA 2023 versión 1, lo que corresponde a un 48% de ejecución.
Al respecto es importante indicar que el CICCI el 20 de junio de 2023 aprobó el Plan Anual de Auditoría 2023 en su versión 2, donde se adicionó 1 seguimiento para un total de 15 y por ende los porcentajes varian.</t>
  </si>
  <si>
    <t xml:space="preserve">Para el trimestre de abril a junio 2023: Se llevó a cabo el cierre de dos (2) auditorias para los procesos de Desarrollo Capacidades para Mujeres y de Promoción de la Participación PIPC respectivamente, mediante la publicación de sus informes finales en pág web institucional. Por otro lado, se encuentran en etapa de ejecución las auditorías a los procesos de Gestión de Políticas Públicas y Planeación y Gestión.  </t>
  </si>
  <si>
    <t>El avance acumulado de 01 de enero a 30 de junio 2023: Se emitieron y publlicaron los informes finales de dos (2) auditorias de las cinco (5) programadas en el Plan Anual de Auditoría 2023 versión 1, para un avance del 40%.
Al respecto es importante indicar que el CICCI el 20 de junio de 2023 aprobó el Plan Anual de Auditoría 2023 en su versión 2, donde se adicionó 1 auditoria para un total de 6 y por ende los porcentajes varian.</t>
  </si>
  <si>
    <t>En el periodo de abril a junio de 2023: Se emitieron tres (03) informes de Seguimiento a Ejecución Presupuestal y de Pagos con corte a 31.03.23, el Seguimiento a Planes de Mejora Externos con corte a 30.04.23 y Seguimiento a PMI del Proceso Gestión Tecnológica con corte a 31.05.23, los cuales estan publicados en la página web institucional.</t>
  </si>
  <si>
    <t>En lo concerniente al periodo entre enero y junio 2023: Se emitieron y publlicaron los informes finales de tres (3) informes de seguimiento de los catorce (14) programadas en el Plan Anual de Auditoría 2023 versión 1, para un avance del 21%.
Al respecto es importante indicar que el CICCI el 20 de junio de 2023 aprobó el Plan Anual de Auditoría 2023 en su versión 2, donde se adicionó 1 seguimiento para un total de 15 y por ende los porcentajes varian.</t>
  </si>
  <si>
    <t>En cuanto al trimestre de abril a junio 2023, se emitieron cuatro (4) informes reglamentarios en cuanto a Seguimiento al Plan Anticorrupción y de Atención a la Ciudadanía (PAAC) al 1er cuatrim 2023, Informe de Gestión Judicial corte 01.01.21 a 31.03.23, Seguimiento a las medidas de Austeridad del Gasto corte a 31.03.23 y diligenciamiento del FURAG de la vigencia 2022 en lo relacionado con la Evaluación Independiente del Rol de la Oficina de Control Interno, los cuales estan publicados en la página web institucional.</t>
  </si>
  <si>
    <t>Desde enero a junio de 2023: Se emitieron y publlicaron los informes finales de diecisiete (17) informes/reportes reglamentarios de los veintisiete (27) programadas en el Plan Anual de Auditoría 2023 versión 1, para un avance del 63%.
Al respecto es importante indicar que el CICCI el 20 de junio de 2023 aprobó el Plan Anual de Auditoría 2023 en su versión 2, donde se adicionó 1 reglamentario para un total de 28  y por ende los porcentajes varian.</t>
  </si>
  <si>
    <t>Se llevaron a cabo las actividades concernientes a trimestre de abril a junio 2023 para las asesorías en temas varios PMI, revisión jurídica circulares, acompañamientos (enlaces MIPG, Gestión inventarios y bodega – participación comités CIGD, sostenibilidad, conciliación y CDA - Mesas Téncicas) y atención a entes de control (Réplica Prelim Inf Regularidad Contraloría Cód 29 PAD 2023), Lineas de Defensa y Secretaría Técnica CICCI.</t>
  </si>
  <si>
    <t>En cuanto al periodo entre enero a junio 2023, se han ejecutado actividades de asesoria y acompañamiento requeridas por los procesos/áreas para un total de avance de 45% de lo programado de enero a junio de 2023.</t>
  </si>
  <si>
    <t>No se presentaron retrasos</t>
  </si>
  <si>
    <t>La dirección de administrativa y financera durante el mes de junio, se atendieron todas las solicitudes de certificados presupuestales recibidas expidiendo lo que se relaciona a continuación:
- 49 Certificados de Disponibilidad Presupuestal -CDP
- 81 Certificados de Registro Presupuestal - CRP
Entre el período comprendido entre los meses de enero a 30 de junio de 2023, las expediciones acumuladas, son las siguientes: 
- 1.267  Certificados  de Disponibilidad Presupuestal . CDP
- 1.258  Certificados de Registro Presupuestal - CRP
Lo anterior refleja un avance en la ejecución presupuestal del 82% y de giros de 29% con corte al mes de junio.</t>
  </si>
  <si>
    <t>Para el mes de junio de 2023, se recibieron por mesa de ayuda 111 solicitudes, de las cuales 58 de ellas corresponden  a requerimientos de mantenimiento locativo, equivale al 52% , para el área de almacen se registraton 53 solicitudes equivalentes al 48%.  Del total de los requerimientos se gestionaron y se cerraron 38 mesas de ayudas equivalentes a un 34% teniendo en cuenta las diferentes variables que se presentan para dar pronta solucion a los requerimientos. 
En el acumulado de las mesas de ayuda recibidas  de enero a junio del 2023 fueron 705, de las cuales en estado cerrada tenemos 571 mesas de ayuda equivalentes al 81% y en estado en espera 134 mesas de ayuda equivalente al 19%. Por otra parte se informa que la toma física de inventarios inició al cronograma aprobado para la vigencia 2023 en el mes de enero.</t>
  </si>
  <si>
    <t>1. En el mes de junio se realizó apoyo en el análisis y revisión jurídica de la contratación de la entidad con la suscripción de 20  contratos por modalidad de contratación directa,  1 contrato contrato por madalidad de selección de "miníma cuantía", tres (3)  contratos  selección abreviada y (1) Licitación publia. Por otra parte, con corte a junio  se realizó apoyo en el análisis y revisión jurídica de 901 contratos suscritos de prestación de servicios profesionales y apoyo a la gestión. 
2. En el mes de junio se realizó la elaboración y publicación del informe mensual (mayo 2023) de seguimiento a la gestión de PQRS y atención a la ciudadanía y con corte al mes de junio los informes del mes de diciembre, trimestral (cuarto trimestre del año 2022), enero, febrero, marzo, abril  y trimestral (primer trimestre 2023).  
3. En el mes de junio y en lo recorrido del año 2023, se ha realizado el seguimiento semanal a las dependencias de la entidad de la gestión de peticiones ciudadanas, dentro de los términos estipulados por la ley en el Sistema Distrital para la Gestión de Peticiones Ciudadanas – Bogotá te escucha. 
4. En el mes de junio y en lo recorrido del año 2023 se ha realizado seguimiento a los planes de mejoramiento internos y externos en el Sistema Integrado de Gestión- aplicativo Lucha, de las direcciones y/o equipos que hacen parte de la Corporativa. 
5. En el mes de junio  y en lo recorrido del año se ha dado respuesta a requerimientos de la Contraloría de Bogotá, Contraloría Gneral de la República y a la Personería de Bogotá. 
6. En junio y en lo recorrido del año se realizó seguimiento a la ejecución presupuestal de 11 proyectos de inversión, evidenciando una ejecución total de inversión del  91.11% giros del 25.71%  y funcionamiento 51.22%  y giros de 40.71%.</t>
  </si>
  <si>
    <t xml:space="preserve">La Dirección de Contratación, en el mes de junio  en el marco del proyecto de inversión 7662 recibió  8 solicitudes de contratación, para un total  a corte  del mes de junio de  140 solicitudes de contracción.
Por otro lado, recibió un total de 17 solicitudes  de contratación por  otros proyectos de invesión , para un total  a corte  del mes de junio  de  804 solicitudes de contracción.
De acuerdo a lo anterior,  entre el mes de enero a junio la Dirección de Contratación  recibió un total de 944 solicitudes, las cuales fueron tramitadas y a su vez se suscribieron los respectivos contratos. 
Así mismo, en el mes de junio  se realizó  59  modificaciones  entre las cuales se encuentran, Adiciones, Adiciones y Prórroga, Prórroga, Terminaciones Anticipadas, Otro Sí Modificatorios, Cesiones,  liquidaciones, Aclaratorios entre otros, para un total de 141 modificaciones aproximadamente. </t>
  </si>
  <si>
    <t>En junio se realizó competencias blandas, día servidora pública, entrega incentivos, PAP, pausa mental, taller manualidad, profesiones, feria de servicios y torneo bolos. Capacitación en atención incluyente, incumplimiento contractual, herramientas para atención de mujeres en búsqueda de personas desaparecidas, Power BI, derecho a la cultura y prevención de violencias contra las mujeres. Afiliaciones ARL, sesión COPASST y CCL, seguimiento condiciones salud, inspección puestos de trabajo, investigación accidentes, capacitación riesgo público, batería de riesgo psicosocial, exámenes médicos y capacitación brigada. Se gestionó EDL y AG y situaciones administrativas de licencias, vacaciones, compensatorios, primas técnicas, horas extra, liquidaciones y se aceptaron renuncias. 
De enero a junio, la DTH formuló el PETH y 5 planes anexos aprobados por MIPG. Día autocuidado, caminata ecológica, día salud de las mujeres, pausas mentales, ferias de servicios, profesiones, PAP, película ALI, conmemoración 8M, día auxiliares administrativos, bolos, incentivos y mindfulness; curso gobernanza, atención mujeres en sus diferencias y diversidades, inducción, Big Data, SQL, Power BI, políticas públicas, nuevos IP, gestión e incumplimiento contractual, transversalización PPMYEG, LUCHA, SIMISIONAL, Mesa de Ayuda, lenguaje incluyente, prevención violencias contra las mujeres y sistema de cuidado; condiciones de salud, afiliaciones ARL, autoevaluación SG-SST, exámenes médicos, elección y sesiones del COPASST y CCL, prevención psicosocial, inspección puestos de trabajo, investigación accidentes, entrega EPP, botiquines, semana de la salud y capacitación brigada. Por otra parte, provisión de empleos, teletrabajo, horario flexible, primas técnicas, vinculaciones pasantes, pago de ARL, licencias, vacaciones, pago de horas extra, compensatorios, liquidaciones, renuncias y encargos. Acciones de EDL, seguimiento a provisionales, AG, concertaciones encargos, seguimiento y gestión a solicitudes.</t>
  </si>
  <si>
    <t xml:space="preserve">En el segundo trimestre se recibieron y respondieron 124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</si>
  <si>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Con corte a 30 DE JUNIO se recibieron y respondieron un total de 234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</si>
  <si>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En el segundo trimestre se recibieron 25 solicitudes de pronunciamiento de Proyectos de Acuerdo y/o Ley y se emitieron 25 conceptos en respuesta a las solicitudes. </t>
  </si>
  <si>
    <t xml:space="preserve">Con corte a 30 DE JUNIO se recibieron un total de 53 solicitudes de pronunciamiento de Proyectos de Acuerdo y/o Ley y se emitieron 53 conceptos en respuesta a las solicitudes. </t>
  </si>
  <si>
    <t>En el segundo trimestre se recibieron y tramitaron 18 acciones de tutela y se ha llevado a cabo 1 actuacion judicial dentro de los procesos Administrativos en los que la Sdmujer actúa como sujeto procesal, asi como dentro Proceso Penal informado por la Fiscalía 43 Delegada para la Dirección Especializada contra el Lavado de Activos de la Fiscalía General de la Nación, en el que la Entidad no se ha constituido formalmente como víctima.</t>
  </si>
  <si>
    <t>Con corte a 30 DE JUNIO se recibieron y tramitaron un total de 41 acciones de tutela y se han llevado a cabo 13 actuaciones judiciales dentro de los procesos Administrativos en los que la Sdmujer actúa como sujeto procesal, asi como dentro Proceso Penal informado por la Fiscalía 43 Delegada para la Dirección Especializada contra el Lavado de Activos de la Fiscalía General de la Nación, en el que la Entidad no es parte ni se ha constituido formalmente como víctima.</t>
  </si>
  <si>
    <t xml:space="preserve">En el segundo trimestre no se requirió proyectar decisiones de segunda instancia en los procesos disciplinarios de la entidad. </t>
  </si>
  <si>
    <t xml:space="preserve">Con corte a 30 DE JUNIO no se requirió proyectar decisiones de segunda instancia en los procesos disciplinarios de la entidad. </t>
  </si>
  <si>
    <t xml:space="preserve">En el segundo trimestre se recibieron 13 solicitudes por control político referentes a proposiciones del Concejo de Bogotá y se dio respuesta a las 13 solicitudes. </t>
  </si>
  <si>
    <t xml:space="preserve">Con corte a 30 DE JUNIO se recibieron un total de 38 solicitudes por control político referentes a proposiciones del Concejo de Bogotá y se dio respuesta a las 38 solicitudes. </t>
  </si>
  <si>
    <t xml:space="preserve">En el segundo trimestre se asistió a 13 Comités de enlaces ordinario virtual realizado por la plataforma teams, y se asiganarón por parte de  la secretaría técnica del comité 25 casos para estudio, los cuales fueron presentados ante el comité. </t>
  </si>
  <si>
    <t xml:space="preserve">Con corte a 30 DE JUNIO se asistió a un total de 21 Comités de enlaces ordinario virtual realizado por la plataforma teams, y se asiganarón por parte de  la secretaría técnica del comité 48 casos para estudio, los cuales fueron presentados ante el comité. </t>
  </si>
  <si>
    <t xml:space="preserve">En el segundo trimestre se realizarón 6 sesiones ordinarias del Comité de Conciliación y 1 (una) sesion Extraordinaria, conforme a las 2 sesiones planeadas por mes. </t>
  </si>
  <si>
    <t xml:space="preserve">Con corte a 30 DE JUNIO se realizarón un total de 12 sesiones ordinarias del Comité de Conciliación y 2 (dos) sesiones Extraordinaria, conforme a las 2 sesiones planeadas por mes. </t>
  </si>
  <si>
    <t>Desde la Oficina Asesora Jurídica, en el marco del proyecto de inversión 7662, para la vigencia 2023 se gestionaron los procesos de contratación de 5 profesionales para apoyar las estrategias y procesos jurídicos a cargo de la Entidad, dando inicio a su ejecuciòn a partir del  12, 13, 16 de enero y 22 de febrero, respectivamente, conforme a las actas de inicio. Así, en el mes de JUNIO se tramitaron 66 respuestas a requerimientos asignados a la OAJ en los términos legales establecidos y de acuerdo con el marco normativo vigente, para un TOTAL con CORTE A 30 de JUNIO de 306 respuestas emitidas.</t>
  </si>
  <si>
    <t xml:space="preserve">Se suscribió adquisición de certificados SSL contrato 975 de 2023
En el mes de mayo se realiza seguimiento a la atención y  gestión de los requerimientos y/o incidentes solicitados por mesa de ayuda </t>
  </si>
  <si>
    <t>Se realizan reuniones de validación y compromisos de todos los procesos  de gestión tecnológica para la vigencia 2023, con el fin de garantizar el correcto funcionamiento de los servicios de la entidad.
Se realiza presentación de actividades macro ante el comité de gestión institucional para los avances a realizar en la vigencia 2023 del plan de seguridad de información y plan de gestión de riesgos de seguridad y los proyectos del PETI
Se realiza seguimiento permanente a la gestión de requerimiento y/o incidentes con la finalidad de garantizar la correcta operación de los servicios.
Se suscribió contrato 951 de 2023 con la empresa de telecomunicaciones ETB
Se suscribió IAAS y PAAS Orden de compra No. 108689 contrato 914-2023
Se suscribió el contrato 952 Kawak
Se suscribió contrato  Microsoft 932 de 2023
Se suscribió adquisición de certificados SSL contrato 975 de 2023</t>
  </si>
  <si>
    <t>El proceso de contratación del profesional de seguridad se suscribio el 30 de Junio por ende se inicia proceso de empalme para poner al día los temas referentes a Gobierno Digital y Seguridad Digital.</t>
  </si>
  <si>
    <r>
      <rPr>
        <b/>
        <sz val="11"/>
        <rFont val="Times New Roman"/>
        <family val="1"/>
      </rPr>
      <t>Algunos de los principales  beneficios que se han logrado con corte a 30 de junio son:</t>
    </r>
    <r>
      <rPr>
        <sz val="11"/>
        <rFont val="Times New Roman"/>
        <family val="1"/>
      </rPr>
      <t xml:space="preserve">
Se realiza revisión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r>
  </si>
  <si>
    <r>
      <t xml:space="preserve">En el mes de junio  no se han realizado avances teniendo en cuenta que no esta contratado el profesional de seguridad, desde la Oficina Asesora de Planeación se estan realizando las entrevistas para realizar la contratación del profesional de seguridad. 
</t>
    </r>
    <r>
      <rPr>
        <b/>
        <sz val="11"/>
        <rFont val="Times New Roman"/>
        <family val="1"/>
      </rPr>
      <t>Con corte al 30 de junio se avanzó en la presentación de actividades macro ante el comité de gestión institucional para los avances a realizar en la vigencia 2023 del plan de seguridad de información y plan de gestión de riesgos de seguridad y los proyectos del PETI.</t>
    </r>
    <r>
      <rPr>
        <sz val="11"/>
        <rFont val="Times New Roman"/>
        <family val="1"/>
      </rPr>
      <t xml:space="preserve">
El proceso de contratación del profesional de seguridad se suscribio el 30 de Junio por ende se inicia proceso de empalme para poner al día los temas referentes a Gobierno Digital y Seguridad Digital.</t>
    </r>
  </si>
  <si>
    <r>
      <rPr>
        <b/>
        <sz val="11"/>
        <rFont val="Times New Roman"/>
        <family val="1"/>
      </rPr>
      <t>Con corte al mes de junio se suscribió el contrato 932 de 2023, se cuenta con 5.331 suscripciones de productos con Microsoft, incluyendo las Powers BI, de las cuales se están utilizando 5.283 (99% de utilización).</t>
    </r>
    <r>
      <rPr>
        <sz val="11"/>
        <rFont val="Times New Roman"/>
        <family val="1"/>
      </rPr>
      <t xml:space="preserve">
</t>
    </r>
    <r>
      <rPr>
        <b/>
        <sz val="11"/>
        <rFont val="Times New Roman"/>
        <family val="1"/>
      </rPr>
      <t xml:space="preserve">Para el mes de junio se realizó avance de las siguientes actividades con el fin de garantizar el Funcionamiento, soporte y mantenimiento de los servicios que presta Infraestructura y telecomunicaciones en la Secretaría:
</t>
    </r>
    <r>
      <rPr>
        <sz val="11"/>
        <rFont val="Times New Roman"/>
        <family val="1"/>
      </rPr>
      <t xml:space="preserve">- Se suscribió contrato 951 de 2023 con la empresa de telecomunicaciones ETB,
-Se pidió traslado del canal de archivo 
-ETB realizó entrega de plataforma de mensajes masivos
-Se están realizando ajustes al anexo técnico de aire acondicionado solicitados por contratos, UPS (respuesta a observaciones), proyección de video (radicado en contratos), se realiza solicitud de información a proveedores del proceso de DLP y del proceso soporte cisco.
-Se envió documentación a contratos de Oracle soporte para apertura de proceso en Secop.
-Se envio a Contratación anexo técnico de herramienta de desarrollo, no se han recibido observaciones
-Toad se encuentra en solicitud de información a proveedores SP-022-2023
Se envio anexo técnico del proceso de consumibles para revisión.
-Se envio documentación a contratos de licencias Adobe Creative Cloud pendiente apertura de proceso en Secop.
-Se suscribió adquisición de certificados SSL contrato 975 de 2023
</t>
    </r>
    <r>
      <rPr>
        <b/>
        <sz val="11"/>
        <rFont val="Times New Roman"/>
        <family val="1"/>
      </rPr>
      <t>Con corte a 30 de junio se han recibido 3871 requerimientos por mesa de ayuda, de los cuales se atendieron 3605, quedando 266 para ser atendidos en el mes de julio, debido a su complejidad, a la fecha se han atendido los requerimientos a satisfacción con el fin de garantizar que los funcionarios puedan trabajar de manera mas eficiente.</t>
    </r>
    <r>
      <rPr>
        <sz val="11"/>
        <rFont val="Times New Roman"/>
        <family val="1"/>
      </rPr>
      <t xml:space="preserve">
En el mes de junio se recibieron 607 requerimientos de los cuales se atendieron 495 quedando pendientes para el mes de julio 112 en su mayoría del SIMISIONAL (80 casos abiertas)" 
</t>
    </r>
  </si>
  <si>
    <r>
      <rPr>
        <b/>
        <sz val="11"/>
        <rFont val="Times New Roman"/>
        <family val="1"/>
      </rPr>
      <t>Con corte a 30 de junio se han atendido 789 requerimientos de soporte a la fecha</t>
    </r>
    <r>
      <rPr>
        <sz val="11"/>
        <rFont val="Times New Roman"/>
        <family val="1"/>
      </rPr>
      <t>, en el mes de junio se atendieron 98 ,se realizó 5 actualización del aplicativo en el mes de junio,</t>
    </r>
    <r>
      <rPr>
        <b/>
        <sz val="11"/>
        <rFont val="Times New Roman"/>
        <family val="1"/>
      </rPr>
      <t xml:space="preserve"> consolidado a corte 18 actualizaciones al aplicativo</t>
    </r>
    <r>
      <rPr>
        <sz val="11"/>
        <rFont val="Times New Roman"/>
        <family val="1"/>
      </rPr>
      <t xml:space="preserve">, se solicitaron 2 requerimientos adicionales que se encuentran en validación para un total a </t>
    </r>
    <r>
      <rPr>
        <b/>
        <sz val="11"/>
        <rFont val="Times New Roman"/>
        <family val="1"/>
      </rPr>
      <t>corte de 30 de junio de 19 requerimientos adicional para mejoras en sistema del aplicativo Icops.</t>
    </r>
    <r>
      <rPr>
        <sz val="11"/>
        <rFont val="Times New Roman"/>
        <family val="1"/>
      </rPr>
      <t xml:space="preserve">
Se modifico el archivo plan de Bogdata y el archivo de giros y archivo de causaciones de limay para incluir contratos con rubros presupuestales de funcionamiento y financiación 
</t>
    </r>
    <r>
      <rPr>
        <b/>
        <sz val="11"/>
        <rFont val="Times New Roman"/>
        <family val="1"/>
      </rPr>
      <t>Con corte a 30 de junio se han atendido 1706 requerimientos, en el mes de junio se recibieron 271 requerimientos relacionados con soporte a la página Web, los cuales corresponden a actualización de contenido y de funcionalidades.
Con corte a 30 de junio se ha realizado el alistamiento, configuración y actualización de los servidores que soportan los aplicativos de la entidad y portales institucionales con el fin de garantizar que los aplicativos estén disponibles y asegurados para los servicios de la entidad.</t>
    </r>
    <r>
      <rPr>
        <sz val="11"/>
        <rFont val="Times New Roman"/>
        <family val="1"/>
      </rPr>
      <t xml:space="preserve">
En el mes de junio se realizaron las siguientes actividades con el fin de garantizar la correcta operación de los servicios, sistemas de información de la entidad:
-Se realizó la implementación y puesta en producción de la nueva intranet 
Se realizó la instalación de base de datos y actualización del servidor de manzanas de cuidado 
Se configuro el chat bot para whatsapp de manzanas de cuidado
Se realizaron los mantenimientos a los sistemas de información de acuerdo al cronograma</t>
    </r>
  </si>
  <si>
    <t>Se realizó la actualización de los meses de abril, mayo y junio de los servicios de la SDMujer en la Guía de Trámites y Servicios, y se remitió el certificado de confiabilidad a la Secretaría General de la Alcaldía Mayor de Bogotá.</t>
  </si>
  <si>
    <t>Se ha realizado la actualización de los meses de enero a junio de los servicios de la SDMujer en la Guía de Trámites y Servicios, y se remitió el certificado de confiabilidad a la Secretaría General de la Alcaldía Mayor de Bogotá.</t>
  </si>
  <si>
    <t>Este mes no se reporta avance de este indicador, debido a la periodicidad de su programación.</t>
  </si>
  <si>
    <t>No se han reportado avances de este indicador, debido a la periodicidad de su programación.</t>
  </si>
  <si>
    <t>Se ejecutaron entre los meses de enero a abril, cuatro (4) actividades de capacitación dirigidas a servidoras, servidores y contratistas de la Entidad, en los siguientes temas :
- 11/01/2023: Sensibilización en gestión de PQRS y manejo del sistema Bogotá te escucha. Dirigido a enlace Dir. de Gestión del Conocimiento.
- 28/03/2023: Primer taller de gestión de PQRS en Bogotá te escucha. Dirigido a enlaces de las dependencias.
- 30/03/2023: Sensibilización en gestión de PQRS y manejo del sistema Bogotá te escucha. Dirigido a enlace Dir. Administrativa y Financiera.
- 12/04/2023: Sensibilización en servicio a la ciudadanía y protocolos de atención. Dirigido a Línea Púrpura Distrital.</t>
  </si>
  <si>
    <t>Se realizó entre los meses de enero a abril, la divulgación de cuatro (4) piezas comunicacionales a través de la Boletina Informativa. Éstas fueron:
- Boletina 24 de enero - Resultados encuesta de satisfacción segundo semestre 2022.
- Boletina 16 de febrero - Resultados encuesta de satisfacción Distrital 2022.
- Boletina 03 de marzo - Socialización de Chatico.
- Boletina 16 de marzo - Socialización documento de Caracterización de Usuarios.</t>
  </si>
  <si>
    <t>Se realizó en el mes de mayo el seguimiento y revisión semestral a la documentación asociada al proceso de Atención a la Ciudadanía en la cual se identificaron  los documentos que deben ser actualizados y las respectivas fechas en que se debe adelantar dichas actualizaciones. Esta información fue reportada mediante acta de reunión de seguimiento.</t>
  </si>
  <si>
    <t>Teniendo en cuenta que la información estadística es remitida por la Secretaría General los primeros días del mes siguiente, durante el mes anterior (mayo) se registraron 291 peticiones y se realizó el cierre de 305 peticiones (196 del mismo mes y 109 correspondientes al mes anterior), todas ellas recibidas a través de los distintos canales de atención dispuestos por la Secretaría Distrital de la Mujer y por traslado en el Sistema Distrital para la Gestión de Peticiones Ciudadanas - Bogotá te escucha.</t>
  </si>
  <si>
    <t>Teniendo en cuenta que la información estadística es remitida por la Secretaría General los primeros días del mes siguiente, durante los meses anteriores (diciembre, enero, febrero, marzo, abril y mayo) se registraron 1336 peticiones y se ha realizado el cierre de 1.481 peticiones, todas ellas recibidas a través de los distintos canales de atención dispuestos por la Secretaría Distrital de la Mujer y por traslado en el Sistema Distrital para la Gestión de Peticiones Ciudadanas - Bogotá te escucha.</t>
  </si>
  <si>
    <t>El proceso de Atención a la Ciudadanía participó entre los meses de enero a abril, en los siguientes espacios de articulación interinstitucional, promoción de la cooperación e intercambio de conocimientos en temas de atención a la ciudadanía:
- 16/02/2023: Nodo Central  de la Red Distrital de Quejas y Reclamos (Veeduría Distrital).
- 23/02/2023: Primera Reunión Plenaria de la Red Distrital de Quejas y Reclamos (Veeduría Distrital).
- 07/03/2023: Seminario web Diseño Universal para la Señaletica, organuzado por  la Red Distrital de Quejas y Reclamos (Veeduría Distrital).
- 10/03/2023: Nodo Intersectorial de Formación y Capacitación  de la Red Distrital de Quejas y Reclamos (Veeduría Distrital).</t>
  </si>
  <si>
    <t>En el mes de junio, se elaboró el informe mensual de seguimiento de PQRS y atención a la ciudadanía correspondiente al mes de mayo de 2023.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</si>
  <si>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A la fecha se han elaborado los informes mensuales de seguimiento de PQRS y atención a la ciudadanía correspondiente a los meses de diciembre 2022, enero, febrero, marzo, abril y mayo de 2023. Los informes se encuentran publicados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</si>
  <si>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Por parte de los profesionales de la Dirección de Contratación se procedió con la revisión de los Estudios Previos de prestación de servicios y apoyo a la gestión de la contratación y procesos de bienes y servicios.</t>
  </si>
  <si>
    <t>Por parte de los profesionales de la Dirección de Contratación se procedió con la elaboración de las Minutas de prestación de servicios y apoyo a la gestión y procesos de bienes y servicios.</t>
  </si>
  <si>
    <t>Por parte de los profesionales de la Dirección de Contratación se procedió con la elaboración de Pliegos de Condiciones de los procesos de bienes y servicios.</t>
  </si>
  <si>
    <t>Se remitio correo de seguimiento de publicación de PAABS</t>
  </si>
  <si>
    <t>Se expidieron comunicaciones oficiales, respuesta a SDQS, Derechos de Petición a entes internos y externos.
Se emitieron certificaciones.</t>
  </si>
  <si>
    <t>En este mes se realizo la capacitaciòn  sobre Incumplimiento en los procesos de Contratación  en el cual se expusieron temas relevantes de las diferentes etapas de contrataciòn</t>
  </si>
  <si>
    <t>Se realizaron liquidaciones de contratos suscritos con personas naturales y juridicas bajo la modalidad prestación de servicios profesionales y de bienes y servicio</t>
  </si>
  <si>
    <t>Se remitieron alertas a los supervisores de los contratos de prestación de servicios y apoyo a la gestión y de bienes y servicios para que realicen el tramite de liquidación.</t>
  </si>
  <si>
    <t>En el segundo trimestre se materializó la acción mediante el cual se reportaron los Estudios Previos revisados por el equipo de abogados de las diferentes areas misionales de la Entidad</t>
  </si>
  <si>
    <t>En el segundo trimestre se materializó la acción mediante el cual se reportaron las minutas contractuales elaboradas por el equipo de abogados de las diferentes areas misionales de la Entidad.</t>
  </si>
  <si>
    <t>En el segundo trimestre se materializó la acción mediante el cual se reportaron la elaboración de Pliegos de Condiciones elaboradas por el equipo de abogados de las diferentes areas misionales de la Entidad.</t>
  </si>
  <si>
    <t xml:space="preserve">En el segundo trimestre se reportó  la actualización al PAABS </t>
  </si>
  <si>
    <t>En el segundo trimestre se realizo la capacitaciòn dirigido a los enlaces, supervisores y demas servidores de la Entidad</t>
  </si>
  <si>
    <t>En el segundo trimestre se procedio con el tramite poscontractual de los contratos radicados a la Direcciòn de Contrataciòn</t>
  </si>
  <si>
    <t>Se realizo la remisiòn de memorandos a los supervisores de los contratos informando los plazos perentorios para realizar el tramite poscontractual.</t>
  </si>
  <si>
    <t>En el segundo trimestre se expidieron comunicaciones oficiales, respuesta a SDQS, Derechos de Petición a entes internos y externos. Asi mismo, se emitieron certificaciones</t>
  </si>
  <si>
    <t>Durante el segundo trimestre de 2023, se adelantaron las siguientes acciones, de acuerdo con el Plan de Bienestar Social e Incentivos aprobado para la vigencia 2023:
1. Conmemoración del día de autocuidado. 
2. Conmemoración del día de las y los auxiliares administrativos.
3. Se realizaron jornadas de mindfulness con las diferentes dependencias de la Entidad.
4. Se enviaron mensajes de condolencias. 
5. Se realizaron ferias de servicios de la caja de compensación, salud, financiera, entre otros. 
6. Conmemoración de profesiones.
7. Se realizó socialización de las alianzas del DASCD.
8. Se desarrolló una caminata ecológica, con asistencia de 80 personas.
9. Se realizó la conmemoración del día internacional por la salud de las mujeres con la asistencia de 102 personas.
10. Se realizaron pausas mentales.
11. Se brindó apoyo emocional de primeros auxilios psicológicos a las servidoras que lo solicitaron.
12. Se dio inicio al torneo de bolos 2023, con la participación de 65 servidoras y servidores.
13. Se llevó a cabo la conmemoración del día nacional del servidor público y el 10° aniversario de la entidad. 
14. Se ejecutó el taller de manualidades con asistencia de 43 personas.</t>
  </si>
  <si>
    <t>Durante el primer semestre de 2023, se adelantaron las siguientes acciones, de acuerdo con el Plan de Bienestar Social e Incentivos aprobado para la vigencia 2023:
1. Elaboración y aprobación del plan de Bienestar Social e Incentivos para la vigencia 2023.
2. Conmemoración del día de autocuidado. 
3. Conmemoración del día de las y los auxiliares administrativos.
4. Se realizaron jornadas de mindfulness con las diferentes dependencias de la Entidad.
5. Participación en la actividad cultural de la película ALI.
6. Se enviaron mensajes de condolencias. 
7. Se realizaron ferias de servicios de la caja de compensación, escolar, salud, financiera, entre otros. 
8. Conmemoración del día por los derechos de las mujeres - 8M
9. Conmemoración de profesiones.
10. Se realizó socialización de las alianzas del DASCD.
11. Se desarrolló una caminata ecológica, con asistencia de 80 personas.
12. Se realizó la conmemoración del día internacional por la salud de las mujeres con la asistencia de 102 personas.
13. Se realizaron pausas mentales.
14. Se brindó apoyo emocional de primeros auxilios psicológicos a las servidoras que lo solicitaron.
15. Se dio inicio al torneo de bolos 2023, con la participación de 65 servidoras y servidores.
16. Se llevó a cabo la conmemoración del día nacional del servidor público y el 10° aniversario de la entidad. 
17. Se ejecutó el taller de manualidades con asistencia de 43 personas.
18. Durante el primer trimestre de 2023, se adelantaron las siguientes acciones, de acuerdo con el Plan de Bienestar Social e Incentivos aprobado para la vigencia 2023:</t>
  </si>
  <si>
    <t>Durante el segundo trimestre de 2023, se adelantaron las siguientes acciones de acuerdo con el Plan Institucional de Capacitación aprobado para la vigencia 2023:
1. Capacitación sobre bases conceptuales y funcionamiento del SIDICU, con la asistencia de 122 personas.
2. Charla sobre lenguaje incluyente con la participación de 93 personas.
3. Capacitación sobre servicio a la ciudadanía con la asistencia de 76 personas.
4. Charla sobre prevención en acoso laboral con la participación de 76 personas.
5. Socialización del derecho a la paz con la asistencia de 73 personas.
6. Capacitación sobre el aplicativo KAWAK con la asistencia de 90 personas. 
7. Capacitación sobre el aplicativo SIMISIONAL 2.0 con la participación de 277 personas. 
8. Capacitación sobre ORFEO con la asistencia de 34 personas. 
9. Capacitación en competencias blandas con la participación de 310 personas.
10. Capacitación en lengua de señas con la asistencia de 16 personas.  
11. Capacitación sobre atención a mujeres en busca de personas desaparecidas con asistencia de 42 personas.
12. Capacitación sobre atención incluyente a la ciudadanía, con la participación de 31 personas.
13. Socialización del derecho a la cultura con la asistencia de 52 personas.
14. Capacitación sobre rutas de atención para las violencias contrala mujer con la participación de 82 personas.
15. Capacitación sobre contratación estatal con asistencia de 35 personas.</t>
  </si>
  <si>
    <t>Actividad programada en el plan sobre capacitación de MIPG, la cual no se logró lleva a cabo de acuerdo con lo programado por temas de agenda.</t>
  </si>
  <si>
    <t>Dicha acción se tiene programada para ser ejecutada en el mes de julio.</t>
  </si>
  <si>
    <t>Durante el segundo trimestre de 2023, se adelantaron las siguientes acciones de acuerdo con el Plan Anual de Seguridad y Salud en el Trabajo aprobado para la vigencia 2023:
1. Se realizaron las afiliaciones ARL, de las personas que se vinculan a la entidad.
2. Se actualizaron los documentos del SG-SST.
3. Se realizó la sesión del COPASST.
4. Se realizó seguimiento a la implementación de controles de las matrices de peligros.
5. Se realizó el reporte e investigación de accidentes de trabajo.
6. Se realizaron inspecciones de puestos de trabajo.
7. Se realizó la entrega de suministros para prevención de riesgo biológico, capacitación y seguimiento a casos Covid-19.
8. Se realizaron actividades de prevención de riesgo psicosocial.
9. Se realizaron acompañamientos grupales para promover estilos de vida saludable.
10. Se socializó el programa de prevención de riesgo público y se realizó capacitación de prevención.
11. Se realizaron las evaluaciones médicas ocupacionales de ingreso, periódicas, egreso y post incapacidad requeridas.
12. Se realizó seguimiento a las recomendaciones y condiciones de salud de las servidoras y servidores de la entidad, de acuerdo con los conceptos de los exámenes médicos ocupacionales.
13. *Se registró el resultado de los indicadores del SG-SST, teniendo en cuenta la periodicidad de estos.
14. Se realizó convocatoria para conformar la brigada de emergencias.
15. Se actualizó el Plan Estratégico de Seguridad Vial.
16. Se realizó seguimiento a las sesiones del CCL.
17. Se socializó la información de las matrices de peligros y planes de emergencia.
18. Se realizó seguimiento a las medidas de intervención de los AT.
19. Se realizó capacitación de brigada con énfasis en participación en simulacros.</t>
  </si>
  <si>
    <t>Durante el Primer Semestre de la vigencia 2023, se adelantaron las siguientes gestiones enmarcadas en el Plan Anual de Seguridad y Salud en el Trabajo aprobado para la vigencia 2023:
1. Se realizó la autoevaluación al SG-SST.
2. Se formuló y aprobó el Plan Anual de Seguridad y Salud en el trabajo para la vigencia.
3. Se ejecutaron las afiliaciones ARL de las personas que se vinculan a la entidad.
4. Se adelantaron las sesiones del COPASST con periodicidad mensual.
5. Se realizaron las elecciones del COPASST y Comité de Convivencia Laboral.
6. Se ejecutó la capacitación funciones y generalidades dirigida a representantes COPASST.
7. Se llevó a cabo la socialización de peligros en centros de trabajo.
8. Se realizaron los reportes e investigaciones de accidentes de trabajo. 
9. Se hizo el seguimiento al cumplimiento medidas de intervención de los accidentes de trabajo.
10. Se adelantaron las inspecciones de puesto de trabajo requeridas.
11. Se programó la medición de ruido e iluminación en la CIOM Usme.
12. Se desarrollaron actividades de prevención de riesgo psicosocial. 
13. Se socializaron y se hizo seguimiento a las recomendaciones de los EMO en el marco del programa de estilos de vida saludable.
14. Se llevaron a cabo las evaluaciones médicas ocupacionales de ingreso, periódicas, egreso y post incapacidad.
15. Se registraron los resultados de los indicadores del SG-SST, teniendo en cuenta la periodicidad de estos.
16. Se actualizaron los documentos del SG-SST.
17. Se realizó seguimiento a la implementación de controles de las matrices de peligros.
18. Se realizó la entrega de suministros para prevención de riesgo biológico, capacitación y seguimiento a casos Covid-19.
19. Se realizaron acompañamientos grupales para promover estilos de vida saludable.
20. Se socializó el programa de prevención de riesgo público y se realizó capacitación de prevención.
21. Se realizó convocatoria para conformar la brigada de emergencias.
22. Se actualizó el Plan Estratégico de Seguridad Vial.
23. Se realizó seguimiento a las sesiones del CCL.
24. Se socializó la información de las matrices de peligros y planes de emergencia.
25. Se realizó seguimiento a las medidas de intervención de los AT.
26. Se realizó capacitación de brigada con énfasis en participación en simulacros.</t>
  </si>
  <si>
    <t>Este mes no se reporta avance de este indicador, debido a la periodicidad de su programación de ejecución.</t>
  </si>
  <si>
    <t>Durante el Primer Cuatrimestre de la vigencia 2023, se adelantaron las siguientes gestiones enmarcadas en el Plan de Gestión de Integridad contenido en el Componente de Iniciativas Adicionales del Plan de Anticorrupción y Atención a la Ciudadanía – PAAC:
1. Se realizó la encuesta de identificación de preferencias y necesidades de bienestar e incentivos 2023 - Integridad, diligenciada por 115 personas.
2. Se realizó la evaluación relacionada con las acciones de integridad ejecutadas durante la vigencia 2022, diligenciada por 105 personas.
3. Se realizó la socialización de los resultados de la encuesta sobre las propuestas para actividades 2023 y los resultados de la evaluación de las acciones de integridad ejecutadas en la vigencia 2022 con el equipo de gestoras y gestores de integridad en la reunión realizada el viernes 28 de abril de 2023.
4. Se han realizado publicaciones a través de la Boletina, relacionadas con la difusión y socialización del código de integridad de la Entidad.
5. Desde Soy10 Aprende, de la Alcaldía Mayor de Bogotá, se remitió la invitación a realizar el curso de "Gestores de Integridad: Líderes de la Cultura de Integridad en el Distrito", el cual fue remitido a las gestoras y gestores de integridad de la Entidad. Así mismo, desde la Dirección de Talento Humano, en el mes de abril se remitió el correo "¡Te invitamos a hacer el Curso de Integridad!" a todas las servidoras, servidores y contratistas de la Entidad.
6. Se realizó reunión con el equipo de gestoras y gestores de integridad de la Entidad el viernes 28 de abril de 2023.
7. Desde la Dirección de Talento Humano se expidieron oficios a las servidoras y servidores públicos que se retiraron de la Entidad, donde se indican los lineamientos para el proceso de desvinculación y se solicita la actualización de las declaraciones de bienes y rentas y conflictos de interés.</t>
  </si>
  <si>
    <t>Durante el primer semestre de 2023, se adelantaron las siguientes acciones de acuerdo con el Plan Institucional de Capacitación aprobado para la vigencia 2023:
1. Elaboración y aprobación del plan institucional de capacitación para la vigencia 2023.
2. Difusión del curso sobre gobernanza pública.
3. Capacitación sobre el uso de los nuevos teléfonos IP de la Entidad, asistencia de 16 personas.
4. Jornada de Inducción con la participación de 54 personas.
5. Capacitación en atención a mujeres con enfoque de género, asistencia de 40 personas.
6. Difusión del curso sobre políticas públicas.
7. Capacitación sobre fundamentos de big data, diseño y administración de bases de datos.
8. Capacitación sobre el uso del aplicativo LUCHA, con la asistencia de 69 personas.  
9. Capacitación sobre el uso del aplicativo MESA DE AYUDA, con la participación de 188 personas.
10. Capacitación sobre transversalización de la PPMYEG, con la asistencia de 124 personas. 
11. Capacitación sobre gestión contractual, con participación de 56 personas. 
12. Difusión del curso de Gobernanza Pública: Conceptualización desde los pilares de transparencia, participación y colaboración.
13. Capacitación sobre bases conceptuales y funcionamiento del SIDICU, con la asistencia de 122 personas.
14. Charla sobre lenguaje incluyente con la participación de 93 personas.
15. Capacitación sobre servicio a la ciudadanía con la asistencia de 76 personas.
16. Charla sobre prevención en acoso laboral con la participación de 76 personas.
17. Socialización del derecho a la paz con la asistencia de 73 personas.
18. Capacitación sobre el aplicativo KAWAK con la asistencia de 90 personas. 
19. Capacitación sobre el aplicativo SIMISIONAL 2.0 con la participación de 277 personas. 
20. Capacitación sobre ORFEO con la asistencia de 34 personas. 
21. Capacitación en competencias blandas con la participación de 310 personas.
22. Capacitación en lengua de señas con la asistencia de 16 personas.  
23. Capacitación sobre atención a mujeres en busca de personas desaparecidas con asistencia de 42 personas.
24. Capacitación sobre atención incluyente a la ciudadanía, con la participación de 31 personas.
25. Socialización del derecho a la cultura con la asistencia de 52 personas.
26. Capacitación sobre rutas de atención para las violencias contrala mujer con la participación de 82 personas.
27. Capacitación sobre contratación estatal con asistencia de 35 personas.</t>
  </si>
  <si>
    <r>
      <t xml:space="preserve">
</t>
    </r>
    <r>
      <rPr>
        <b/>
        <sz val="11"/>
        <rFont val="Calibri"/>
        <family val="2"/>
      </rPr>
      <t xml:space="preserve">
Para el período comprendido entre los meses de abril a junio de 2023</t>
    </r>
    <r>
      <rPr>
        <sz val="11"/>
        <rFont val="Calibri"/>
        <family val="2"/>
      </rPr>
      <t xml:space="preserve">, se realizaron las siguientes  transferencias primarias: </t>
    </r>
    <r>
      <rPr>
        <i/>
        <sz val="11"/>
        <rFont val="Calibri"/>
        <family val="2"/>
      </rPr>
      <t>Oficina de Control Interno con 1,5 metros lineales, de la Oficina de Control Disciplinario Interno con 10 metros lineales, Oficina Asesora de Planeación con 0,25 metros lineales, Oficina Asesora Jurídica con 0,75 metros lineales, Subsecretaria del Cuidado y Políticas de Igualdad con 3 metros lineales, Dirección de Derechos y Diseño de Políticas con 2,25 metros lineales y Casa de Todas con 8 metros lineales, Dirección de Gestión del Conocimiento y la Dirección de Enfoque Diferencial, con un total de 0,5 y 1,5 metros lineales, respectivamente. Esto equivale a un total de 8 cajas, equivalentes a 2 metros lineales de los 55 metros proyectados. Para un total en el trimestre  de 26.75 mts lineales.</t>
    </r>
    <r>
      <rPr>
        <sz val="11"/>
        <rFont val="Calibri"/>
        <family val="2"/>
      </rPr>
      <t xml:space="preserve">
</t>
    </r>
  </si>
  <si>
    <r>
      <rPr>
        <b/>
        <sz val="11"/>
        <rFont val="Calibri"/>
        <family val="2"/>
      </rPr>
      <t xml:space="preserve">Como avance acumulado para el primer semestre del año (enero-junio) de 2023, </t>
    </r>
    <r>
      <rPr>
        <sz val="11"/>
        <rFont val="Calibri"/>
        <family val="2"/>
      </rPr>
      <t xml:space="preserve">se gestionó lo correspondiente de la Oficina de Control Interno con 1,5 metros lineales, de la Oficina de Control Disciplinario Interno con 10 metros lineales, Oficina Asesora de Planeación con 0,25 metros lineales, Oficina Asesora Jurídica con 0,75 metros lineales, Subsecretaria del Cuidado y Políticas de Igualdad con 3 metros lineales, Dirección de Derechos y Diseño de Políticas con 2,25 metros lineales y Casa de Todas con 8 metros lineales, Dirección de Gestión del Conocimiento y la Dirección de Enfoque Diferencial, con un total de 0,5 y 1,5 metros lineales, respectivamente. Esto equivale a un total de 8 cajas, equivalentes a 2 metros lineales de los 55 metros proyectados,  </t>
    </r>
    <r>
      <rPr>
        <b/>
        <sz val="11"/>
        <rFont val="Calibri"/>
        <family val="2"/>
      </rPr>
      <t>para un total de 111 cajas equivalentes a 27,75 metros lineales de los 55 metros proyectados, cumpliendo así con la meta propuesta para el reporte al mes de junio.</t>
    </r>
  </si>
  <si>
    <t>No aplica en el período</t>
  </si>
  <si>
    <r>
      <rPr>
        <b/>
        <sz val="11"/>
        <rFont val="Calibri"/>
        <family val="2"/>
      </rPr>
      <t>Para el período comprendido entre los meses de abril a junio de 2023, se actualizaron y publicaron los siguientes instrumentos archivisticos:</t>
    </r>
    <r>
      <rPr>
        <sz val="11"/>
        <rFont val="Calibri"/>
        <family val="2"/>
      </rPr>
      <t xml:space="preserve">
- Mayo: Manual de Gestion Documental
- Junio:  Instructivo Organizar y Administrar el Archivo.
Tambien se llevaron a cabo mesas de trabajo para la actualización de las Tablas de Retención Documental (TRD) de la SDMujer.
Asi mismo, se han llevado a cabo dos sesiones de sensibilización en las dependencias de la entidad, en cumplimiento del plan de sensibilizaciones para la vigencia 2023. La temática abordada fue la Aplicación de TRD y Transferencias Documentales Primarias, así como la implementación de instrumentos archivísticos,así mismo, se realizaron cuatro visitas de seguimiento a  las dependencias</t>
    </r>
  </si>
  <si>
    <r>
      <rPr>
        <b/>
        <sz val="11"/>
        <rFont val="Calibri"/>
        <family val="2"/>
      </rPr>
      <t>Para el período comprendido entre los meses de abril a junio de 2023, se realizaron las siguientes actividades:</t>
    </r>
    <r>
      <rPr>
        <sz val="11"/>
        <rFont val="Calibri"/>
        <family val="2"/>
      </rPr>
      <t xml:space="preserve">
Se apoyo con la búsqueda de opciones para la adquisición del nuevo espacio en donde operará el archivo Central, dada la teminación del contrato actual. 
Se realizaron se realizaron nueve (9) visitas a CIOM: Tunjuelito, Candelaria, Santa Fe, Antonio Nariño, San Cristobal y Rafael Uribe Uribe, Usme y Sumapaz.
Se realizó sensibilización al equipo de trabajo, frente a la manipulación, embalaje e identificación de las cajas para el traslado de la bodega del Archivo Central. Del mismo modo, se definieron los lineamientos técnicos para el almacenamiento y conservación de las Historias Laborales y el uso de sobres de papel bond blanco para los cds.
Como parte de la implementación del Sistema Integrado de Conservación- SIC,  se realizaron las actividades de traslado  pertenenciente a la documentación de la SDMujer, y posteriormente, se realizaron las actividades de organización, ubicación topografica y cambio parcial de las unidades de almacenamiento, cumpliendo con la implementación del Sistema Integrado de Conservación- SIC en su Plan de Conservación Documental.</t>
    </r>
  </si>
  <si>
    <r>
      <rPr>
        <b/>
        <sz val="11"/>
        <rFont val="Calibri"/>
        <family val="2"/>
      </rPr>
      <t xml:space="preserve">Como avance acumulado del primer semestre 2023,  </t>
    </r>
    <r>
      <rPr>
        <sz val="11"/>
        <rFont val="Calibri"/>
        <family val="2"/>
      </rPr>
      <t xml:space="preserve">se realizaron y consolidaron diecisiete (17) visitas a CIOM Tunjuelito, Candelaria,  Santa Fe, Antonio Nariño, San Cristobal, Rafael Uribe Uribe, Bosa,  Engativá, Fontibón,  Suba, Usaquén, Usme, Sumapaz, Mártires, Puente Aranda, Kennedy, Ciudad Bolivar, con el objetivo de realizar la inspección de infraestructura, almacenamiento y revisión del estado general de la documentación. 
Se realizó sensibilización al equipo de trabajo,  frente a la manipulación, embalaje e identificación de las cajas para el traslado de la bodega del Archivo Central. Del mismo modo,  se definieron los lineamientos técnicos para el almacenamiento y conservación de las Historias Laborales y el uso de sobres de papel bond blanco para los cds. 
De igual manera, se obtuvo aprobación de concepto técnico para traslado de bodega por parte del Archivo de Bogotá y se formalizó el contrato No. 944 de 2023, por otro lado, se realizaron las actividades de traslado  pertenenciente a la documentación de la SDMujer, y posteriormente, se realizaron las actividades de organización, ubicación topografica y cambio parcial de las unidades de almacenamiento , cumpliendo con la implementación del Sistema Integrado de Conservación- SIC en su Plan de Conservación Documental.
</t>
    </r>
  </si>
  <si>
    <r>
      <rPr>
        <b/>
        <sz val="11"/>
        <rFont val="Calibri"/>
        <family val="2"/>
      </rPr>
      <t xml:space="preserve">Para el período comprendido entre los meses de abril a junio de 2023, se realizo lo siguiente: 
</t>
    </r>
    <r>
      <rPr>
        <sz val="11"/>
        <rFont val="Calibri"/>
        <family val="2"/>
      </rPr>
      <t>Se realizaron las actividades de desarrollo para la gestión de interoperabilidad entre Orfeo &amp;Icops y la actualización de la matriz HERRAMIENTA DE EVALUACIÓN SGDEA-DC RTF 1.0, con el fin de armonizar este avance, al cumplimiento a la implementación de las estrategias identificadas en el Plan de Preservación Digital a Largo Plazo, del Sistema Integrado de Gestión -SIC.
Se realizo la elaboracion del instructivo para socializar el proceso de
interoperabilidad realizado entre los operativos ICOPS y ORFEO en implementación de las
estrategias identificadas en el Plan de Preservación Digital a Largo Plazo, del Sistema Integrado de
Gestión -SIC. se inició la elaboración del documento "Esquema de Metadatos", con base en los
lineamientos dados por el Archivo Distrital de Bogotá y el Archivo General de la Nación, y en
cumplimiento de las normas que aplican para este tipo de documentos. 
Se continuó con la realización de las mesas técnicas y desarrollos para fortalecer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Se finaliza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Por otro lado, se inicia con la definición del Instrumento ArchivÍstico Modelo de Requisitos del Sistema de Documentos  Electrónicos de Archivo con base en lo establecido en el Decreto 1080 de 2015.</t>
    </r>
  </si>
  <si>
    <r>
      <rPr>
        <b/>
        <sz val="11"/>
        <rFont val="Calibri"/>
        <family val="2"/>
      </rPr>
      <t>Como avance acumulado del primer semestre 2023,</t>
    </r>
    <r>
      <rPr>
        <sz val="11"/>
        <rFont val="Calibri"/>
        <family val="2"/>
      </rPr>
      <t xml:space="preserve">  se realizaron las actividades de desarrollo para la gestión de interoperabilidad entre Orfeo y Icops y la elaboracion  del  instructivo para socializar el proceso de interoperabilidad realizado entre los operativos ICOPS y ORFEO en  implementación de las estrategias identificadas en el Plan de Preservación Digital a Largo Plazo, del Sistema Integrado de Gestión -SIC. se inició la elaboración del documento "Esquema de Metadatos", con base en los lineamientos dados por el Archivo Distrital de Bogotá y el Archivo General de la Nación, y en cumplimiento de las normas que aplican para este tipo de documentos, por otro lado, se continúa con la definición y estructura del documento "Esquema de Metadatos", con base en los lineamientos dados por el Archivo Distrital de Bogotá y el Archivo General de la Nación, y en cumplimiento de las normas que aplican para este tipo de documentos. Se finaliza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Por tro lado, se inicia con la definición del Instrumento ArchivÍstico Modelo de Requisitos del Sistema de Documentos  Electrónicos de Archivo con base en lo establecido en el Decreto 1080 de 2015.</t>
    </r>
  </si>
  <si>
    <r>
      <rPr>
        <b/>
        <sz val="11"/>
        <rFont val="Calibri"/>
        <family val="2"/>
      </rPr>
      <t>Para el período comprendido entre los meses de abril a junio de 2023, se realizaron las siguientes  intervenciones:
S</t>
    </r>
    <r>
      <rPr>
        <sz val="11"/>
        <rFont val="Calibri"/>
        <family val="2"/>
      </rPr>
      <t xml:space="preserve">e realizó intervención archivística de la documentación de la Dirección Administrativa
y Financiera a de las series Libros Contables, Informes, Conciliaciones Contables con un
total de 6 cajas que equivalen a 1,5 metros lineales, Dirección de Derechos y Diseño y Políticas y Subsecretaria del Cuidado y Políticas de Igualdad, Dirección de Talento Humano donde se realizó organización documental (clasificación, ordenación, foliación y descripción) con un total de 12 cajas (X200) que equivalen a 3 metros lineales.  Por otro lado, se realizó intervención archivística de la documentación de la Dirección de Contratación, serie documental Contratos, realizando el proceso de organización documental (clasificación, ordenación, foliación, descripción) con un total de 6 cajas (X-200) que equivalen a 1,5 metros lineales. Además de estas actividades, se realizó el realmacenamiento de las unidades de conservación (carpetas) y almacenamiento (cajas) de un total de 80 cajas (X-200), equivalentes a 20 metros lineales. </t>
    </r>
    <r>
      <rPr>
        <b/>
        <sz val="11"/>
        <rFont val="Calibri"/>
        <family val="2"/>
      </rPr>
      <t>En total, se han almacenado 98 cajas, equivalentes a 24,5 metros lineales de los 150 programados</t>
    </r>
    <r>
      <rPr>
        <sz val="11"/>
        <rFont val="Calibri"/>
        <family val="2"/>
      </rPr>
      <t>. Todas estas actividades se enmarcan dentro de la implementación del Sistema Integrado de Conservación.</t>
    </r>
  </si>
  <si>
    <r>
      <rPr>
        <b/>
        <sz val="11"/>
        <rFont val="Calibri"/>
        <family val="2"/>
      </rPr>
      <t>Como avance acumulado para el primer semestre del año (enero-junio) de 2023</t>
    </r>
    <r>
      <rPr>
        <sz val="11"/>
        <rFont val="Calibri"/>
        <family val="2"/>
      </rPr>
      <t xml:space="preserve">,  se realizó (clasificación, ordenación, foliación y descripción) de archivos intervenidos en metros lineales así: Para el mes de enero se consolida la contratación del recurso necesario profesionales, técnicos y auxiliares para ejecutar las actividades programadas para la vigencia, se realizó (clasificación, ordenación, foliación y descripción) de los documentos de gestión de las dependencias: Dirección de Talento Humano, Dirección de Contratación, Dirección Administrativa y Financiera, Dirección de Derechos y Diseño y Políticas y Subsecretaria del Cuidado y Políticas
de Igualdad. </t>
    </r>
    <r>
      <rPr>
        <b/>
        <sz val="11"/>
        <rFont val="Calibri"/>
        <family val="2"/>
      </rPr>
      <t>El total de archivos intervenidos acumulados es de 15 metros lineales en febrero, 8,25 mts lineales
en marzo, 16,25mts lineales en abril, 15 metros lineales en mayo y 24,5 mts lineales en el mes de junio,  para un acumulado de 79 metros  lineales de los 150 proyectados.</t>
    </r>
  </si>
  <si>
    <r>
      <rPr>
        <b/>
        <sz val="11"/>
        <rFont val="Calibri"/>
        <family val="2"/>
      </rPr>
      <t>El avance acumulado entre los meses de enero a junio de 2023,</t>
    </r>
    <r>
      <rPr>
        <sz val="11"/>
        <rFont val="Calibri"/>
        <family val="2"/>
      </rPr>
      <t xml:space="preserve"> en cuanto a los instrumentos actualizados y publicados son:
- En enero / PINAR
- En marzo / Caracterizacion del proceso.
- En mayo / Manual de Gestion Documental
- En junio / Instructivo Organizar y Administrar el Archivo.
En cuanto a las sensibilizaciones el avance acumulado entre los meses de enero a junio de 2023, es de 19  sensibilizaciones realizadas a Servidoras (es) de las dependencias de acuerdo al plan de sensibilizaciones vigencia 2023 con temática Aplicación de Tabla de Retención Documental; se efectúa implementación de instrumentos archivísticos Fuid en Línea Ciom Barrios Unidos, se realiza actualización y publicación de la caracterización del proceso de Gestión Documental;  se realiza actualización y publicación del Manual de Gestión Documental, Instructivo Organizar y Administrar el Archivo y cinco formatos asociados al proceso, los cuales se encuentran disponibles para uso y consulta y se han realizado mesas de trabajo para realizar la actualización a las TRD de la SDMujer.
Se realizó implementación de instrumentos archivísticos Fuid en Línea Ciom Barrios Unidos, se realiza actualización y publicación de la caracterización del proceso de Gestión Documental, se realizan mesas de trabajo para actualización de los formatos asociados al proceso de Gestión Documental; Asimismo, se realizaron 4 visitas de seguimiento a nivel central de acuerdo al cronograma 2023.
 </t>
    </r>
  </si>
  <si>
    <r>
      <t xml:space="preserve">En cumplimiento con lo establecido en la Carta Circular 121 de 2023 "Publicación de Informes financieros y contables para los Entes Públicos Distales", Resolución 356 de 2022 "Por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 Resolución No. DCC-000004 de 2022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y el numeral 7 del Manual de Operaciones Contables adoptado mediante Resolución No 177 de 2020, el cual indica... "Publicación de los Estados Contables. La Dirección de Gestión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t>
    </r>
    <r>
      <rPr>
        <b/>
        <sz val="10"/>
        <color indexed="8"/>
        <rFont val="Calibri"/>
        <family val="2"/>
      </rPr>
      <t>El 14 de junio del 2023 se publicó en la página Web de la entidad los siguientes estados financieros:</t>
    </r>
    <r>
      <rPr>
        <sz val="10"/>
        <color indexed="8"/>
        <rFont val="Calibri"/>
        <family val="2"/>
      </rPr>
      <t xml:space="preserve">   Estado de Situación Financiera Mayo 2023 - Marzo 2023, Estado de Resultado Mayo 2023 y Certificación de los estados financieros.</t>
    </r>
  </si>
  <si>
    <r>
      <rPr>
        <b/>
        <sz val="10"/>
        <color indexed="8"/>
        <rFont val="Calibri"/>
        <family val="2"/>
      </rPr>
      <t xml:space="preserve"> El avance acumulado entre enero y junio, se relaciona a continuación: </t>
    </r>
    <r>
      <rPr>
        <sz val="10"/>
        <color indexed="8"/>
        <rFont val="Calibri"/>
        <family val="2"/>
      </rPr>
      <t xml:space="preserve">
</t>
    </r>
    <r>
      <rPr>
        <b/>
        <sz val="10"/>
        <color indexed="8"/>
        <rFont val="Calibri"/>
        <family val="2"/>
      </rPr>
      <t xml:space="preserve">- El 31 de Enero de 2023, se publicaron los Estados Financieros comparativos período de diciembre 2022-2021: </t>
    </r>
    <r>
      <rPr>
        <sz val="10"/>
        <color indexed="8"/>
        <rFont val="Calibri"/>
        <family val="2"/>
      </rPr>
      <t xml:space="preserve">SITUACION FINANCIERA DICIEMBRE 2022 – ESTADO DE ACTIVIDAD FINANCIERA ECONOMICA SOCIAL Y AMBIENTAL DICIEMBRE 2022 –– CERTIFICACION A LOS ESTADOS FINANCIEROS DICIEMBRE 2022 – CAMBIO EN EL PATRIMONIO - NOTAS A LOS ESTADOS FINANCIEROS A 31 DE DICIEMBRE 2022 – VARIACIONES TRIMESTRALES SIGNIFICATIVAS DICIEMBRE 2022  – CGN2005_001_SALDOS_Y_MOVIMIENTOS DIC 2022 –  CGN 2015 002 RECIPROCAS DIC 2022. 
Por otro lado, los formatos de COVID 19 se derogaron mediante resolución No. 225 del 24 de agosto de 2022 expedida por la Contaduría General de la Nación.
- </t>
    </r>
    <r>
      <rPr>
        <b/>
        <sz val="10"/>
        <color indexed="8"/>
        <rFont val="Calibri"/>
        <family val="2"/>
      </rPr>
      <t>El 20 de febrero del 2023</t>
    </r>
    <r>
      <rPr>
        <sz val="10"/>
        <color indexed="8"/>
        <rFont val="Calibri"/>
        <family val="2"/>
      </rPr>
      <t xml:space="preserve"> se publicó en la página Web de la entidad los Estados Financieros comparativos periodo de enero 2023-2022, los cuales se relacionan a continuación:   1. ESTADO DE SITUACION FINANCIERA ENERO 2023 – 2. ESTADO DE RESULTADO ENERO 2023 –– 4. CERTIFICACIÓN EF ENERO 2023 – NOTAS A LOS ESTADOS FINANCIEROS A 31 DE ENERO 2023.  y el 17 de marzo del 2023 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31 DE FEBRERO 2023.
</t>
    </r>
    <r>
      <rPr>
        <b/>
        <sz val="10"/>
        <color indexed="8"/>
        <rFont val="Calibri"/>
        <family val="2"/>
      </rPr>
      <t xml:space="preserve"> - El 17 de marzo del 2023 </t>
    </r>
    <r>
      <rPr>
        <sz val="10"/>
        <color indexed="8"/>
        <rFont val="Calibri"/>
        <family val="2"/>
      </rPr>
      <t xml:space="preserve">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28 DE FEBRERO 2023.
- </t>
    </r>
    <r>
      <rPr>
        <b/>
        <sz val="10"/>
        <color indexed="8"/>
        <rFont val="Calibri"/>
        <family val="2"/>
      </rPr>
      <t xml:space="preserve">El 20 de abril del 2023 </t>
    </r>
    <r>
      <rPr>
        <sz val="10"/>
        <color indexed="8"/>
        <rFont val="Calibri"/>
        <family val="2"/>
      </rPr>
      <t xml:space="preserve">se publicó en la página Web de la entidad los Estados Financieros comparativos periodo de marzo 2023-2022,  1 Estado de Situación Financiera Marzo 2023 – 2 Estado de Resultados Marzo 2023 - 3 Certificación Ef Marzo 2023 – 4 Notas A Los Estados Financieros A 31 De Marzo 2023 - 5 Cgn2015_001_Saldos_Y_Movimientos 1er Trimestre Marzo 2023 - 6 Cgn 2015 002 Reciprocas 1t Marzo 2023 - 7 Cgn 2016 01 Variaciones Final Marzo 2023. 
</t>
    </r>
    <r>
      <rPr>
        <b/>
        <sz val="10"/>
        <color indexed="8"/>
        <rFont val="Calibri"/>
        <family val="2"/>
      </rPr>
      <t>- El 19 de mayo del 2023</t>
    </r>
    <r>
      <rPr>
        <sz val="10"/>
        <color indexed="8"/>
        <rFont val="Calibri"/>
        <family val="2"/>
      </rPr>
      <t xml:space="preserve"> se publicó en la página Web de la entidad los siguientes estados financieros:  
1. ESTADO DE SITUACION FINANCIERA ABRIL 2023 – MARZO 2023, 
2. ESTADO DE RESULTADO ABRIL 2023-2022 y 3. CERTIFICACIÓN EF ABRIL 2023. 
Adicionalmente se publicó:
1. ESTADO DE SITUACION FINANCIERA MARZO 2023 - DIC 2022 
2. NOTAS A LOS ESTADOS FINANCIEROS A 31 DE MARZO 2023. 
</t>
    </r>
    <r>
      <rPr>
        <b/>
        <sz val="10"/>
        <color indexed="8"/>
        <rFont val="Calibri"/>
        <family val="2"/>
      </rPr>
      <t>- El 14 de junio del 2023</t>
    </r>
    <r>
      <rPr>
        <sz val="10"/>
        <color indexed="8"/>
        <rFont val="Calibri"/>
        <family val="2"/>
      </rPr>
      <t xml:space="preserve"> se publicó en la página Web de la entidad los siguientes estados financieros:   Estado de Situación Financiera Mayo 2023 - Marzo 2023, Estado de Resultado Mayo 2023 y Certificación de los estados financieros.</t>
    </r>
  </si>
  <si>
    <r>
      <rPr>
        <b/>
        <sz val="11"/>
        <color indexed="8"/>
        <rFont val="Calibri"/>
        <family val="2"/>
      </rPr>
      <t>El 18 de enero de 2023,</t>
    </r>
    <r>
      <rPr>
        <sz val="11"/>
        <color indexed="8"/>
        <rFont val="Calibri"/>
        <family val="2"/>
      </rPr>
      <t xml:space="preserve"> se reportó en la plataforma de la Secretaría Distrital de Hacienda, la información de los artículos 1º y 2º de la Resolución SDH 415 de 2016, </t>
    </r>
    <r>
      <rPr>
        <b/>
        <sz val="11"/>
        <color indexed="8"/>
        <rFont val="Calibri"/>
        <family val="2"/>
      </rPr>
      <t xml:space="preserve">correspondiente al informe de estampillas distritales del período comprendido entre el 1 de julio al 31 de diciembre de 2022.
</t>
    </r>
    <r>
      <rPr>
        <sz val="11"/>
        <color indexed="8"/>
        <rFont val="Calibri"/>
        <family val="2"/>
      </rPr>
      <t xml:space="preserve">
</t>
    </r>
    <r>
      <rPr>
        <b/>
        <sz val="11"/>
        <color indexed="8"/>
        <rFont val="Calibri"/>
        <family val="2"/>
      </rPr>
      <t>El 20 de abril de 2023</t>
    </r>
    <r>
      <rPr>
        <sz val="11"/>
        <color indexed="8"/>
        <rFont val="Calibri"/>
        <family val="2"/>
      </rPr>
      <t xml:space="preserve">, la Secretaria de Hacienda Distrital Oficina de consolidación transmitio en la plataforma Muisca de la Dirección de Impuestos y Aduanas Nacionales - DIAN de la Secretaría Distrital de Hacienda, la información de los de los foramtos 1001 - Información de pagos o abonos en cuenta y de retenciones en la fuente practicadas, Formato 1009: Información del saldo de los pasivos a 31 de diciembre, Formato 2575 Información de donaciones recibidas y certificadas por las entidades no contribuyentes y Formato 2276: Información del certificado de ingresos y retenciones para personas naturales empleados por el año gravable 2022”, en cumplimiento a lo dispuesto en la Resolución 000124 de octubre 28 de 2021 expedida por la Dirección de Impuestos y Aduanas Nacionales.
</t>
    </r>
  </si>
  <si>
    <r>
      <rPr>
        <b/>
        <sz val="11"/>
        <color indexed="8"/>
        <rFont val="Calibri"/>
        <family val="2"/>
      </rPr>
      <t>Durante el mes de JUNIO,</t>
    </r>
    <r>
      <rPr>
        <sz val="11"/>
        <color theme="1"/>
        <rFont val="Calibri"/>
        <family val="2"/>
      </rPr>
      <t xml:space="preserve"> se atendieron todas las solicitudes de certificados presupuestales recibidas expidiendo lo que se relaciona a continuación:
- 49 Certificados de Disponibilidad Presupuestal -CDP
- 81 Certificados de Registro Presupuestal - CRP</t>
    </r>
  </si>
  <si>
    <r>
      <t xml:space="preserve">Entre el período comprendido entre los meses de </t>
    </r>
    <r>
      <rPr>
        <b/>
        <sz val="11"/>
        <color indexed="8"/>
        <rFont val="Calibri"/>
        <family val="2"/>
      </rPr>
      <t>enero a 30 de junio de 2023</t>
    </r>
    <r>
      <rPr>
        <sz val="11"/>
        <color theme="1"/>
        <rFont val="Calibri"/>
        <family val="2"/>
      </rPr>
      <t>, las expediciones acumuladas, son las siguientes: 
- 1.267  Certificados  de Disponibilidad Presupuestal . CDP
- 1.258  Certificados de Registro Presupuestal - CRP</t>
    </r>
  </si>
  <si>
    <r>
      <rPr>
        <b/>
        <sz val="11"/>
        <color indexed="8"/>
        <rFont val="Calibri"/>
        <family val="2"/>
      </rPr>
      <t xml:space="preserve">Durante el mes de JUNIO, </t>
    </r>
    <r>
      <rPr>
        <sz val="11"/>
        <color theme="1"/>
        <rFont val="Calibri"/>
        <family val="2"/>
      </rPr>
      <t>se publica en la página web de la entidad (mes vencido) la ejecución presupuestal. En el mes de JUNIO se publicó la información relativa al mes de MAYO2023.</t>
    </r>
  </si>
  <si>
    <r>
      <t>Mensualmente se publica en la página web de la entidad la ejecución presupuestal del mes inmediatamente anterior.</t>
    </r>
    <r>
      <rPr>
        <b/>
        <sz val="11"/>
        <color indexed="8"/>
        <rFont val="Calibri"/>
        <family val="2"/>
      </rPr>
      <t xml:space="preserve"> Este año se han realizado las respectivas publicaciones  en los meses de enero, febrero, marzo, abril, mayo y junio-.</t>
    </r>
  </si>
  <si>
    <r>
      <rPr>
        <b/>
        <sz val="11"/>
        <color indexed="8"/>
        <rFont val="Times New Roman"/>
        <family val="1"/>
      </rPr>
      <t xml:space="preserve">El acumulado para el mes de abril de 2023 es el siguiente: 
</t>
    </r>
    <r>
      <rPr>
        <sz val="11"/>
        <color indexed="8"/>
        <rFont val="Times New Roman"/>
        <family val="1"/>
      </rPr>
      <t xml:space="preserve">
- 1 Informe de seguimiento del IV trimestre de la vigencia 2022, presentado en el mes de enero a la OCI. 
- 1 Informe consolidado Anual de Austeridad Presentado al Consejo de Bogotá en el mes de Febrero de 2023.
- 1 informe trimestral de seguimiento a las medidas de austeridad para el primer trimestre de la vigencia 2023.</t>
    </r>
  </si>
  <si>
    <t>Se gestionó (seguimiento, trazabilidad y asignaciòn) del 100% de las mesas de ayuda del mes de Junio, cuyo total fue de 111 requerimientos, distribuidos de la siguiente manera:
- Almacén recibió y gestionó 53 solicitudes.
- Mantenimiento recibió y gestionó 58 solicitudes."</t>
  </si>
  <si>
    <r>
      <t xml:space="preserve">El avance acumulado del  seguimiento, trazabilidad y asignación de las mesas de ayuda, en el aplicativo Mesa de Ayuda es el siguiente:
- Enero: 43 requerimientos recibidos
- Febrero: 157 requerimientos recibidos
- Marzo: 146 requerimientos recibidos
- Abril: 104 requerimientos recibidos 
- Mayo: 144 requierimientos recibidos
- Junio: 111 requerimientos recibidos 
El  total  acumulado es de 705 solicitudes recibidas y gestionadas al 100%, de las cuales  </t>
    </r>
    <r>
      <rPr>
        <b/>
        <sz val="11"/>
        <color indexed="8"/>
        <rFont val="Times New Roman"/>
        <family val="1"/>
      </rPr>
      <t>el  almacen recibio y gestionó 349 y Mantenimiento gestionó 356</t>
    </r>
    <r>
      <rPr>
        <sz val="11"/>
        <color indexed="8"/>
        <rFont val="Times New Roman"/>
        <family val="1"/>
      </rPr>
      <t>. Cumpliendo con lo propuesto y dando respuesta oportuna a los requerimientos.</t>
    </r>
  </si>
  <si>
    <t>Las mesas de ayuda cerradas, correspondientes al mes de mayo (mes vencido) fueron de 530 mesas de 594 solicitadas, lo cual representa un 89% de la meta propuesta mes vencido.</t>
  </si>
  <si>
    <t xml:space="preserve">El avance acumulado del  seguimiento, trazabilidad y asignación de las mesas de ayuda, en el aplicativo Mesa de Ayuda es el siguiente:
- Enero: 43 requerimientos recibidos - 47%
- Febrero: 157 requerimientos recibidos - 79%
- Marzo: 146 requerimientos recibidos - 92%
- Abril: 104 requerimientos recibidos - 91%
- Mayo: 144 requerimientos recibidos - 92%
- Junio: 111 requerimientos recibidos - 89%
En total se cerraron un total acumulado de 530 mesas de ayuda al corte de mes de mayo. </t>
  </si>
  <si>
    <t>Nombre: Dayra Marcela Aldana Diaz</t>
  </si>
  <si>
    <t>Con corte a 30 de junio:
- Se ha realizado la revisión mensual del reporte de seguimiento del plan de acción con el corte al cierre del mes inmediatamente anterior de los proyectos de inversión. 
- Se realizó la revisión de la formulación y actualización del plan de acción de los proyectos de inversión para el 2023.
- Se realizó el correspondiente acompañamiento en el cargue del seguimiento mensual con corte al cierre del mes inmediatamente anterior de los proyectos de inversión en DNP-SPI.
- Se realizó el cargue del seguimiento de los proyectos de inversión con corte al 4 trimestre del 2022 y 1 trimestre del 2023 en la plataforma Segplan y la reformulación del 2023. 
- Se han elaborado respuestas y consolidado insumos para atender derechos de petición, proposiciones y requerimientos de información.
En el mes de junio:
- Se realizó la revisión del reporte de seguimiento del plan de acción con corte al 31 de mayo de 2023.
- Se realizó el correspondiente acompañamiento en el cargue del seguimiento con corte al 31 de mayo de 2023 en DNP-SPI.
- Se dió respuesta a requerimientos de información: Solicitud de insumos visita administrativa Línea Purpura 26-06-2023 - Personería Delegada para los Sectores Mujeres e Integración Social.</t>
  </si>
  <si>
    <t>En el marco del seguimiento al cumplimiento de la Política de Gestión Documental en la entidad desde el Proceso de Gestión Documental, se da cumplimiento al cronograma de trabajo establecido para la vigencia frente a la gestión de transferencia documental, según cronograma aprobado en sesión No. 1 del Comité Institucional de Gestión y Desempeño. 
Para el total de archivos transferidos se gestionó lo correspondiente de parte de la Oficina Asesora de Planeación con 0,25 metros lineales, Oficina Asesora Jurídica con 0,75 metros lineales, Oficina de Control Interno con 1,5 metros lineales, Oficina de Control Disciplinario Interno con 10 metros lineales, Subsecretaria del Cuidado y Políticas de Igualdad con 3 metros lineales, Dirección de Derechos y Diseño de Políticas con 2,25 metros lineales y Casa de Todas con 8 metros lineales, Dirección de Gestión del Conocimiento con 0,5 metros lineales y Dirección de Enfoque Diferencial con 1,5 metros lineales para un total de 111 cajas equivalentes a 27,75 metros lineales de los 55 metros proyectados.
El total de archivos intervenidos en metros lineales se generó así: Para el mes de enero se consolida la contratación del recurso necesario profesionales, técnicos y auxiliares para ejecutar las actividades programadas para la vigencia, para el mes de febrero se intervinieron 15 metros lineales, para el mes de marzo 8,25 metros lineales, para el mes de abril 16,25 metros  lineales, para el mes de mayo 14 metros lineales y para el mes de junio 24,5 metros lineales para un acumulado de 79 metros lineales, de los 150 proyectados
Por otro lado, se atendió la encuesta de seguimiento estratégico a la Gestión Documental Archivo de Bogotá y se recibe informe con un avance del 79% para la SDMujer. Asimismo, se obtuvo aprobación de concepto técnico para traslado de bodega por parte del Archivo de Bogotá. Se formalizó contrato No. 944 de 2023, cumpliendo con la implementación del Sistema Integrado de Conservación- SIC en su Plan de Conservación Documental. se inició la elaboración del documento "Esquema de Metadatos", con base en los lineamientos dados por el Archivo Distrital de Bogotá y el Archivo General de la Nación, y en cumplimiento de las normas que aplican para este tipo de documentos. Se continuó con la realización de las mesas técnicas y desarrollos para fortalecer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De igual manera, se realizaron las actividades de traslado  pertenenciente a la documentación de la SDMujer, y posteriormente, se realizaron las actividades de organización y ubicación topografica y cambio parcial de las unidades de almacenamiento , cumpliendo con la implementación del Sistema Integrado de Conservación- SIC en su Plan de Conservación Documental.
Asimismo, se llevó a cabo la actualización del instructivo GD-IN-1 - ORGANIZAR Y ADMINISTRAR EL ARCHIVO y  se han realizado mesas de trabajo para realizar la actualización a las TRD de la SDMujer.  Adicionalmente, se continúa con la definición y estructura del documento "Esquema de Metadatos", con base en los lineamientos dados por el Archivo Distrital de Bogotá y el Archivo General de la Nación, y en cumplimiento de las normas que aplican para este tipo de documentos. Se finaliza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Por tro lado, se inicia con la definición del Instrumento ArchivÍstico Modelo de Requisitos del Sistema de Documentos  Electrónicos de Archivo con base en lo establecido en el Decreto 1080 de 2015.</t>
  </si>
  <si>
    <t>No aplica</t>
  </si>
  <si>
    <t xml:space="preserve">El avance en las actividades hasta la fecha ha fortalecido la gestión  y seguimiento a la implementación de la Gestión Documental. La integración e identificación física y electrónica de todos los documentos ha permitido evitar la pérdida de la documentación y reducir el tiempo de respuesta . 
De igual manera, se ha dado cumplimiento a la normatividad vigente en la implementación de los Instrumentos Archivísticos. Estos instrumentos   ayudan a estandarizar y estructurar los procesos de Gestión Documental, dando un  valor correspondiente a la documentación,permitiendo realizar controles y seguimiento a la información producida, lo que facilita la toma de decisiones en el marco de la misionalidad de la entidad.
</t>
  </si>
  <si>
    <r>
      <rPr>
        <b/>
        <sz val="11"/>
        <rFont val="Times New Roman"/>
        <family val="1"/>
      </rPr>
      <t>Con corte al 30 de junio de la vigencia 2023</t>
    </r>
    <r>
      <rPr>
        <sz val="11"/>
        <rFont val="Times New Roman"/>
        <family val="1"/>
      </rPr>
      <t>, se realizaron las transferencias primarias de la Dirección de Gestión del Conocimiento con 0,5 metros lineales y de la Dirección de Enfoque Diferencial con 1,5 metros lineales, para un total de 8 cajas equivalentes a 2 metros lineales de los 55 metros proyectados.
Del mes de enero al mes de junio, se tienen un total de 27,75 metros lineales, cumpliendo con la meta propuesta para el reporte al mes de junio.
-Adicionalmente se realizó intervención archivística de 98 cajas equivalentes a 24,5 metros lineales de los 150 programados, cumpliendo así con la meta mensual.
Además, se realizaron cuatro visitas de seguimiento a las dependencias Subsecretaria de Fortalecimiento de Capacidades y Oportunidades, Dirección del Sistema del Cuidado, Dirección de Territorialización y Dirección de Eliminación de Violencias con la finalidad de hacer seguimiento a la organización documental. Por otro lado, se realizaron sensibilizaciones frente al tema Aplicación de Tablas de Retención, dando cumplimiento al cronograma de Sensibilizaciones Vigencia 2023.
-De igual manera, se realizaron las actividades de traslado  pertenenciente a la documentación de la SDMujer, y posteriormente, se realizaron las actividades de organización, ubicación topografica y cambio parcial de las unidades de almacenamiento , cumpliendo con la implementación del Sistema Integrado de Conservación- SIC en su Plan de Conservación Documental.
-Asimismo, se llevó a cabo la actualización  y publicación del instructivo GD-IN-1 - ORGANIZAR Y ADMINISTRAR EL ARCHIVO y se han realizado mesas de trabajo para realizar la actualización a las TRD de la SDMujer. 
Adicionalmente, se continúa con la definición y estructura del documento "Esquema de Metadatos", con base en los lineamientos dados por el Archivo Distrital de Bogotá y el Archivo General de la Nación, y en cumplimiento de las normas que aplican para este tipo de documentos. Se finaliza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Por tro lado, se inicia con la definición del Instrumento ArchivÍstico Modelo de Requisitos del Sistema de Documentos  Electrónicos de Archivo con base en lo establecido en el Decreto 1080 de 2015.</t>
    </r>
  </si>
  <si>
    <t xml:space="preserve">Con corte al 30 de junio de la vigencia 2023, sse realizaron las transferencias primarias de la Dirección de Gestión del Conocimiento con 0,5 metros lineales y de la Dirección de Enfoque Diferencial con 1,5 metros lineales, para un total de 8 cajas equivalentes a 2 metros lineales de los 55 metros proyectados. 
Del mes de enero al mes de Junio, se tienen un total de 27,75 metros lineales, cumpliendo con la meta propuesta para el reporte al mes de junio.
</t>
  </si>
  <si>
    <t>Con corte a 30 de junio de la vigencia 2023,  se realizó intervención archivística de la documentación de la Dirección de Talento Humano donde se realizó organización documental (clasificación, ordenación, foliación y descripción) con un total de 12 cajas (X200) que equivalen a 3 metros lineales.  Por otro lado, se realizó intervención archivística de la documentación de la Dirección de Contratación, serie documental Contratos, realizando el proceso de organización documental (clasificación, ordenación, foliación, descripción) con un total de 6 cajas (X-200) que equivalen a 1,5 metros lineales. Como actividades adicionales a la implementación del Sistema Integrado de Conservación, se realizó el realmacenamiento a las  unidades de conservación (carpetas) y almacenamiento (cajas) de 80 cajas X-200, equivalentes a 20 metros lineales, para un total de 98 cajas equivalentes a 24,5 metros lineales, de los 150 programados.  El total de archivos intervenidos acumulado es de 15 metros lineales en febrero, 8,25 en marzo, 16,25 en abril, 15 metros lineales en mayo y 24,5 metros lineames en junio para un acumulado de 79 metros lineales, de los 150 proyectados, cumpliendo así con la meta mensual.</t>
  </si>
  <si>
    <t xml:space="preserve">Con corte al 30 de junio de la vigencia 2023,-Asimismo, se llevó a cabo la actualización  y publicación del instructivo GD-IN-1 - ORGANIZAR Y ADMINISTRAR EL ARCHIVO y se han realizado mesas de trabajo para realizar la actualización a las TRD de la SDMujer. Por otro lado, se realizan 2 sensibilizaciones a las dependencias  de acuerdo al plan de sensibilizaciones vigencia 2023 con la temática Aplicación de TRD y Transferencias Documentales Primarias e implementación de instrumentos archivísticos. Asimismo, se realizaron 4  visitas de seguimiento tanto a nivel central de acuerdo al cronograma 2023. </t>
  </si>
  <si>
    <t xml:space="preserve">Con corte a 30 de Junio de la vigencia 2023,  y como parte de la implementación del Sistema Integrado de Conservación- SIC,  se realizaron las actividades de traslado  pertenenciente a la documentación de la SDMujer, y posteriormente, se realizaron las actividades de organización, ubicación topografica y cambio parcial de las unidades de almacenamiento , cumpliendo con la implementación del Sistema Integrado de Conservación- SIC en su Plan de Conservación Documental.
</t>
  </si>
  <si>
    <t>Con corte a 30 de mayo de la vigencia 2023 , se continúa con la definición y estructura del documento "Esquema de Metadatos", con base en los lineamientos dados por el Archivo Distrital de Bogotá y el Archivo General de la Nación, y en cumplimiento de las normas que aplican para este tipo de documentos. Se finaliza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Por tro lado, se inicia con la definición del Instrumento ArchivÍstico Modelo de Requisitos del Sistema de Documentos  Electrónicos de Archivo con base en lo establecido en el Decreto 1080 de 2015.</t>
  </si>
  <si>
    <r>
      <rPr>
        <b/>
        <sz val="11"/>
        <rFont val="Times New Roman"/>
        <family val="1"/>
      </rPr>
      <t xml:space="preserve">En el mes de junio:
</t>
    </r>
    <r>
      <rPr>
        <sz val="11"/>
        <rFont val="Times New Roman"/>
        <family val="1"/>
      </rPr>
      <t xml:space="preserve">Se actualizaron 23 documentos de diferentes procesos de la entidad y se atendieron 7 solicitudes de creaciones y permisos de usuarios, capacitaciones del SIG.
Planes de mejoramiento: Se atienden 12 solicitudes de las 12 recibidas, teniendo un avance del 100%. 
Se realizó comité MIPG No 7 presentando resultados de Planes de mejora Furag,planes institucionales e informes de gestión. Se inica diligenciamiento FURAG 2022 o para revisar respuesta a FURAG, se continu definición de estrategia racionalización de trámites.
Se termino la migración de la información de los 22 procesos de riesgos y sus controles a las nuevas matrices de gestion y corrupción. 
Se realizan reportes viajes en bici. rRecolección de residuos con potencial aprovechable, ejecución Semana Ambiental, entrega de RAEEs y residuos peligrosos en Reciclaton de SDA, publicaciones ambientales en Boletina, capacitación y sensibilización a Auxiliares Admin y personal de servicios generales y mantenimiento, inspección ambiental de doce sedes
</t>
    </r>
    <r>
      <rPr>
        <b/>
        <sz val="11"/>
        <rFont val="Times New Roman"/>
        <family val="1"/>
      </rPr>
      <t xml:space="preserve">Con corte al 30 de junio: 
</t>
    </r>
    <r>
      <rPr>
        <sz val="11"/>
        <rFont val="Times New Roman"/>
        <family val="1"/>
      </rPr>
      <t xml:space="preserve">Durante lo transcurrido de esta vigencia se han atendido 95 solicitudes de documentos y se atendieron solicitudes de creaciones, permisos de usuarios y capacitaciones del SIG.
Durante lo transcurrido de esta vigencia se han atendido 44 solicitudes de planes de mejora y se cuenta con 404 acciones abiertas de las cuales el 70% se encuentran con un 100% de ejecución 
Se generan Informes de gestión residuos con potencial aprovechable, de actividades  plan de acción interno para la UAESP, informe de austeridad de servicios agua, energía, telefonía fija y celular, viajes en bici, reencauche de llantas a SDA, Suministro información Austeridad y recorrido revisión, seguimiento socializaciones ambientales en Boletina
Durante esta vigencia se realizó acompañamiento a los procesos para la revision de  los riesgos y controles asociados a riesgos de gestion y corrupciion, teniendo como avance un 49% de lo progamado para el 2023 </t>
    </r>
  </si>
  <si>
    <t>Con corte al mes de junio de 2023, se realizó seguuimiento planes Furag degstión de la información estadistica de acuerdo con cronograma a temas a presentar comité MIPG, se realizaron mesas de trabajo para la revisión de las respuestas y evidencias a formulario FURAG, se continua con la ejecución de las actividades de PIGA, riesgos y actualizacion de processos. En la sesión del Comité Institucional de Gestión y Desempeño se presentarón temas de seguimiento planes Furag  solicitud de aprobaciones, seguimientos a informes de gestión y respuestas a diferentes entes de control,.</t>
  </si>
  <si>
    <t>En lo transcurrido a junio 30 de 2023, se han llevado los temas programados al comite de MIPG que se realiza mensualmente para sus aprobaciones y socializaciones respectivas como planes Furag, cambios en planes institucionales, igualmente se actualizaron los  documentos solicitados por las áreas, se continua con los seguimientos y asesorías en materia de riesgos, se da cumplimiento a las actividades del plan PIGA y se enviaron los formularios diligenciados de los indices de Transparencia de Bogotá y de Innovación Pública. y actualmente se esta diligenciando FURAG 2022.</t>
  </si>
  <si>
    <t>Continua pendiente el seguimiento al plan de mejora FURAG de la política de seguridad digital dado que esta en proceso de la contratación de la persona responsable, una vez se contrate se realizará el correspondiente seguimiento a esta política</t>
  </si>
  <si>
    <t xml:space="preserve">Implementar y mantener el modelo integrado de planeación y Gestión de la entidad - MIPG
Puesta en marcha de las buenas practicas en la entidad para la implementacion de las politicas del MIPG enmarcadas en los planes de mejora FURAG    
   </t>
  </si>
  <si>
    <t xml:space="preserve">Este mes se realizarón todas las actividades planteadas en el plan de sostenibilidad MIPG </t>
  </si>
  <si>
    <t>Durante lo transcurrido de esta vigencia se han realizado las actividades planeadas en el plan de adecuación y sostenibilidad MIPG, excepto el seguimiento al plan de mejora FURAG de seguridad digital, dado que se encuentra en proceso de contratación el líede de seguridad digital.</t>
  </si>
  <si>
    <t>No se realiza el seguimiento a plan de mejora FURAG politica de seguridad digital dado que se encuentra en proceso de contratación la persona responsable.</t>
  </si>
  <si>
    <t xml:space="preserve">Realizar seguimiento una vez se contrate la persona responsable y definir fechas de seguimiento.
</t>
  </si>
  <si>
    <t>Se atienden 30 solicitudes de documentos de las 30 recibidas, teniendo un avance del 100%. Ente las solicitudes reicibidas se encuentran actualizaciones, eliminación, copias, apoyo en la construcción, revisión y publicación de documentos.</t>
  </si>
  <si>
    <t>Durante lo ranscurrido de esta vigencia se han atendido 95 solciitudes de documentos, teniendo un avance del 100%</t>
  </si>
  <si>
    <t>Se atienden 12 solicitudes de las 12 recibidas, teniendo un avance del 100%. Entre las solicitudes recibidas se encuentra consolidación de planes de mejora, apoyo en la formulación, ejecución y reporte en LUCHA, ajustes en la plataforma y procedimientos de mejora continua.</t>
  </si>
  <si>
    <t>Durante lo ranscurrido de esta vigencia se han atendido 44 solicitudes relacionadas con planes de mejoramiento, teniendo un avance del 100%</t>
  </si>
  <si>
    <t>Informe de gestión residuos con potencial aprovechable ultimo trimestre 2022, Informe de actividades ultimo semestre 2022  plan de acción interno para la UAESP
Informe ultimo trimestre 2022, ultimo semestre y vigencia 2022 de austeridad de servicios agua, energía, telefonia fija y celular
Reporte de viajes en bici a Secretaría de Movilidad
Registro de comunicaciones ambientales socializadas
Atención de solicitudes interinstitucionales
Remisión de informe de reencauche de llantas a SDA
Atención solicitudes información internas
Remisión de informes  a SDA
Remisión informe cantidad residuos aprovechables a UAESP
Suministro información Austeridad
Recorrido revisión y correción PEV
Desarrollo Semana Ambiental
Gestión de RAEE y respel</t>
  </si>
  <si>
    <t>Atención tardía de  información de otras áreas
El desconocimiento de responsabilidades de áreas</t>
  </si>
  <si>
    <t xml:space="preserve">Reiterar solicitudes de información para reportes
Dar claridad de responsabilidades de áreas
</t>
  </si>
  <si>
    <t xml:space="preserve">N/A </t>
  </si>
  <si>
    <r>
      <t xml:space="preserve">En el mes de junio 2023 se realizan las publicaciones descritas a continuación:
</t>
    </r>
    <r>
      <rPr>
        <b/>
        <sz val="11"/>
        <rFont val="Times New Roman"/>
        <family val="1"/>
      </rPr>
      <t xml:space="preserve">Numeral 1.2.1 </t>
    </r>
    <r>
      <rPr>
        <sz val="11"/>
        <rFont val="Times New Roman"/>
        <family val="1"/>
      </rPr>
      <t xml:space="preserve">Actualización de la información correspondiente a la nueva directora de Gestión Administrativa y Financiera
</t>
    </r>
    <r>
      <rPr>
        <b/>
        <sz val="11"/>
        <rFont val="Times New Roman"/>
        <family val="1"/>
      </rPr>
      <t>Numeral 1.5</t>
    </r>
    <r>
      <rPr>
        <sz val="11"/>
        <rFont val="Times New Roman"/>
        <family val="1"/>
      </rPr>
      <t xml:space="preserve">: Actualización directorio servidores públicos - Dirección de Gestión Administrativa y Financiera
</t>
    </r>
    <r>
      <rPr>
        <b/>
        <sz val="11"/>
        <rFont val="Times New Roman"/>
        <family val="1"/>
      </rPr>
      <t>Numeral 2.1.3</t>
    </r>
    <r>
      <rPr>
        <sz val="11"/>
        <rFont val="Times New Roman"/>
        <family val="1"/>
      </rPr>
      <t xml:space="preserve"> Normativa: Resolución 0245 del 21 de junio 2023; </t>
    </r>
    <r>
      <rPr>
        <i/>
        <sz val="11"/>
        <rFont val="Times New Roman"/>
        <family val="1"/>
      </rPr>
      <t>Por medio de la cual se regula el Observatorio de Mujeres y Equidad de Género – OMEG de la Secretaría Distrital de la Mujer y se dictan otras disposiciones:</t>
    </r>
    <r>
      <rPr>
        <sz val="11"/>
        <rFont val="Times New Roman"/>
        <family val="1"/>
      </rPr>
      <t xml:space="preserve">Resolución 0248 del 21 de junio 2023: </t>
    </r>
    <r>
      <rPr>
        <i/>
        <sz val="11"/>
        <rFont val="Times New Roman"/>
        <family val="1"/>
      </rPr>
      <t>“Por la cual se expide el reglamento del Plan de Bienestar Social e Incentivos de la Secretaría Distrital de la Mujer, y se dictan otras disposiciones.”</t>
    </r>
    <r>
      <rPr>
        <sz val="11"/>
        <rFont val="Times New Roman"/>
        <family val="1"/>
      </rPr>
      <t>; Resolución 0266 del 30 de junio 2023: P</t>
    </r>
    <r>
      <rPr>
        <i/>
        <sz val="11"/>
        <rFont val="Times New Roman"/>
        <family val="1"/>
      </rPr>
      <t>or medio de la cual se designa al (la) Defensor(a) de la Ciudadanía en la Secretaría Distrital de la Mujer y se deroga la Resolución No. 0175 del 29 de abril de 2016</t>
    </r>
    <r>
      <rPr>
        <sz val="11"/>
        <rFont val="Times New Roman"/>
        <family val="1"/>
      </rPr>
      <t xml:space="preserve"> y Normograma Segundo Trimestre 2023
</t>
    </r>
    <r>
      <rPr>
        <b/>
        <sz val="11"/>
        <rFont val="Times New Roman"/>
        <family val="1"/>
      </rPr>
      <t>Numeral 2.4</t>
    </r>
    <r>
      <rPr>
        <sz val="11"/>
        <rFont val="Times New Roman"/>
        <family val="1"/>
      </rPr>
      <t xml:space="preserve">: Procesos judiciales SDMujer 16 de junio 2023
</t>
    </r>
    <r>
      <rPr>
        <b/>
        <sz val="11"/>
        <rFont val="Times New Roman"/>
        <family val="1"/>
      </rPr>
      <t>Numeral 3.1:</t>
    </r>
    <r>
      <rPr>
        <sz val="11"/>
        <rFont val="Times New Roman"/>
        <family val="1"/>
      </rPr>
      <t xml:space="preserve"> Plan Anual de Adquisicones versiones 14 y 15
</t>
    </r>
    <r>
      <rPr>
        <b/>
        <sz val="11"/>
        <rFont val="Times New Roman"/>
        <family val="1"/>
      </rPr>
      <t xml:space="preserve">Numeral 3.2 </t>
    </r>
    <r>
      <rPr>
        <sz val="11"/>
        <rFont val="Times New Roman"/>
        <family val="1"/>
      </rPr>
      <t>Directorio de Contratistas mayo 2023
N</t>
    </r>
    <r>
      <rPr>
        <b/>
        <sz val="11"/>
        <rFont val="Times New Roman"/>
        <family val="1"/>
      </rPr>
      <t>umeral 3.3:</t>
    </r>
    <r>
      <rPr>
        <sz val="11"/>
        <rFont val="Times New Roman"/>
        <family val="1"/>
      </rPr>
      <t xml:space="preserve"> Información ejecución de los contratos mayo 2023
</t>
    </r>
    <r>
      <rPr>
        <b/>
        <sz val="11"/>
        <rFont val="Times New Roman"/>
        <family val="1"/>
      </rPr>
      <t>Numeral 4.1.1:</t>
    </r>
    <r>
      <rPr>
        <sz val="11"/>
        <rFont val="Times New Roman"/>
        <family val="1"/>
      </rPr>
      <t xml:space="preserve"> Estado de Resultado Mayo 2023; Estado de Situación Financiera Mayo 2023; Certificación de los estados financieros.
</t>
    </r>
    <r>
      <rPr>
        <b/>
        <sz val="11"/>
        <rFont val="Times New Roman"/>
        <family val="1"/>
      </rPr>
      <t>Numeral 4.2</t>
    </r>
    <r>
      <rPr>
        <sz val="11"/>
        <rFont val="Times New Roman"/>
        <family val="1"/>
      </rPr>
      <t xml:space="preserve">: Ejecución Presupuestal: Ejecución presupuestal vigencia 31 de mayo 2023; Ejecución presupuestal reservas a 31 de mayo 2023
</t>
    </r>
    <r>
      <rPr>
        <b/>
        <sz val="11"/>
        <rFont val="Times New Roman"/>
        <family val="1"/>
      </rPr>
      <t>Numeral 4.3:</t>
    </r>
    <r>
      <rPr>
        <sz val="11"/>
        <rFont val="Times New Roman"/>
        <family val="1"/>
      </rPr>
      <t xml:space="preserve"> Ítem Plan de Acción: Seguimiento proyectos Abril: 7739; 7662; 7671; 7672; 7673; 7675; 7718; 7734; 7738; Seguimiento Mayo: 7739; 7738; 7734; 7718; 7676; 7675; 7673; 7672; 7671; 7668 y 7662.
</t>
    </r>
    <r>
      <rPr>
        <b/>
        <sz val="11"/>
        <rFont val="Times New Roman"/>
        <family val="1"/>
      </rPr>
      <t xml:space="preserve">Numeral 4.3 </t>
    </r>
    <r>
      <rPr>
        <sz val="11"/>
        <rFont val="Times New Roman"/>
        <family val="1"/>
      </rPr>
      <t xml:space="preserve">Ítem Planes Institucionales: Plan Institucional de participación ciudadana 2023 V2 y V3
</t>
    </r>
    <r>
      <rPr>
        <b/>
        <sz val="11"/>
        <rFont val="Times New Roman"/>
        <family val="1"/>
      </rPr>
      <t>Numeral 4.3</t>
    </r>
    <r>
      <rPr>
        <sz val="11"/>
        <rFont val="Times New Roman"/>
        <family val="1"/>
      </rPr>
      <t xml:space="preserve"> Ítem Plan Anticorrupción: Plan Anticorrupción y atención a la ciduadanía V3
</t>
    </r>
    <r>
      <rPr>
        <b/>
        <sz val="11"/>
        <rFont val="Times New Roman"/>
        <family val="1"/>
      </rPr>
      <t>Numeral 4.7.1:</t>
    </r>
    <r>
      <rPr>
        <sz val="11"/>
        <rFont val="Times New Roman"/>
        <family val="1"/>
      </rPr>
      <t xml:space="preserve"> IÍtem Informe Rendición de la cuenta fiscal: Informe de Rendición de Cuenta Fiscal a la Contraloria Mayo 2023
Numeral 4.7.1 ïtem Informes organismos de inspección: Informe final auditoria de desempeño internacional politicas implementadas para el logro metas del ODS1. Impacto COVID   19.
Numeral 4.8 Informes Control Interno: Plan Anual de auditoria 2023 V2; Cerfificado diligenciamiento reporte FURAGL Vigencia 2022 - Rol Jefe de Control Interno; Seguimiento a Planes de Mejoramiento interno proceso Gestión tecnológica corte 31 de mayo 2023.
</t>
    </r>
    <r>
      <rPr>
        <b/>
        <sz val="11"/>
        <rFont val="Times New Roman"/>
        <family val="1"/>
      </rPr>
      <t>Numeral 4.10</t>
    </r>
    <r>
      <rPr>
        <sz val="11"/>
        <rFont val="Times New Roman"/>
        <family val="1"/>
      </rPr>
      <t xml:space="preserve">: Informe mensual de seguimiento PQRS Mayo 23
</t>
    </r>
    <r>
      <rPr>
        <b/>
        <sz val="11"/>
        <rFont val="Times New Roman"/>
        <family val="1"/>
      </rPr>
      <t>Numeral 7.2.1</t>
    </r>
    <r>
      <rPr>
        <sz val="11"/>
        <rFont val="Times New Roman"/>
        <family val="1"/>
      </rPr>
      <t xml:space="preserve"> Actualización en Portal Datos Abiertos Bogotá: Áreas de acceso peatornal de las manzanas del cuidado: Cobertura servicios en manzanas del cuidado, Equipamientos anca de las manzanas del cuidado; Localidades con manzanas del cuidado activas y servicios prestados en las manzanas del cuidado.
</t>
    </r>
    <r>
      <rPr>
        <b/>
        <sz val="11"/>
        <rFont val="Times New Roman"/>
        <family val="1"/>
      </rPr>
      <t>Numeral 9.1.2.5</t>
    </r>
    <r>
      <rPr>
        <sz val="11"/>
        <rFont val="Times New Roman"/>
        <family val="1"/>
      </rPr>
      <t xml:space="preserve"> Comisión intersectorial de Cuidado: Acta número 11 del 28 de junio 2023
</t>
    </r>
  </si>
  <si>
    <t>Marzo:15 numerales actualizados en botón de transparencia
Abril :21 actualizaciones en los diferentes numerales del botón de transparencia. 
Mayo: En el mes de mayo se realizaron 32 publicaciones en los diferentes numerales
El acumulado de los meses enero a mayo 2023, relacionado con las actualizaciones de informaciòn en los diferentes numerales del botón de transparencia es de  77 documentos.
Junio: En el mes de junio se actualizaron 49 documentos en los diferentes nuerales del botón de transparencia.
El acumulado con corte a 30 de junio de 2023 es de 126 documentos en el botón de transparencia</t>
  </si>
  <si>
    <t>1. Durante el mes de junio se adelantó el 3%  del avance presupuestado para este mes para la suscripción de  contratos y modificaciones contractuales. 
Para este mes se suscribieron un total de 20  contratos por modalidad de contratación directa y 1 contrato contrato por madalidad de selección de "miníma cuantía", tres (3)  contratos  selección abreviada y (1) Licitación publica.                                                                     
Por lo que se evanzo en un 3% en la contratación y un 100% en modificaciones.</t>
  </si>
  <si>
    <t>1. Con corte al mes de junio,  se  ha suscrito 901 contratos por prestación de Servicios Profesionales y de Apoyo a la gestión de los 942 programados haciendo falta un aproximado de 41 solicitudes de contratación por radicar las áreas en la Dirección de Contratación, Logrando así que la entidad en general cuente con los profesionales requeridos para coayudar al cumplimiento de las metas planes y proyectos institucionales
2. Por otro lado, durante el mes de enero a junio se adelantaron la totalidad de los tramites radicados incluyendo los tramites contractuales diferentes a contrataciones nuevas requeridas por las áres, como son:   Adiciones, Adiciones y Prórroga, Prórroga, Terminaciones Anticipadas, Otro Sí Modificatorios, Cesiones,  liquidaciones, Aclaratorios entre otros que surgen durantes y despues de la ejecución de los contratos. 
Dejandonos con un avance del 95,6 % de cumplimiento en la contratación de Prestaci{on de Servicios Profesionales y de Apoyo a la gestión y un 100% en otros trámites,</t>
  </si>
  <si>
    <t>1.  A la fecha los retrazos presentados por devoluciones de documentos contractuales han sido solucionado en la mayoria de los casos inmediatamente</t>
  </si>
  <si>
    <t xml:space="preserve"> Con la suscripcion de suscripción de 901 contratos de Prestación de Servicios Profesionales y de Apoyo a la Gestión, las areas misionales y de Apoyo pueden cumplir con sus proyectos y  metas presuspuestadas sin ningun contratiempo al contar con el presonal idoneo y requerido para ello.
                                                                                                                                                                                     Gracias a la suscripción de los  21 contratos nuevos  de arrendamiento y la adición prorroga de uno,   las casas de igualdad y oportunidades, la entidad y la casa de todas, siguen pretando los servicios ofertados  a todas la mujeres que hacen uso de estos,           
Por otro lado, a corte 30  de junio , la entidad ha suscrito 21 contratos por otras modalidades de selección los cuales son importantes para garantizar el adecuado funcionamiento y la prestacion del  servico  de oferta institucional                                                       </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</si>
</sst>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_-* #,##0_-;\-* #,##0_-;_-* &quot;-&quot;??_-;_-@_-"/>
    <numFmt numFmtId="210" formatCode="0.00000000"/>
    <numFmt numFmtId="211" formatCode="0.0000000"/>
    <numFmt numFmtId="212" formatCode="0.000000"/>
    <numFmt numFmtId="213" formatCode="0.00000"/>
    <numFmt numFmtId="214" formatCode="0.0000"/>
    <numFmt numFmtId="215" formatCode="0.000"/>
    <numFmt numFmtId="216" formatCode="0.0"/>
  </numFmts>
  <fonts count="106">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2"/>
      <name val="Times New Roman"/>
      <family val="1"/>
    </font>
    <font>
      <b/>
      <sz val="10"/>
      <name val="Calibri"/>
      <family val="2"/>
    </font>
    <font>
      <sz val="10"/>
      <name val="Calibri"/>
      <family val="2"/>
    </font>
    <font>
      <b/>
      <sz val="10.5"/>
      <name val="Times New Roman"/>
      <family val="1"/>
    </font>
    <font>
      <sz val="11"/>
      <name val="Calibri"/>
      <family val="2"/>
    </font>
    <font>
      <b/>
      <sz val="11"/>
      <color indexed="8"/>
      <name val="Calibri"/>
      <family val="2"/>
    </font>
    <font>
      <b/>
      <sz val="11"/>
      <name val="Calibri"/>
      <family val="2"/>
    </font>
    <font>
      <i/>
      <sz val="11"/>
      <name val="Calibri"/>
      <family val="2"/>
    </font>
    <font>
      <b/>
      <sz val="9"/>
      <name val="Tahoma"/>
      <family val="2"/>
    </font>
    <font>
      <sz val="9"/>
      <name val="Tahoma"/>
      <family val="2"/>
    </font>
    <font>
      <b/>
      <sz val="14"/>
      <name val="Tahoma"/>
      <family val="2"/>
    </font>
    <font>
      <sz val="14"/>
      <name val="Tahoma"/>
      <family val="2"/>
    </font>
    <font>
      <sz val="10"/>
      <color indexed="8"/>
      <name val="Calibri"/>
      <family val="2"/>
    </font>
    <font>
      <b/>
      <sz val="10"/>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sz val="11"/>
      <color indexed="10"/>
      <name val="Times New Roman"/>
      <family val="1"/>
    </font>
    <font>
      <b/>
      <sz val="11"/>
      <color indexed="55"/>
      <name val="Calibri"/>
      <family val="2"/>
    </font>
    <font>
      <sz val="11"/>
      <color indexed="63"/>
      <name val="Times New Roman"/>
      <family val="1"/>
    </font>
    <font>
      <sz val="10"/>
      <color indexed="8"/>
      <name val="Times New Roman"/>
      <family val="1"/>
    </font>
    <font>
      <b/>
      <sz val="8"/>
      <color indexed="49"/>
      <name val="Verdana"/>
      <family val="2"/>
    </font>
    <font>
      <b/>
      <sz val="18"/>
      <color indexed="55"/>
      <name val="Calibri"/>
      <family val="2"/>
    </font>
    <font>
      <b/>
      <sz val="12"/>
      <color indexed="8"/>
      <name val="Times New Roman"/>
      <family val="1"/>
    </font>
    <font>
      <b/>
      <sz val="11"/>
      <color indexed="55"/>
      <name val="Times New Roman"/>
      <family val="1"/>
    </font>
    <font>
      <sz val="12"/>
      <color indexed="8"/>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242424"/>
      <name val="Times New Roman"/>
      <family val="1"/>
    </font>
    <font>
      <sz val="10"/>
      <color theme="1"/>
      <name val="Times New Roman"/>
      <family val="1"/>
    </font>
    <font>
      <b/>
      <sz val="8"/>
      <color rgb="FF4189AB"/>
      <name val="Verdana"/>
      <family val="2"/>
    </font>
    <font>
      <sz val="10"/>
      <color theme="1"/>
      <name val="Calibri"/>
      <family val="2"/>
    </font>
    <font>
      <sz val="11"/>
      <color rgb="FF000000"/>
      <name val="Calibri"/>
      <family val="2"/>
    </font>
    <font>
      <sz val="12"/>
      <color theme="1"/>
      <name val="Times New Roman"/>
      <family val="1"/>
    </font>
    <font>
      <b/>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96">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right style="thin">
        <color rgb="FF000000"/>
      </right>
      <top style="thin"/>
      <bottom/>
    </border>
    <border>
      <left style="thin">
        <color rgb="FF000000"/>
      </left>
      <right>
        <color indexed="63"/>
      </right>
      <top style="thin"/>
      <bottom>
        <color indexed="63"/>
      </bottom>
    </border>
    <border>
      <left style="thin"/>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color indexed="63"/>
      </right>
      <top>
        <color indexed="63"/>
      </top>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9" fontId="66"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7" fillId="21" borderId="0" applyNumberFormat="0" applyBorder="0" applyAlignment="0" applyProtection="0"/>
    <xf numFmtId="0" fontId="68" fillId="22" borderId="4" applyNumberFormat="0" applyAlignment="0" applyProtection="0"/>
    <xf numFmtId="0" fontId="69" fillId="23" borderId="5" applyNumberFormat="0" applyAlignment="0" applyProtection="0"/>
    <xf numFmtId="0" fontId="70" fillId="0" borderId="6" applyNumberFormat="0" applyFill="0" applyAlignment="0" applyProtection="0"/>
    <xf numFmtId="0" fontId="71" fillId="0" borderId="7" applyNumberFormat="0" applyFill="0" applyAlignment="0" applyProtection="0"/>
    <xf numFmtId="0" fontId="72" fillId="24" borderId="0" applyNumberFormat="0" applyProtection="0">
      <alignment horizontal="left" wrapText="1" indent="4"/>
    </xf>
    <xf numFmtId="0" fontId="73" fillId="24" borderId="0" applyNumberFormat="0" applyProtection="0">
      <alignment horizontal="left" wrapText="1" indent="4"/>
    </xf>
    <xf numFmtId="0" fontId="74" fillId="0" borderId="0" applyNumberFormat="0" applyFill="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9" fillId="30" borderId="0" applyNumberFormat="0" applyBorder="0" applyAlignment="0" applyProtection="0"/>
    <xf numFmtId="0" fontId="75" fillId="31" borderId="4" applyNumberFormat="0" applyAlignment="0" applyProtection="0"/>
    <xf numFmtId="16" fontId="23" fillId="0" borderId="0" applyFont="0" applyFill="0" applyBorder="0" applyAlignment="0">
      <protection/>
    </xf>
    <xf numFmtId="0" fontId="76" fillId="32" borderId="0" applyNumberFormat="0" applyBorder="0" applyProtection="0">
      <alignment horizontal="center" vertical="center"/>
    </xf>
    <xf numFmtId="0" fontId="77" fillId="0" borderId="0" applyNumberFormat="0" applyFill="0" applyBorder="0" applyAlignment="0" applyProtection="0"/>
    <xf numFmtId="0" fontId="78" fillId="0" borderId="0" applyNumberFormat="0" applyFill="0" applyBorder="0" applyAlignment="0" applyProtection="0"/>
    <xf numFmtId="0" fontId="79"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80" fillId="34" borderId="0" applyNumberFormat="0" applyBorder="0" applyAlignment="0" applyProtection="0"/>
    <xf numFmtId="0" fontId="81"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2" fillId="22" borderId="9" applyNumberFormat="0" applyAlignment="0" applyProtection="0"/>
    <xf numFmtId="0" fontId="83" fillId="0" borderId="0" applyNumberFormat="0" applyFill="0" applyBorder="0" applyAlignment="0" applyProtection="0"/>
    <xf numFmtId="0" fontId="73" fillId="0" borderId="0" applyFill="0" applyBorder="0">
      <alignment wrapText="1"/>
      <protection/>
    </xf>
    <xf numFmtId="0" fontId="65" fillId="0"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74" fillId="0" borderId="11" applyNumberFormat="0" applyFill="0" applyAlignment="0" applyProtection="0"/>
    <xf numFmtId="0" fontId="87" fillId="24" borderId="0" applyNumberFormat="0" applyBorder="0" applyProtection="0">
      <alignment horizontal="left" indent="1"/>
    </xf>
    <xf numFmtId="0" fontId="88" fillId="0" borderId="12" applyNumberFormat="0" applyFill="0" applyAlignment="0" applyProtection="0"/>
  </cellStyleXfs>
  <cellXfs count="1184">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8"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89" fillId="38" borderId="28" xfId="0" applyFont="1" applyFill="1" applyBorder="1" applyAlignment="1">
      <alignment vertical="center"/>
    </xf>
    <xf numFmtId="0" fontId="89" fillId="38" borderId="0" xfId="0" applyFont="1" applyFill="1" applyBorder="1" applyAlignment="1">
      <alignment vertical="center"/>
    </xf>
    <xf numFmtId="0" fontId="89"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90" fillId="11" borderId="38" xfId="81" applyFont="1" applyFill="1" applyBorder="1" applyAlignment="1" applyProtection="1">
      <alignment vertical="center" wrapText="1"/>
      <protection/>
    </xf>
    <xf numFmtId="190"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74" fontId="88"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88"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89" fillId="0" borderId="0" xfId="0" applyFont="1" applyAlignment="1">
      <alignment vertical="center"/>
    </xf>
    <xf numFmtId="0" fontId="91" fillId="11" borderId="41" xfId="0" applyFont="1" applyFill="1" applyBorder="1" applyAlignment="1">
      <alignment vertical="center"/>
    </xf>
    <xf numFmtId="0" fontId="91" fillId="11" borderId="42" xfId="0" applyFont="1" applyFill="1" applyBorder="1" applyAlignment="1">
      <alignment vertical="center"/>
    </xf>
    <xf numFmtId="0" fontId="91" fillId="11" borderId="0" xfId="0" applyFont="1" applyFill="1" applyBorder="1" applyAlignment="1">
      <alignment vertical="center"/>
    </xf>
    <xf numFmtId="0" fontId="91" fillId="11" borderId="43" xfId="0" applyFont="1" applyFill="1" applyBorder="1" applyAlignment="1">
      <alignment vertical="center"/>
    </xf>
    <xf numFmtId="0" fontId="91" fillId="11" borderId="15" xfId="0" applyFont="1" applyFill="1" applyBorder="1" applyAlignment="1">
      <alignment vertical="center"/>
    </xf>
    <xf numFmtId="0" fontId="91" fillId="11" borderId="44" xfId="0" applyFont="1" applyFill="1" applyBorder="1" applyAlignment="1">
      <alignment vertical="center"/>
    </xf>
    <xf numFmtId="0" fontId="91" fillId="11" borderId="13" xfId="0" applyFont="1" applyFill="1" applyBorder="1" applyAlignment="1">
      <alignment horizontal="center" vertical="center" wrapText="1"/>
    </xf>
    <xf numFmtId="0" fontId="89" fillId="0" borderId="13" xfId="0" applyFont="1" applyBorder="1" applyAlignment="1">
      <alignment horizontal="center" vertical="center"/>
    </xf>
    <xf numFmtId="0" fontId="89" fillId="0" borderId="13" xfId="0" applyFont="1" applyBorder="1" applyAlignment="1">
      <alignment horizontal="center" vertical="center" wrapText="1"/>
    </xf>
    <xf numFmtId="175" fontId="89" fillId="0" borderId="13" xfId="59" applyFont="1" applyBorder="1" applyAlignment="1">
      <alignment horizontal="center" vertical="center" wrapText="1"/>
    </xf>
    <xf numFmtId="0" fontId="89" fillId="0" borderId="13" xfId="0" applyFont="1" applyBorder="1" applyAlignment="1">
      <alignment vertical="center"/>
    </xf>
    <xf numFmtId="0" fontId="89" fillId="0" borderId="13" xfId="79" applyNumberFormat="1" applyFont="1" applyBorder="1" applyAlignment="1">
      <alignment vertical="center"/>
    </xf>
    <xf numFmtId="0" fontId="90" fillId="0" borderId="13" xfId="0" applyFont="1" applyBorder="1" applyAlignment="1">
      <alignment vertical="center" wrapText="1"/>
    </xf>
    <xf numFmtId="9" fontId="89" fillId="0" borderId="13" xfId="79" applyFont="1" applyBorder="1" applyAlignment="1">
      <alignment vertical="center"/>
    </xf>
    <xf numFmtId="0" fontId="89"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92" fillId="11" borderId="13" xfId="0" applyFont="1" applyFill="1" applyBorder="1" applyAlignment="1">
      <alignment horizontal="center" vertical="center"/>
    </xf>
    <xf numFmtId="0" fontId="89" fillId="0" borderId="0" xfId="0" applyFont="1" applyAlignment="1">
      <alignment horizontal="center" vertical="center"/>
    </xf>
    <xf numFmtId="0" fontId="93" fillId="0" borderId="13" xfId="0" applyFont="1" applyBorder="1" applyAlignment="1">
      <alignment vertical="center"/>
    </xf>
    <xf numFmtId="0" fontId="92" fillId="11" borderId="13" xfId="0" applyFont="1" applyFill="1" applyBorder="1" applyAlignment="1">
      <alignment horizontal="left" vertical="center"/>
    </xf>
    <xf numFmtId="0" fontId="89" fillId="0" borderId="13" xfId="0" applyFont="1" applyBorder="1" applyAlignment="1">
      <alignment horizontal="left" vertical="center"/>
    </xf>
    <xf numFmtId="0" fontId="89" fillId="0" borderId="14" xfId="0" applyFont="1" applyFill="1" applyBorder="1" applyAlignment="1">
      <alignment horizontal="left" vertical="center"/>
    </xf>
    <xf numFmtId="0" fontId="89" fillId="0" borderId="13" xfId="0" applyFont="1" applyFill="1" applyBorder="1" applyAlignment="1">
      <alignment horizontal="left" vertical="center"/>
    </xf>
    <xf numFmtId="41" fontId="89" fillId="0" borderId="13" xfId="60" applyFont="1" applyFill="1" applyBorder="1" applyAlignment="1">
      <alignment vertical="center"/>
    </xf>
    <xf numFmtId="0" fontId="93" fillId="0" borderId="0" xfId="0" applyFont="1" applyAlignment="1">
      <alignment vertical="center"/>
    </xf>
    <xf numFmtId="0" fontId="16" fillId="0" borderId="13" xfId="0" applyFont="1" applyBorder="1" applyAlignment="1">
      <alignment horizontal="center" vertical="center" wrapText="1"/>
    </xf>
    <xf numFmtId="0" fontId="91" fillId="0" borderId="0" xfId="0" applyFont="1" applyAlignment="1">
      <alignment horizontal="left" vertical="center"/>
    </xf>
    <xf numFmtId="0" fontId="91" fillId="11" borderId="13" xfId="0" applyFont="1" applyFill="1" applyBorder="1" applyAlignment="1">
      <alignment vertical="center"/>
    </xf>
    <xf numFmtId="41" fontId="89" fillId="0" borderId="14" xfId="60" applyFont="1" applyFill="1" applyBorder="1" applyAlignment="1">
      <alignment vertical="center"/>
    </xf>
    <xf numFmtId="49" fontId="89" fillId="0" borderId="14" xfId="60" applyNumberFormat="1" applyFont="1" applyFill="1" applyBorder="1" applyAlignment="1">
      <alignment vertical="center"/>
    </xf>
    <xf numFmtId="49" fontId="89" fillId="0" borderId="13" xfId="60" applyNumberFormat="1" applyFont="1" applyFill="1" applyBorder="1" applyAlignment="1">
      <alignment vertical="center"/>
    </xf>
    <xf numFmtId="0" fontId="89" fillId="0" borderId="0" xfId="0" applyFont="1" applyAlignment="1">
      <alignment horizontal="left" vertical="center"/>
    </xf>
    <xf numFmtId="0" fontId="89" fillId="0" borderId="0" xfId="0" applyFont="1" applyFill="1" applyAlignment="1">
      <alignment horizontal="left" vertical="center"/>
    </xf>
    <xf numFmtId="0" fontId="91" fillId="17" borderId="13" xfId="0" applyFont="1" applyFill="1" applyBorder="1" applyAlignment="1">
      <alignment horizontal="center" vertical="center"/>
    </xf>
    <xf numFmtId="0" fontId="89" fillId="0" borderId="16"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3" xfId="0" applyFont="1" applyFill="1" applyBorder="1" applyAlignment="1">
      <alignment vertical="center" wrapText="1"/>
    </xf>
    <xf numFmtId="0" fontId="91" fillId="0" borderId="13" xfId="0" applyFont="1" applyFill="1" applyBorder="1" applyAlignment="1">
      <alignment vertical="center" wrapText="1"/>
    </xf>
    <xf numFmtId="0" fontId="89"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91" fillId="0" borderId="22" xfId="0" applyFont="1" applyFill="1" applyBorder="1" applyAlignment="1">
      <alignment horizontal="left" vertical="center" wrapText="1"/>
    </xf>
    <xf numFmtId="0" fontId="89"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4"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9"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2" xfId="72" applyFont="1" applyFill="1" applyBorder="1" applyAlignment="1" applyProtection="1">
      <alignment horizontal="center" vertical="center" wrapText="1"/>
      <protection/>
    </xf>
    <xf numFmtId="0" fontId="94" fillId="0" borderId="0" xfId="0" applyFont="1" applyFill="1" applyBorder="1" applyAlignment="1">
      <alignment horizontal="center" vertical="center"/>
    </xf>
    <xf numFmtId="0" fontId="8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2" xfId="79" applyFont="1" applyBorder="1" applyAlignment="1">
      <alignment vertical="center"/>
    </xf>
    <xf numFmtId="9" fontId="0" fillId="0" borderId="53"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4"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5" fillId="0" borderId="13" xfId="79" applyNumberFormat="1" applyFont="1" applyBorder="1" applyAlignment="1">
      <alignment vertical="center"/>
    </xf>
    <xf numFmtId="9" fontId="91" fillId="11" borderId="13" xfId="79" applyFont="1" applyFill="1" applyBorder="1" applyAlignment="1">
      <alignment horizontal="center" vertical="center" wrapText="1"/>
    </xf>
    <xf numFmtId="9" fontId="89" fillId="0" borderId="0" xfId="79" applyFont="1" applyAlignment="1">
      <alignment vertical="center"/>
    </xf>
    <xf numFmtId="0" fontId="91" fillId="17" borderId="13" xfId="0" applyFont="1" applyFill="1" applyBorder="1" applyAlignment="1">
      <alignment horizontal="left" vertical="center"/>
    </xf>
    <xf numFmtId="0" fontId="91" fillId="0" borderId="13" xfId="0" applyFont="1" applyFill="1" applyBorder="1" applyAlignment="1">
      <alignment horizontal="left" vertical="center"/>
    </xf>
    <xf numFmtId="0" fontId="91" fillId="0" borderId="13" xfId="0" applyFont="1" applyFill="1" applyBorder="1" applyAlignment="1">
      <alignment horizontal="left" vertical="center" wrapText="1"/>
    </xf>
    <xf numFmtId="208" fontId="16" fillId="0" borderId="13" xfId="63" applyNumberFormat="1" applyFont="1" applyBorder="1" applyAlignment="1">
      <alignment vertical="center"/>
    </xf>
    <xf numFmtId="208"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2" applyFont="1" applyFill="1" applyBorder="1" applyAlignment="1" applyProtection="1">
      <alignment vertical="center" wrapText="1"/>
      <protection/>
    </xf>
    <xf numFmtId="0" fontId="11" fillId="38" borderId="56" xfId="72" applyFont="1" applyFill="1" applyBorder="1" applyAlignment="1" applyProtection="1">
      <alignment vertical="center" wrapText="1"/>
      <protection/>
    </xf>
    <xf numFmtId="0" fontId="91" fillId="11" borderId="41" xfId="0" applyFont="1" applyFill="1" applyBorder="1" applyAlignment="1">
      <alignment horizontal="center" vertical="center"/>
    </xf>
    <xf numFmtId="0" fontId="91" fillId="11" borderId="15" xfId="0" applyFont="1" applyFill="1" applyBorder="1" applyAlignment="1">
      <alignment horizontal="center" vertical="center"/>
    </xf>
    <xf numFmtId="0" fontId="91"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1" fillId="11" borderId="0" xfId="0" applyFont="1" applyFill="1" applyAlignment="1">
      <alignment vertical="center"/>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9" fontId="89" fillId="0" borderId="13" xfId="79" applyFont="1" applyFill="1" applyBorder="1" applyAlignment="1">
      <alignment horizontal="center" vertical="center" wrapText="1"/>
    </xf>
    <xf numFmtId="175" fontId="89" fillId="0" borderId="13" xfId="59" applyFont="1" applyFill="1" applyBorder="1" applyAlignment="1">
      <alignment horizontal="center" vertical="center" wrapText="1"/>
    </xf>
    <xf numFmtId="9" fontId="89" fillId="0" borderId="13" xfId="0" applyNumberFormat="1" applyFont="1" applyBorder="1" applyAlignment="1">
      <alignment horizontal="center" vertical="center"/>
    </xf>
    <xf numFmtId="0" fontId="10" fillId="0" borderId="17" xfId="0" applyFont="1" applyBorder="1" applyAlignment="1">
      <alignment horizontal="center" vertical="center" wrapText="1"/>
    </xf>
    <xf numFmtId="175" fontId="89" fillId="0" borderId="13" xfId="59" applyFont="1" applyFill="1" applyBorder="1" applyAlignment="1">
      <alignment horizontal="center" vertical="center"/>
    </xf>
    <xf numFmtId="1" fontId="89" fillId="0" borderId="13" xfId="0" applyNumberFormat="1" applyFont="1" applyBorder="1" applyAlignment="1">
      <alignment horizontal="center" vertical="center"/>
    </xf>
    <xf numFmtId="1" fontId="89" fillId="0" borderId="13" xfId="59" applyNumberFormat="1" applyFont="1" applyFill="1" applyBorder="1" applyAlignment="1">
      <alignment horizontal="center" vertical="center"/>
    </xf>
    <xf numFmtId="0" fontId="89" fillId="0" borderId="13" xfId="79" applyNumberFormat="1" applyFont="1" applyFill="1" applyBorder="1" applyAlignment="1">
      <alignment horizontal="center" vertical="center" wrapText="1"/>
    </xf>
    <xf numFmtId="0" fontId="89" fillId="38" borderId="22" xfId="0" applyFont="1" applyFill="1" applyBorder="1" applyAlignment="1">
      <alignment horizontal="center" vertical="center" wrapText="1"/>
    </xf>
    <xf numFmtId="9" fontId="89" fillId="0" borderId="13" xfId="0" applyNumberFormat="1" applyFont="1" applyBorder="1" applyAlignment="1">
      <alignment horizontal="center" vertical="center" wrapText="1"/>
    </xf>
    <xf numFmtId="9" fontId="89" fillId="0" borderId="13" xfId="79" applyFont="1" applyFill="1" applyBorder="1" applyAlignment="1">
      <alignment horizontal="center" vertical="center"/>
    </xf>
    <xf numFmtId="0" fontId="89" fillId="38" borderId="13" xfId="0" applyFont="1" applyFill="1" applyBorder="1" applyAlignment="1">
      <alignment horizontal="center" vertical="center" wrapText="1"/>
    </xf>
    <xf numFmtId="0" fontId="0" fillId="0" borderId="0" xfId="0" applyAlignment="1">
      <alignment vertical="center"/>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38" borderId="23" xfId="72" applyFont="1" applyFill="1" applyBorder="1" applyAlignment="1">
      <alignment vertical="center" wrapText="1"/>
      <protection/>
    </xf>
    <xf numFmtId="0" fontId="11" fillId="38" borderId="24" xfId="72" applyFont="1" applyFill="1" applyBorder="1" applyAlignment="1">
      <alignment vertical="center" wrapText="1"/>
      <protection/>
    </xf>
    <xf numFmtId="0" fontId="11" fillId="38" borderId="25" xfId="72" applyFont="1" applyFill="1" applyBorder="1" applyAlignment="1">
      <alignment vertical="center" wrapText="1"/>
      <protection/>
    </xf>
    <xf numFmtId="0" fontId="11" fillId="38" borderId="0" xfId="72" applyFont="1" applyFill="1" applyAlignment="1">
      <alignment vertical="center" wrapText="1"/>
      <protection/>
    </xf>
    <xf numFmtId="0" fontId="13" fillId="38" borderId="0" xfId="72" applyFont="1" applyFill="1" applyAlignment="1">
      <alignment vertical="center" wrapText="1"/>
      <protection/>
    </xf>
    <xf numFmtId="0" fontId="11" fillId="38" borderId="26" xfId="72" applyFont="1" applyFill="1" applyBorder="1" applyAlignment="1">
      <alignment vertical="center" wrapText="1"/>
      <protection/>
    </xf>
    <xf numFmtId="0" fontId="10" fillId="38" borderId="26" xfId="72" applyFont="1" applyFill="1" applyBorder="1" applyAlignment="1">
      <alignment vertical="center" wrapText="1"/>
      <protection/>
    </xf>
    <xf numFmtId="0" fontId="10" fillId="38" borderId="27" xfId="72" applyFont="1" applyFill="1" applyBorder="1" applyAlignment="1">
      <alignment vertical="center" wrapText="1"/>
      <protection/>
    </xf>
    <xf numFmtId="0" fontId="11" fillId="38" borderId="28" xfId="72" applyFont="1" applyFill="1" applyBorder="1" applyAlignment="1">
      <alignment vertical="center" wrapText="1"/>
      <protection/>
    </xf>
    <xf numFmtId="0" fontId="10" fillId="38" borderId="0" xfId="72" applyFont="1" applyFill="1" applyAlignment="1">
      <alignment vertical="center" wrapText="1"/>
      <protection/>
    </xf>
    <xf numFmtId="0" fontId="10" fillId="38" borderId="29" xfId="72" applyFont="1" applyFill="1" applyBorder="1" applyAlignment="1">
      <alignment vertical="center" wrapText="1"/>
      <protection/>
    </xf>
    <xf numFmtId="0" fontId="11" fillId="0" borderId="28" xfId="72" applyFont="1" applyBorder="1" applyAlignment="1">
      <alignment vertical="center" wrapText="1"/>
      <protection/>
    </xf>
    <xf numFmtId="0" fontId="11" fillId="0" borderId="0" xfId="72" applyFont="1" applyAlignment="1">
      <alignment vertical="center" wrapText="1"/>
      <protection/>
    </xf>
    <xf numFmtId="0" fontId="94" fillId="0" borderId="0" xfId="0" applyFont="1" applyAlignment="1">
      <alignment horizontal="center" vertical="center"/>
    </xf>
    <xf numFmtId="0" fontId="88" fillId="0" borderId="0" xfId="0" applyFont="1" applyAlignment="1">
      <alignment horizontal="center" vertical="center" wrapText="1"/>
    </xf>
    <xf numFmtId="0" fontId="0" fillId="0" borderId="0" xfId="0" applyAlignment="1">
      <alignment horizontal="center" vertical="center"/>
    </xf>
    <xf numFmtId="0" fontId="13" fillId="0" borderId="0" xfId="72" applyFont="1" applyAlignment="1">
      <alignment vertical="center" wrapText="1"/>
      <protection/>
    </xf>
    <xf numFmtId="0" fontId="10" fillId="0" borderId="0" xfId="72" applyFont="1" applyAlignment="1">
      <alignment vertical="center" wrapText="1"/>
      <protection/>
    </xf>
    <xf numFmtId="0" fontId="10" fillId="0" borderId="29" xfId="72" applyFont="1" applyBorder="1" applyAlignment="1">
      <alignment vertical="center" wrapText="1"/>
      <protection/>
    </xf>
    <xf numFmtId="0" fontId="14" fillId="38" borderId="0" xfId="72" applyFont="1" applyFill="1" applyAlignment="1">
      <alignment horizontal="center" vertical="center" wrapText="1"/>
      <protection/>
    </xf>
    <xf numFmtId="0" fontId="11" fillId="38" borderId="0" xfId="72" applyFont="1" applyFill="1" applyAlignment="1">
      <alignment horizontal="center" vertical="center" wrapText="1"/>
      <protection/>
    </xf>
    <xf numFmtId="0" fontId="14" fillId="0" borderId="0" xfId="72" applyFont="1" applyAlignment="1">
      <alignment horizontal="center" vertical="center" wrapText="1"/>
      <protection/>
    </xf>
    <xf numFmtId="0" fontId="10" fillId="38" borderId="34" xfId="72" applyFont="1" applyFill="1" applyBorder="1" applyAlignment="1">
      <alignment vertical="center" wrapText="1"/>
      <protection/>
    </xf>
    <xf numFmtId="0" fontId="10" fillId="38" borderId="35" xfId="72" applyFont="1" applyFill="1" applyBorder="1" applyAlignment="1">
      <alignment vertical="center" wrapText="1"/>
      <protection/>
    </xf>
    <xf numFmtId="0" fontId="15" fillId="39" borderId="0" xfId="72" applyFont="1" applyFill="1" applyAlignment="1">
      <alignment vertical="center" wrapText="1"/>
      <protection/>
    </xf>
    <xf numFmtId="0" fontId="89" fillId="38" borderId="0" xfId="0" applyFont="1" applyFill="1" applyAlignment="1">
      <alignment vertical="center"/>
    </xf>
    <xf numFmtId="192" fontId="0" fillId="0" borderId="0" xfId="0" applyNumberFormat="1" applyAlignment="1">
      <alignment vertical="center"/>
    </xf>
    <xf numFmtId="0" fontId="10" fillId="38" borderId="28" xfId="72" applyFont="1" applyFill="1" applyBorder="1" applyAlignment="1">
      <alignment vertical="center" wrapText="1"/>
      <protection/>
    </xf>
    <xf numFmtId="0" fontId="11" fillId="5" borderId="46" xfId="72" applyFont="1" applyFill="1" applyBorder="1" applyAlignment="1">
      <alignment horizontal="center" vertical="center" wrapText="1"/>
      <protection/>
    </xf>
    <xf numFmtId="0" fontId="11" fillId="5" borderId="47" xfId="72" applyFont="1" applyFill="1" applyBorder="1" applyAlignment="1">
      <alignment horizontal="center" vertical="center" wrapText="1"/>
      <protection/>
    </xf>
    <xf numFmtId="0" fontId="11" fillId="5" borderId="48" xfId="72" applyFont="1" applyFill="1" applyBorder="1" applyAlignment="1">
      <alignment horizontal="center" vertical="center" wrapText="1"/>
      <protection/>
    </xf>
    <xf numFmtId="0" fontId="11" fillId="38" borderId="0" xfId="72" applyFont="1" applyFill="1" applyAlignment="1">
      <alignment horizontal="left" vertical="center" wrapText="1"/>
      <protection/>
    </xf>
    <xf numFmtId="0" fontId="11" fillId="5" borderId="13" xfId="72" applyFont="1" applyFill="1" applyBorder="1" applyAlignment="1">
      <alignment horizontal="center" vertical="center" wrapText="1"/>
      <protection/>
    </xf>
    <xf numFmtId="0" fontId="11" fillId="0" borderId="37" xfId="72" applyFont="1" applyBorder="1" applyAlignment="1">
      <alignment horizontal="left" vertical="center" wrapText="1"/>
      <protection/>
    </xf>
    <xf numFmtId="0" fontId="11" fillId="0" borderId="22" xfId="72" applyFont="1" applyBorder="1" applyAlignment="1">
      <alignment horizontal="center" vertical="center" wrapText="1"/>
      <protection/>
    </xf>
    <xf numFmtId="0" fontId="11" fillId="0" borderId="16" xfId="72" applyFont="1" applyBorder="1" applyAlignment="1">
      <alignment horizontal="left" vertical="center" wrapText="1"/>
      <protection/>
    </xf>
    <xf numFmtId="0" fontId="11" fillId="11" borderId="38" xfId="72" applyFont="1" applyFill="1" applyBorder="1" applyAlignment="1">
      <alignment horizontal="left" vertical="center" wrapText="1"/>
      <protection/>
    </xf>
    <xf numFmtId="9" fontId="11" fillId="0" borderId="39" xfId="72" applyNumberFormat="1" applyFont="1" applyBorder="1" applyAlignment="1">
      <alignment horizontal="center" vertical="center" wrapText="1"/>
      <protection/>
    </xf>
    <xf numFmtId="9" fontId="11" fillId="0" borderId="0" xfId="72" applyNumberFormat="1" applyFont="1" applyAlignment="1">
      <alignment vertical="center" wrapText="1"/>
      <protection/>
    </xf>
    <xf numFmtId="0" fontId="11" fillId="11" borderId="13" xfId="72" applyFont="1" applyFill="1" applyBorder="1" applyAlignment="1">
      <alignment horizontal="left" vertical="center" wrapText="1"/>
      <protection/>
    </xf>
    <xf numFmtId="9" fontId="11" fillId="0" borderId="14" xfId="72" applyNumberFormat="1" applyFont="1" applyBorder="1" applyAlignment="1">
      <alignment horizontal="center" vertical="center" wrapText="1"/>
      <protection/>
    </xf>
    <xf numFmtId="0" fontId="11" fillId="0" borderId="13" xfId="72" applyFont="1" applyBorder="1" applyAlignment="1">
      <alignment horizontal="left" vertical="center" wrapText="1"/>
      <protection/>
    </xf>
    <xf numFmtId="9" fontId="11" fillId="0" borderId="40" xfId="72" applyNumberFormat="1" applyFont="1" applyBorder="1" applyAlignment="1">
      <alignment horizontal="center" vertical="center" wrapText="1"/>
      <protection/>
    </xf>
    <xf numFmtId="0" fontId="91" fillId="11" borderId="13" xfId="0" applyFont="1" applyFill="1" applyBorder="1" applyAlignment="1">
      <alignment horizontal="center" vertical="center" wrapText="1"/>
    </xf>
    <xf numFmtId="9" fontId="89" fillId="0" borderId="13" xfId="79" applyFont="1" applyBorder="1" applyAlignment="1">
      <alignment horizontal="center" vertical="center" wrapText="1"/>
    </xf>
    <xf numFmtId="0" fontId="96" fillId="0" borderId="13" xfId="0" applyFont="1" applyBorder="1" applyAlignment="1">
      <alignment horizontal="center" vertical="center" wrapText="1"/>
    </xf>
    <xf numFmtId="9" fontId="91" fillId="11" borderId="41" xfId="79" applyFont="1" applyFill="1" applyBorder="1" applyAlignment="1">
      <alignment horizontal="center" vertical="center"/>
    </xf>
    <xf numFmtId="9" fontId="91" fillId="11" borderId="42" xfId="79" applyFont="1" applyFill="1" applyBorder="1" applyAlignment="1">
      <alignment horizontal="center" vertical="center"/>
    </xf>
    <xf numFmtId="9" fontId="91" fillId="11" borderId="0" xfId="79" applyFont="1" applyFill="1" applyBorder="1" applyAlignment="1">
      <alignment horizontal="center" vertical="center"/>
    </xf>
    <xf numFmtId="0" fontId="91" fillId="11" borderId="0" xfId="0" applyFont="1" applyFill="1" applyAlignment="1">
      <alignment horizontal="center" vertical="center"/>
    </xf>
    <xf numFmtId="9" fontId="91" fillId="11" borderId="43" xfId="79" applyFont="1" applyFill="1" applyBorder="1" applyAlignment="1">
      <alignment horizontal="center" vertical="center"/>
    </xf>
    <xf numFmtId="9" fontId="91" fillId="11" borderId="15" xfId="79" applyFont="1" applyFill="1" applyBorder="1" applyAlignment="1">
      <alignment horizontal="center" vertical="center"/>
    </xf>
    <xf numFmtId="9" fontId="91" fillId="11" borderId="44" xfId="79" applyFont="1" applyFill="1" applyBorder="1" applyAlignment="1">
      <alignment horizontal="center" vertical="center"/>
    </xf>
    <xf numFmtId="9" fontId="11" fillId="11" borderId="22" xfId="79" applyFont="1" applyFill="1" applyBorder="1" applyAlignment="1">
      <alignment horizontal="center" vertical="center" wrapText="1"/>
    </xf>
    <xf numFmtId="0" fontId="89" fillId="0" borderId="13" xfId="59" applyNumberFormat="1" applyFont="1" applyBorder="1" applyAlignment="1">
      <alignment horizontal="center" vertical="center" wrapText="1"/>
    </xf>
    <xf numFmtId="9" fontId="89" fillId="0" borderId="13" xfId="79" applyFont="1" applyBorder="1" applyAlignment="1">
      <alignment horizontal="center" vertical="center"/>
    </xf>
    <xf numFmtId="9" fontId="89" fillId="0" borderId="0" xfId="79" applyFont="1" applyAlignment="1">
      <alignment horizontal="center" vertical="center"/>
    </xf>
    <xf numFmtId="175" fontId="89" fillId="0" borderId="13" xfId="59" applyFont="1" applyBorder="1" applyAlignment="1">
      <alignment horizontal="left" vertical="center" wrapText="1"/>
    </xf>
    <xf numFmtId="9" fontId="89" fillId="0" borderId="13" xfId="0" applyNumberFormat="1" applyFont="1" applyBorder="1" applyAlignment="1">
      <alignment vertical="center"/>
    </xf>
    <xf numFmtId="0" fontId="89" fillId="0" borderId="13" xfId="0" applyFont="1" applyBorder="1" applyAlignment="1">
      <alignment vertical="center" wrapText="1"/>
    </xf>
    <xf numFmtId="0" fontId="89" fillId="0" borderId="13" xfId="0" applyFont="1" applyBorder="1" applyAlignment="1">
      <alignment vertical="top" wrapText="1"/>
    </xf>
    <xf numFmtId="0" fontId="89" fillId="0" borderId="13" xfId="0" applyFont="1" applyBorder="1" applyAlignment="1">
      <alignment horizontal="left" vertical="top" wrapText="1"/>
    </xf>
    <xf numFmtId="0" fontId="11" fillId="38" borderId="55" xfId="72" applyFont="1" applyFill="1" applyBorder="1" applyAlignment="1">
      <alignment vertical="center" wrapText="1"/>
      <protection/>
    </xf>
    <xf numFmtId="0" fontId="11" fillId="38" borderId="56" xfId="72" applyFont="1" applyFill="1" applyBorder="1" applyAlignment="1">
      <alignment vertical="center" wrapText="1"/>
      <protection/>
    </xf>
    <xf numFmtId="0" fontId="89" fillId="0" borderId="13" xfId="0" applyFont="1" applyBorder="1" applyAlignment="1">
      <alignment horizontal="justify" vertical="center" wrapText="1"/>
    </xf>
    <xf numFmtId="41" fontId="89" fillId="0" borderId="13" xfId="60" applyFont="1" applyFill="1" applyBorder="1" applyAlignment="1">
      <alignment horizontal="center" vertical="center" wrapText="1"/>
    </xf>
    <xf numFmtId="175" fontId="10" fillId="38" borderId="13" xfId="59" applyFont="1" applyFill="1" applyBorder="1" applyAlignment="1">
      <alignment vertical="center"/>
    </xf>
    <xf numFmtId="0" fontId="10" fillId="38" borderId="13" xfId="0" applyFont="1" applyFill="1" applyBorder="1" applyAlignment="1">
      <alignment vertical="center"/>
    </xf>
    <xf numFmtId="0" fontId="90" fillId="0" borderId="13" xfId="0" applyFont="1" applyBorder="1" applyAlignment="1">
      <alignment horizontal="center" vertical="center"/>
    </xf>
    <xf numFmtId="0" fontId="10" fillId="0" borderId="13" xfId="0" applyFont="1" applyBorder="1" applyAlignment="1">
      <alignment horizontal="justify" vertical="center" wrapText="1"/>
    </xf>
    <xf numFmtId="0" fontId="10" fillId="0" borderId="13" xfId="0" applyFont="1" applyBorder="1" applyAlignment="1">
      <alignment vertical="center"/>
    </xf>
    <xf numFmtId="41" fontId="10" fillId="0" borderId="13" xfId="60" applyFont="1" applyFill="1" applyBorder="1" applyAlignment="1">
      <alignment horizontal="center" vertical="center" wrapText="1"/>
    </xf>
    <xf numFmtId="0" fontId="10" fillId="0" borderId="13" xfId="0" applyFont="1" applyBorder="1" applyAlignment="1">
      <alignment vertical="center" wrapText="1"/>
    </xf>
    <xf numFmtId="175" fontId="10" fillId="0" borderId="13" xfId="59" applyFont="1" applyBorder="1" applyAlignment="1">
      <alignment horizontal="center" vertical="center" wrapText="1"/>
    </xf>
    <xf numFmtId="0" fontId="90" fillId="0" borderId="13" xfId="0" applyFont="1" applyBorder="1" applyAlignment="1">
      <alignment vertical="center"/>
    </xf>
    <xf numFmtId="0" fontId="90" fillId="0" borderId="0" xfId="0" applyFont="1" applyAlignment="1">
      <alignment vertical="center"/>
    </xf>
    <xf numFmtId="0" fontId="10" fillId="0" borderId="13" xfId="0" applyFont="1" applyBorder="1" applyAlignment="1">
      <alignment horizontal="center" vertical="center"/>
    </xf>
    <xf numFmtId="0" fontId="10" fillId="0" borderId="0" xfId="0" applyFont="1" applyAlignment="1">
      <alignment vertical="center"/>
    </xf>
    <xf numFmtId="9" fontId="89" fillId="38" borderId="13" xfId="0" applyNumberFormat="1" applyFont="1" applyFill="1" applyBorder="1" applyAlignment="1">
      <alignment vertical="center"/>
    </xf>
    <xf numFmtId="0" fontId="89" fillId="38" borderId="13" xfId="0" applyFont="1" applyFill="1" applyBorder="1" applyAlignment="1">
      <alignment vertical="center"/>
    </xf>
    <xf numFmtId="9" fontId="10" fillId="38" borderId="13" xfId="80" applyFont="1" applyFill="1" applyBorder="1" applyAlignment="1" applyProtection="1">
      <alignment horizontal="center" vertical="center" wrapText="1"/>
      <protection locked="0"/>
    </xf>
    <xf numFmtId="0" fontId="10" fillId="0" borderId="37" xfId="72" applyFont="1" applyBorder="1" applyAlignment="1">
      <alignment horizontal="center" vertical="center" wrapText="1"/>
      <protection/>
    </xf>
    <xf numFmtId="9" fontId="10" fillId="0" borderId="22" xfId="79" applyFont="1" applyFill="1" applyBorder="1" applyAlignment="1" applyProtection="1">
      <alignment horizontal="center" vertical="center" wrapText="1"/>
      <protection/>
    </xf>
    <xf numFmtId="9" fontId="93" fillId="0" borderId="13" xfId="76" applyNumberFormat="1" applyFont="1" applyBorder="1" applyAlignment="1">
      <alignment horizontal="center" vertical="center"/>
      <protection/>
    </xf>
    <xf numFmtId="9" fontId="11" fillId="0" borderId="13" xfId="72" applyNumberFormat="1" applyFont="1" applyBorder="1" applyAlignment="1">
      <alignment horizontal="center" vertical="center" wrapText="1"/>
      <protection/>
    </xf>
    <xf numFmtId="0" fontId="11" fillId="11" borderId="57" xfId="72" applyFont="1" applyFill="1" applyBorder="1" applyAlignment="1">
      <alignment horizontal="left" vertical="center" wrapText="1"/>
      <protection/>
    </xf>
    <xf numFmtId="9" fontId="10" fillId="11" borderId="57" xfId="79" applyFont="1" applyFill="1" applyBorder="1" applyAlignment="1" applyProtection="1">
      <alignment horizontal="center" vertical="center" wrapText="1"/>
      <protection locked="0"/>
    </xf>
    <xf numFmtId="9" fontId="10" fillId="11" borderId="58" xfId="79" applyFont="1" applyFill="1" applyBorder="1" applyAlignment="1" applyProtection="1">
      <alignment horizontal="center" vertical="center" wrapText="1"/>
      <protection locked="0"/>
    </xf>
    <xf numFmtId="9" fontId="11" fillId="0" borderId="58" xfId="72" applyNumberFormat="1" applyFont="1" applyBorder="1" applyAlignment="1">
      <alignment horizontal="center" vertical="center" wrapText="1"/>
      <protection/>
    </xf>
    <xf numFmtId="189" fontId="0" fillId="0" borderId="0" xfId="58" applyNumberFormat="1" applyFont="1" applyAlignment="1">
      <alignment vertical="center"/>
    </xf>
    <xf numFmtId="189" fontId="0" fillId="0" borderId="0" xfId="58" applyNumberFormat="1" applyFont="1" applyFill="1" applyBorder="1" applyAlignment="1">
      <alignment vertical="center"/>
    </xf>
    <xf numFmtId="189" fontId="15" fillId="39" borderId="0" xfId="58" applyNumberFormat="1" applyFont="1" applyFill="1" applyBorder="1" applyAlignment="1" applyProtection="1">
      <alignment vertical="center" wrapText="1"/>
      <protection/>
    </xf>
    <xf numFmtId="189" fontId="0" fillId="0" borderId="0" xfId="58" applyNumberFormat="1" applyFont="1" applyBorder="1" applyAlignment="1">
      <alignment vertical="center"/>
    </xf>
    <xf numFmtId="189" fontId="0" fillId="0" borderId="16" xfId="58" applyNumberFormat="1" applyFont="1" applyFill="1" applyBorder="1" applyAlignment="1">
      <alignment vertical="center"/>
    </xf>
    <xf numFmtId="189" fontId="0" fillId="0" borderId="0" xfId="58" applyNumberFormat="1" applyFont="1" applyFill="1" applyAlignment="1">
      <alignment vertical="center"/>
    </xf>
    <xf numFmtId="189" fontId="0" fillId="0" borderId="13" xfId="58" applyNumberFormat="1" applyFont="1" applyFill="1" applyBorder="1" applyAlignment="1">
      <alignment vertical="center"/>
    </xf>
    <xf numFmtId="189" fontId="0" fillId="0" borderId="38" xfId="58" applyNumberFormat="1" applyFont="1" applyFill="1" applyBorder="1" applyAlignment="1">
      <alignment vertical="center"/>
    </xf>
    <xf numFmtId="0" fontId="0" fillId="0" borderId="28" xfId="0" applyBorder="1" applyAlignment="1">
      <alignment vertical="center"/>
    </xf>
    <xf numFmtId="9" fontId="89" fillId="11" borderId="38" xfId="81" applyFont="1" applyFill="1" applyBorder="1" applyAlignment="1" applyProtection="1">
      <alignment horizontal="center" vertical="center" wrapText="1"/>
      <protection/>
    </xf>
    <xf numFmtId="9" fontId="88" fillId="0" borderId="28" xfId="79" applyFont="1" applyBorder="1" applyAlignment="1">
      <alignment horizontal="center" vertical="center"/>
    </xf>
    <xf numFmtId="189" fontId="88" fillId="0" borderId="0" xfId="58" applyNumberFormat="1" applyFont="1" applyAlignment="1">
      <alignment vertical="center"/>
    </xf>
    <xf numFmtId="0" fontId="11" fillId="38" borderId="59" xfId="72" applyFont="1" applyFill="1" applyBorder="1" applyAlignment="1">
      <alignment vertical="center" wrapText="1"/>
      <protection/>
    </xf>
    <xf numFmtId="0" fontId="11" fillId="38" borderId="60" xfId="72" applyFont="1" applyFill="1" applyBorder="1" applyAlignment="1">
      <alignment vertical="center" wrapText="1"/>
      <protection/>
    </xf>
    <xf numFmtId="199" fontId="11" fillId="0" borderId="60" xfId="72" applyNumberFormat="1" applyFont="1" applyBorder="1" applyAlignment="1">
      <alignment horizontal="center" vertical="center" wrapText="1"/>
      <protection/>
    </xf>
    <xf numFmtId="199" fontId="11" fillId="0" borderId="61" xfId="72" applyNumberFormat="1" applyFont="1" applyBorder="1" applyAlignment="1">
      <alignment vertical="center" wrapText="1"/>
      <protection/>
    </xf>
    <xf numFmtId="199" fontId="11" fillId="0" borderId="62" xfId="72" applyNumberFormat="1" applyFont="1" applyBorder="1" applyAlignment="1">
      <alignment vertical="center" wrapText="1"/>
      <protection/>
    </xf>
    <xf numFmtId="0" fontId="23" fillId="0" borderId="0" xfId="0" applyFont="1" applyAlignment="1">
      <alignment/>
    </xf>
    <xf numFmtId="189" fontId="23" fillId="0" borderId="0" xfId="58" applyNumberFormat="1" applyFont="1" applyAlignment="1">
      <alignment/>
    </xf>
    <xf numFmtId="9" fontId="10" fillId="38" borderId="16" xfId="80" applyFont="1" applyFill="1" applyBorder="1" applyAlignment="1" applyProtection="1">
      <alignment horizontal="center" vertical="center" wrapText="1"/>
      <protection locked="0"/>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75" fontId="4" fillId="0" borderId="13" xfId="59" applyFont="1" applyFill="1" applyBorder="1" applyAlignment="1">
      <alignment vertical="center" wrapText="1"/>
    </xf>
    <xf numFmtId="0" fontId="93" fillId="0" borderId="13" xfId="0" applyFont="1" applyBorder="1" applyAlignment="1">
      <alignment horizontal="left" vertical="center" wrapText="1"/>
    </xf>
    <xf numFmtId="0" fontId="93" fillId="0" borderId="13" xfId="0" applyFont="1" applyBorder="1" applyAlignment="1">
      <alignment horizontal="center" vertical="center" wrapText="1"/>
    </xf>
    <xf numFmtId="0" fontId="10" fillId="0" borderId="22" xfId="72" applyFont="1" applyBorder="1" applyAlignment="1">
      <alignment horizontal="left" vertical="center" wrapText="1"/>
      <protection/>
    </xf>
    <xf numFmtId="0" fontId="89" fillId="0" borderId="0" xfId="0" applyFont="1" applyAlignment="1">
      <alignment vertical="center" wrapText="1"/>
    </xf>
    <xf numFmtId="9" fontId="10" fillId="0" borderId="22" xfId="72" applyNumberFormat="1" applyFont="1" applyBorder="1" applyAlignment="1">
      <alignment horizontal="center" vertical="center" wrapText="1"/>
      <protection/>
    </xf>
    <xf numFmtId="0" fontId="89" fillId="0" borderId="0" xfId="0" applyFont="1" applyAlignment="1">
      <alignment horizontal="justify" vertical="center" wrapText="1"/>
    </xf>
    <xf numFmtId="41" fontId="89" fillId="0" borderId="13" xfId="60" applyFont="1" applyFill="1" applyBorder="1" applyAlignment="1">
      <alignment horizontal="center" vertical="center"/>
    </xf>
    <xf numFmtId="41" fontId="89" fillId="38" borderId="13" xfId="60" applyFont="1" applyFill="1" applyBorder="1" applyAlignment="1">
      <alignment horizontal="center" vertical="center"/>
    </xf>
    <xf numFmtId="41" fontId="89" fillId="38" borderId="13" xfId="60" applyFont="1" applyFill="1" applyBorder="1" applyAlignment="1">
      <alignment horizontal="center" vertical="center" wrapText="1"/>
    </xf>
    <xf numFmtId="41" fontId="89" fillId="38" borderId="16" xfId="60" applyFont="1" applyFill="1" applyBorder="1" applyAlignment="1">
      <alignment horizontal="center" vertical="center" wrapText="1"/>
    </xf>
    <xf numFmtId="0" fontId="89" fillId="38" borderId="13" xfId="0" applyFont="1" applyFill="1" applyBorder="1" applyAlignment="1">
      <alignment horizontal="center" vertical="center"/>
    </xf>
    <xf numFmtId="198" fontId="89" fillId="38" borderId="13" xfId="59" applyNumberFormat="1" applyFont="1" applyFill="1" applyBorder="1" applyAlignment="1">
      <alignment vertical="center"/>
    </xf>
    <xf numFmtId="175" fontId="89" fillId="38" borderId="13" xfId="59" applyFont="1" applyFill="1" applyBorder="1" applyAlignment="1">
      <alignment vertical="center"/>
    </xf>
    <xf numFmtId="9" fontId="89" fillId="38" borderId="13" xfId="79" applyFont="1" applyFill="1" applyBorder="1" applyAlignment="1">
      <alignment vertical="center"/>
    </xf>
    <xf numFmtId="175" fontId="10" fillId="38" borderId="13" xfId="80" applyNumberFormat="1" applyFont="1" applyFill="1" applyBorder="1" applyAlignment="1" applyProtection="1">
      <alignment horizontal="center" vertical="center" wrapText="1"/>
      <protection locked="0"/>
    </xf>
    <xf numFmtId="175" fontId="10" fillId="38" borderId="13" xfId="59" applyFont="1" applyFill="1" applyBorder="1" applyAlignment="1" applyProtection="1">
      <alignment horizontal="center" vertical="center" wrapText="1"/>
      <protection locked="0"/>
    </xf>
    <xf numFmtId="10" fontId="89" fillId="0" borderId="13" xfId="0" applyNumberFormat="1" applyFont="1" applyFill="1" applyBorder="1" applyAlignment="1">
      <alignment vertical="center"/>
    </xf>
    <xf numFmtId="9" fontId="89" fillId="0" borderId="13" xfId="79" applyFont="1" applyFill="1" applyBorder="1" applyAlignment="1">
      <alignment vertical="center"/>
    </xf>
    <xf numFmtId="9" fontId="89" fillId="0" borderId="13" xfId="0" applyNumberFormat="1" applyFont="1" applyFill="1" applyBorder="1" applyAlignment="1">
      <alignment vertical="center"/>
    </xf>
    <xf numFmtId="0" fontId="89" fillId="0" borderId="13" xfId="0" applyFont="1" applyFill="1" applyBorder="1" applyAlignment="1">
      <alignment vertical="center"/>
    </xf>
    <xf numFmtId="9" fontId="10" fillId="0" borderId="13" xfId="79" applyFont="1" applyFill="1" applyBorder="1" applyAlignment="1">
      <alignment vertical="center"/>
    </xf>
    <xf numFmtId="0" fontId="89" fillId="0" borderId="22" xfId="0" applyFont="1" applyBorder="1" applyAlignment="1">
      <alignment vertical="center"/>
    </xf>
    <xf numFmtId="0" fontId="97" fillId="0" borderId="13" xfId="0" applyFont="1" applyBorder="1" applyAlignment="1">
      <alignment horizontal="center" vertical="center" wrapText="1"/>
    </xf>
    <xf numFmtId="9" fontId="97" fillId="0" borderId="13" xfId="79" applyFont="1" applyFill="1" applyBorder="1" applyAlignment="1">
      <alignment horizontal="center" vertical="center" wrapText="1"/>
    </xf>
    <xf numFmtId="175" fontId="97" fillId="0" borderId="13" xfId="59" applyFont="1" applyFill="1" applyBorder="1" applyAlignment="1">
      <alignment horizontal="center" vertical="center" wrapText="1"/>
    </xf>
    <xf numFmtId="189" fontId="0" fillId="0" borderId="0" xfId="58" applyNumberFormat="1" applyFont="1" applyAlignment="1">
      <alignment/>
    </xf>
    <xf numFmtId="14" fontId="0" fillId="0" borderId="0" xfId="58" applyNumberFormat="1" applyFont="1" applyAlignment="1">
      <alignment/>
    </xf>
    <xf numFmtId="9" fontId="0" fillId="0" borderId="0" xfId="79" applyFont="1" applyAlignment="1">
      <alignment/>
    </xf>
    <xf numFmtId="0" fontId="10" fillId="0" borderId="22" xfId="72" applyFont="1" applyBorder="1" applyAlignment="1">
      <alignment horizontal="center" vertical="center" wrapText="1"/>
      <protection/>
    </xf>
    <xf numFmtId="175" fontId="10" fillId="0" borderId="22" xfId="59" applyFont="1" applyFill="1" applyBorder="1" applyAlignment="1" applyProtection="1">
      <alignment horizontal="center" vertical="center" wrapText="1"/>
      <protection/>
    </xf>
    <xf numFmtId="9" fontId="10" fillId="0" borderId="13" xfId="0" applyNumberFormat="1" applyFont="1" applyFill="1" applyBorder="1" applyAlignment="1">
      <alignment vertical="center"/>
    </xf>
    <xf numFmtId="0" fontId="91" fillId="11" borderId="13" xfId="0" applyFont="1" applyFill="1" applyBorder="1" applyAlignment="1">
      <alignment horizontal="center" vertical="center" wrapText="1"/>
    </xf>
    <xf numFmtId="0" fontId="19" fillId="0" borderId="37" xfId="72" applyFont="1" applyFill="1" applyBorder="1" applyAlignment="1">
      <alignment horizontal="center" vertical="center" wrapText="1"/>
      <protection/>
    </xf>
    <xf numFmtId="9" fontId="11" fillId="0" borderId="22" xfId="79" applyFont="1" applyBorder="1" applyAlignment="1">
      <alignment horizontal="center" vertical="center" wrapText="1"/>
    </xf>
    <xf numFmtId="0" fontId="89" fillId="0" borderId="13" xfId="0" applyFont="1" applyFill="1" applyBorder="1" applyAlignment="1">
      <alignment horizontal="center" vertical="center" wrapText="1"/>
    </xf>
    <xf numFmtId="0" fontId="90" fillId="0" borderId="13" xfId="0" applyFont="1" applyFill="1" applyBorder="1" applyAlignment="1">
      <alignment horizontal="center" vertical="center"/>
    </xf>
    <xf numFmtId="0" fontId="10" fillId="0" borderId="13" xfId="0" applyFont="1" applyFill="1" applyBorder="1" applyAlignment="1">
      <alignment horizontal="center" vertical="center"/>
    </xf>
    <xf numFmtId="41" fontId="10" fillId="38" borderId="13" xfId="60" applyFont="1" applyFill="1" applyBorder="1" applyAlignment="1">
      <alignment horizontal="center" vertical="center"/>
    </xf>
    <xf numFmtId="9" fontId="10" fillId="38" borderId="13" xfId="79" applyFont="1" applyFill="1" applyBorder="1" applyAlignment="1">
      <alignment horizontal="center" vertical="center"/>
    </xf>
    <xf numFmtId="0" fontId="10" fillId="38" borderId="13" xfId="0" applyFont="1" applyFill="1" applyBorder="1" applyAlignment="1">
      <alignment horizontal="center" vertical="center"/>
    </xf>
    <xf numFmtId="0" fontId="97" fillId="0" borderId="13" xfId="0" applyFont="1" applyBorder="1" applyAlignment="1">
      <alignment horizontal="justify" vertical="center" wrapText="1"/>
    </xf>
    <xf numFmtId="175" fontId="97" fillId="0" borderId="13" xfId="59" applyFont="1" applyFill="1" applyBorder="1" applyAlignment="1">
      <alignment horizontal="justify" vertical="center" wrapText="1"/>
    </xf>
    <xf numFmtId="189" fontId="0" fillId="0" borderId="20" xfId="58" applyNumberFormat="1" applyFont="1" applyFill="1" applyBorder="1" applyAlignment="1">
      <alignment vertical="center"/>
    </xf>
    <xf numFmtId="189" fontId="11" fillId="38" borderId="0" xfId="72" applyNumberFormat="1" applyFont="1" applyFill="1" applyAlignment="1">
      <alignment horizontal="left" vertical="center" wrapText="1"/>
      <protection/>
    </xf>
    <xf numFmtId="189" fontId="11" fillId="38" borderId="0" xfId="58" applyNumberFormat="1" applyFont="1" applyFill="1" applyAlignment="1">
      <alignment horizontal="left" vertical="center" wrapText="1"/>
    </xf>
    <xf numFmtId="10" fontId="10" fillId="38" borderId="13" xfId="80" applyNumberFormat="1" applyFont="1" applyFill="1" applyBorder="1" applyAlignment="1" applyProtection="1">
      <alignment horizontal="center" vertical="center" wrapText="1"/>
      <protection locked="0"/>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wrapText="1"/>
    </xf>
    <xf numFmtId="10" fontId="10" fillId="11" borderId="13" xfId="79" applyNumberFormat="1" applyFont="1" applyFill="1" applyBorder="1" applyAlignment="1" applyProtection="1">
      <alignment horizontal="center" vertical="center" wrapText="1"/>
      <protection locked="0"/>
    </xf>
    <xf numFmtId="10" fontId="89" fillId="0" borderId="13" xfId="79" applyNumberFormat="1" applyFont="1" applyBorder="1" applyAlignment="1">
      <alignment vertical="center"/>
    </xf>
    <xf numFmtId="0" fontId="89" fillId="0" borderId="13" xfId="79" applyNumberFormat="1" applyFont="1" applyBorder="1" applyAlignment="1">
      <alignment vertical="center" wrapText="1"/>
    </xf>
    <xf numFmtId="9" fontId="89" fillId="0" borderId="13" xfId="79" applyFont="1" applyBorder="1" applyAlignment="1">
      <alignment vertical="center" wrapText="1"/>
    </xf>
    <xf numFmtId="0" fontId="0" fillId="0" borderId="0" xfId="0" applyAlignment="1">
      <alignment vertical="center" wrapText="1"/>
    </xf>
    <xf numFmtId="9" fontId="89" fillId="38" borderId="13" xfId="79" applyFont="1" applyFill="1" applyBorder="1" applyAlignment="1">
      <alignment horizontal="left" vertical="center" wrapText="1"/>
    </xf>
    <xf numFmtId="0" fontId="89" fillId="38" borderId="13" xfId="0" applyFont="1" applyFill="1" applyBorder="1" applyAlignment="1">
      <alignment horizontal="left" vertical="center" wrapText="1"/>
    </xf>
    <xf numFmtId="0" fontId="10" fillId="0" borderId="13" xfId="79" applyNumberFormat="1" applyFont="1" applyBorder="1" applyAlignment="1">
      <alignment horizontal="center" vertical="center"/>
    </xf>
    <xf numFmtId="9" fontId="10" fillId="11" borderId="38" xfId="8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wrapText="1"/>
    </xf>
    <xf numFmtId="9" fontId="10" fillId="38" borderId="13" xfId="79" applyFont="1" applyFill="1" applyBorder="1" applyAlignment="1">
      <alignment vertical="center" wrapText="1"/>
    </xf>
    <xf numFmtId="0" fontId="90" fillId="0" borderId="13" xfId="0" applyFont="1" applyFill="1" applyBorder="1" applyAlignment="1">
      <alignment vertical="center"/>
    </xf>
    <xf numFmtId="0" fontId="10" fillId="0" borderId="13" xfId="0" applyFont="1" applyFill="1" applyBorder="1" applyAlignment="1">
      <alignment vertical="center"/>
    </xf>
    <xf numFmtId="175" fontId="4" fillId="0" borderId="13" xfId="59" applyFont="1" applyFill="1" applyBorder="1" applyAlignment="1">
      <alignment horizontal="center" vertical="center" wrapText="1"/>
    </xf>
    <xf numFmtId="9" fontId="4" fillId="0" borderId="13" xfId="0" applyNumberFormat="1" applyFont="1" applyBorder="1" applyAlignment="1">
      <alignment horizontal="center" vertical="center" wrapText="1"/>
    </xf>
    <xf numFmtId="199" fontId="4" fillId="0" borderId="13" xfId="59" applyNumberFormat="1" applyFont="1" applyFill="1" applyBorder="1" applyAlignment="1">
      <alignment horizontal="center" vertical="center" wrapText="1"/>
    </xf>
    <xf numFmtId="189" fontId="0" fillId="0" borderId="13" xfId="58" applyNumberFormat="1" applyFont="1" applyBorder="1" applyAlignment="1">
      <alignment/>
    </xf>
    <xf numFmtId="189" fontId="88" fillId="0" borderId="13" xfId="58" applyNumberFormat="1" applyFont="1" applyBorder="1" applyAlignment="1">
      <alignment/>
    </xf>
    <xf numFmtId="189" fontId="88" fillId="0" borderId="13" xfId="58" applyNumberFormat="1" applyFont="1" applyBorder="1" applyAlignment="1">
      <alignment horizontal="center"/>
    </xf>
    <xf numFmtId="189" fontId="0" fillId="0" borderId="0" xfId="58" applyNumberFormat="1" applyFont="1" applyAlignment="1">
      <alignment/>
    </xf>
    <xf numFmtId="189" fontId="0" fillId="0" borderId="0" xfId="0" applyNumberFormat="1" applyAlignment="1">
      <alignment/>
    </xf>
    <xf numFmtId="0" fontId="11" fillId="5" borderId="13" xfId="72" applyFont="1" applyFill="1" applyBorder="1" applyAlignment="1">
      <alignment horizontal="center" vertical="center" wrapText="1"/>
      <protection/>
    </xf>
    <xf numFmtId="9" fontId="11" fillId="0" borderId="38" xfId="72" applyNumberFormat="1" applyFont="1" applyBorder="1" applyAlignment="1">
      <alignment horizontal="center" vertical="center" wrapText="1"/>
      <protection/>
    </xf>
    <xf numFmtId="189" fontId="0" fillId="3" borderId="0" xfId="58" applyNumberFormat="1" applyFont="1" applyFill="1" applyAlignment="1">
      <alignment/>
    </xf>
    <xf numFmtId="189" fontId="0" fillId="42" borderId="0" xfId="58" applyNumberFormat="1" applyFont="1" applyFill="1" applyAlignment="1">
      <alignment/>
    </xf>
    <xf numFmtId="10" fontId="0" fillId="0" borderId="0" xfId="79" applyNumberFormat="1" applyFont="1" applyAlignment="1">
      <alignment/>
    </xf>
    <xf numFmtId="0" fontId="88" fillId="0" borderId="0" xfId="0" applyFont="1" applyAlignment="1">
      <alignment/>
    </xf>
    <xf numFmtId="9" fontId="88" fillId="0" borderId="0" xfId="79" applyFont="1" applyAlignment="1">
      <alignment/>
    </xf>
    <xf numFmtId="199" fontId="88" fillId="0" borderId="0" xfId="59" applyNumberFormat="1" applyFont="1" applyAlignment="1">
      <alignment/>
    </xf>
    <xf numFmtId="0" fontId="88" fillId="0" borderId="0" xfId="0" applyFont="1" applyAlignment="1">
      <alignment horizontal="center"/>
    </xf>
    <xf numFmtId="199" fontId="0" fillId="0" borderId="0" xfId="0" applyNumberFormat="1" applyAlignment="1">
      <alignment/>
    </xf>
    <xf numFmtId="43" fontId="0" fillId="0" borderId="0" xfId="0" applyNumberFormat="1" applyAlignment="1">
      <alignment/>
    </xf>
    <xf numFmtId="9" fontId="88" fillId="29" borderId="0" xfId="79" applyFont="1" applyFill="1" applyAlignment="1">
      <alignment/>
    </xf>
    <xf numFmtId="199" fontId="88" fillId="43" borderId="0" xfId="59" applyNumberFormat="1" applyFont="1" applyFill="1" applyAlignment="1">
      <alignment/>
    </xf>
    <xf numFmtId="10" fontId="0" fillId="0" borderId="0" xfId="79" applyNumberFormat="1" applyFont="1" applyAlignment="1">
      <alignment/>
    </xf>
    <xf numFmtId="0" fontId="98" fillId="0" borderId="0" xfId="0" applyFont="1" applyAlignment="1">
      <alignment/>
    </xf>
    <xf numFmtId="2" fontId="89" fillId="0" borderId="13" xfId="0" applyNumberFormat="1" applyFont="1" applyBorder="1" applyAlignment="1">
      <alignment vertical="center"/>
    </xf>
    <xf numFmtId="10" fontId="0" fillId="0" borderId="0" xfId="79" applyNumberFormat="1" applyFont="1" applyAlignment="1">
      <alignment/>
    </xf>
    <xf numFmtId="0" fontId="91" fillId="11" borderId="13" xfId="0" applyFont="1" applyFill="1" applyBorder="1" applyAlignment="1">
      <alignment horizontal="center" vertical="center" wrapText="1"/>
    </xf>
    <xf numFmtId="189" fontId="0" fillId="0" borderId="0" xfId="58" applyNumberFormat="1" applyFont="1" applyAlignment="1">
      <alignment/>
    </xf>
    <xf numFmtId="0" fontId="93" fillId="0" borderId="13" xfId="0" applyFont="1" applyBorder="1" applyAlignment="1">
      <alignment vertical="center" wrapText="1"/>
    </xf>
    <xf numFmtId="9" fontId="10" fillId="0" borderId="13" xfId="79" applyFont="1" applyBorder="1" applyAlignment="1">
      <alignment vertical="center"/>
    </xf>
    <xf numFmtId="9" fontId="10" fillId="0" borderId="13" xfId="79" applyFont="1" applyFill="1" applyBorder="1" applyAlignment="1">
      <alignment horizontal="center" vertical="center" wrapText="1"/>
    </xf>
    <xf numFmtId="0" fontId="22" fillId="11" borderId="13" xfId="0" applyFont="1" applyFill="1" applyBorder="1" applyAlignment="1">
      <alignment horizontal="center" vertical="center" wrapText="1"/>
    </xf>
    <xf numFmtId="9" fontId="0" fillId="0" borderId="40" xfId="79" applyFont="1" applyBorder="1" applyAlignment="1">
      <alignment horizontal="center" vertical="center"/>
    </xf>
    <xf numFmtId="9" fontId="0" fillId="0" borderId="21" xfId="79" applyFont="1" applyBorder="1" applyAlignment="1">
      <alignment horizontal="center" vertical="center"/>
    </xf>
    <xf numFmtId="9" fontId="0" fillId="0" borderId="52" xfId="79" applyFont="1" applyBorder="1" applyAlignment="1">
      <alignment horizontal="center" vertical="center"/>
    </xf>
    <xf numFmtId="0" fontId="89" fillId="0" borderId="13" xfId="0" applyFont="1" applyBorder="1" applyAlignment="1">
      <alignment horizontal="center" vertical="center"/>
    </xf>
    <xf numFmtId="0" fontId="89" fillId="0" borderId="13" xfId="0" applyFont="1" applyBorder="1" applyAlignment="1">
      <alignment horizontal="center" vertical="center"/>
    </xf>
    <xf numFmtId="9" fontId="89" fillId="0" borderId="13" xfId="79" applyFont="1" applyBorder="1" applyAlignment="1">
      <alignment horizontal="center" vertical="center"/>
    </xf>
    <xf numFmtId="10" fontId="89" fillId="0" borderId="13" xfId="0" applyNumberFormat="1" applyFont="1" applyBorder="1" applyAlignment="1">
      <alignment vertical="center"/>
    </xf>
    <xf numFmtId="9" fontId="89" fillId="0" borderId="13" xfId="0" applyNumberFormat="1" applyFont="1" applyFill="1" applyBorder="1" applyAlignment="1">
      <alignment horizontal="center" vertical="center"/>
    </xf>
    <xf numFmtId="189" fontId="0" fillId="43" borderId="0" xfId="58" applyNumberFormat="1" applyFont="1" applyFill="1" applyAlignment="1">
      <alignment/>
    </xf>
    <xf numFmtId="189" fontId="0" fillId="37" borderId="0" xfId="58" applyNumberFormat="1" applyFont="1" applyFill="1" applyAlignment="1">
      <alignment/>
    </xf>
    <xf numFmtId="0" fontId="89" fillId="0" borderId="13" xfId="0" applyFont="1" applyBorder="1" applyAlignment="1">
      <alignment horizontal="center" vertical="center" wrapText="1"/>
    </xf>
    <xf numFmtId="0" fontId="93" fillId="38" borderId="13" xfId="79" applyNumberFormat="1" applyFont="1" applyFill="1" applyBorder="1" applyAlignment="1">
      <alignment vertical="center" wrapText="1"/>
    </xf>
    <xf numFmtId="9" fontId="89" fillId="0" borderId="13" xfId="0" applyNumberFormat="1" applyFont="1" applyBorder="1" applyAlignment="1">
      <alignment horizontal="center" vertical="center"/>
    </xf>
    <xf numFmtId="0" fontId="89" fillId="0" borderId="13" xfId="0" applyFont="1" applyBorder="1" applyAlignment="1">
      <alignment horizontal="center" vertical="center"/>
    </xf>
    <xf numFmtId="0" fontId="89" fillId="0" borderId="13" xfId="0" applyFont="1" applyBorder="1" applyAlignment="1">
      <alignment horizontal="center" vertical="center" wrapText="1"/>
    </xf>
    <xf numFmtId="9" fontId="89" fillId="0" borderId="13" xfId="79" applyFont="1" applyBorder="1" applyAlignment="1">
      <alignment horizontal="center" vertical="center" wrapText="1"/>
    </xf>
    <xf numFmtId="9" fontId="89" fillId="0" borderId="13" xfId="0" applyNumberFormat="1" applyFont="1" applyBorder="1" applyAlignment="1">
      <alignment horizontal="center" vertical="center"/>
    </xf>
    <xf numFmtId="0" fontId="0" fillId="0" borderId="13" xfId="0" applyBorder="1" applyAlignment="1">
      <alignment vertical="center" wrapText="1"/>
    </xf>
    <xf numFmtId="9" fontId="10" fillId="38" borderId="13" xfId="79" applyFont="1" applyFill="1" applyBorder="1" applyAlignment="1">
      <alignment horizontal="center" vertical="center" wrapText="1"/>
    </xf>
    <xf numFmtId="0" fontId="10" fillId="0" borderId="13" xfId="79" applyNumberFormat="1" applyFont="1" applyBorder="1" applyAlignment="1">
      <alignment horizontal="left" vertical="center" wrapText="1"/>
    </xf>
    <xf numFmtId="0" fontId="11" fillId="11" borderId="22" xfId="0" applyFont="1" applyFill="1" applyBorder="1" applyAlignment="1">
      <alignment horizontal="center" vertical="center" wrapText="1"/>
    </xf>
    <xf numFmtId="9" fontId="89" fillId="44" borderId="13" xfId="0" applyNumberFormat="1" applyFont="1" applyFill="1" applyBorder="1" applyAlignment="1">
      <alignment vertical="center"/>
    </xf>
    <xf numFmtId="9" fontId="90" fillId="0" borderId="13" xfId="0" applyNumberFormat="1" applyFont="1" applyFill="1" applyBorder="1" applyAlignment="1">
      <alignment vertical="center"/>
    </xf>
    <xf numFmtId="9" fontId="90" fillId="0" borderId="13" xfId="79" applyFont="1" applyFill="1" applyBorder="1" applyAlignment="1">
      <alignment vertical="center"/>
    </xf>
    <xf numFmtId="0" fontId="90" fillId="0" borderId="13" xfId="79" applyNumberFormat="1" applyFont="1" applyBorder="1" applyAlignment="1">
      <alignment vertical="center" wrapText="1"/>
    </xf>
    <xf numFmtId="0" fontId="89" fillId="44" borderId="13" xfId="79" applyNumberFormat="1" applyFont="1" applyFill="1" applyBorder="1" applyAlignment="1">
      <alignment vertical="center" wrapText="1"/>
    </xf>
    <xf numFmtId="0" fontId="10" fillId="0" borderId="13" xfId="79" applyNumberFormat="1" applyFont="1" applyBorder="1" applyAlignment="1">
      <alignment horizontal="center" vertical="center" wrapText="1"/>
    </xf>
    <xf numFmtId="9" fontId="89" fillId="0" borderId="13" xfId="0" applyNumberFormat="1" applyFont="1" applyBorder="1" applyAlignment="1">
      <alignment horizontal="center" vertical="center"/>
    </xf>
    <xf numFmtId="9" fontId="89" fillId="0" borderId="13" xfId="79" applyFont="1" applyBorder="1" applyAlignment="1">
      <alignment horizontal="center" vertical="center"/>
    </xf>
    <xf numFmtId="9" fontId="89" fillId="0" borderId="13" xfId="79" applyFont="1" applyBorder="1" applyAlignment="1">
      <alignment vertical="center"/>
    </xf>
    <xf numFmtId="0" fontId="89" fillId="0" borderId="13" xfId="0" applyFont="1" applyFill="1" applyBorder="1" applyAlignment="1">
      <alignment horizontal="center" vertical="center"/>
    </xf>
    <xf numFmtId="0" fontId="89" fillId="0" borderId="13" xfId="0" applyFont="1" applyBorder="1" applyAlignment="1">
      <alignment horizontal="left" vertical="center" wrapText="1"/>
    </xf>
    <xf numFmtId="9" fontId="89" fillId="0" borderId="13" xfId="79" applyFont="1" applyFill="1" applyBorder="1" applyAlignment="1">
      <alignment horizontal="center" vertical="center" wrapText="1"/>
    </xf>
    <xf numFmtId="9" fontId="89" fillId="0" borderId="13" xfId="0" applyNumberFormat="1" applyFont="1" applyBorder="1" applyAlignment="1">
      <alignment horizontal="center" vertical="center"/>
    </xf>
    <xf numFmtId="9" fontId="89" fillId="0" borderId="13" xfId="0" applyNumberFormat="1" applyFont="1" applyBorder="1" applyAlignment="1">
      <alignment vertical="center"/>
    </xf>
    <xf numFmtId="9" fontId="89" fillId="0" borderId="13" xfId="79" applyFont="1" applyFill="1" applyBorder="1" applyAlignment="1">
      <alignment vertical="center"/>
    </xf>
    <xf numFmtId="9" fontId="89" fillId="0" borderId="13" xfId="0" applyNumberFormat="1" applyFont="1" applyFill="1" applyBorder="1" applyAlignment="1">
      <alignment vertical="center"/>
    </xf>
    <xf numFmtId="0" fontId="89" fillId="0" borderId="13" xfId="0" applyFont="1" applyFill="1" applyBorder="1" applyAlignment="1">
      <alignment vertical="center"/>
    </xf>
    <xf numFmtId="10" fontId="10" fillId="11" borderId="13" xfId="79" applyNumberFormat="1" applyFont="1" applyFill="1" applyBorder="1" applyAlignment="1" applyProtection="1">
      <alignment horizontal="center" vertical="center" wrapText="1"/>
      <protection locked="0"/>
    </xf>
    <xf numFmtId="0" fontId="89" fillId="0" borderId="13" xfId="79" applyNumberFormat="1" applyFont="1" applyBorder="1" applyAlignment="1">
      <alignment vertical="center" wrapText="1"/>
    </xf>
    <xf numFmtId="9" fontId="89" fillId="0" borderId="13" xfId="79" applyFont="1" applyBorder="1" applyAlignment="1">
      <alignment vertical="center" wrapText="1"/>
    </xf>
    <xf numFmtId="9" fontId="10" fillId="11" borderId="38" xfId="81" applyFont="1" applyFill="1" applyBorder="1" applyAlignment="1" applyProtection="1">
      <alignment horizontal="center" vertical="center" wrapText="1"/>
      <protection/>
    </xf>
    <xf numFmtId="0" fontId="10" fillId="0" borderId="13" xfId="0" applyFont="1" applyBorder="1" applyAlignment="1">
      <alignment horizontal="left" vertical="center" wrapText="1"/>
    </xf>
    <xf numFmtId="0" fontId="93" fillId="38" borderId="13" xfId="79" applyNumberFormat="1" applyFont="1" applyFill="1" applyBorder="1" applyAlignment="1">
      <alignment horizontal="center" vertical="center"/>
    </xf>
    <xf numFmtId="0" fontId="93" fillId="0" borderId="13" xfId="79" applyNumberFormat="1" applyFont="1" applyBorder="1" applyAlignment="1">
      <alignment horizontal="center" vertical="center"/>
    </xf>
    <xf numFmtId="0" fontId="93" fillId="0" borderId="13" xfId="79" applyNumberFormat="1" applyFont="1" applyBorder="1" applyAlignment="1">
      <alignment horizontal="justify" vertical="center" wrapText="1"/>
    </xf>
    <xf numFmtId="0" fontId="89" fillId="0" borderId="17" xfId="79" applyNumberFormat="1" applyFont="1" applyBorder="1" applyAlignment="1">
      <alignment vertical="center" wrapText="1"/>
    </xf>
    <xf numFmtId="0" fontId="89" fillId="0" borderId="13" xfId="79" applyNumberFormat="1" applyFont="1" applyBorder="1" applyAlignment="1">
      <alignment horizontal="justify" vertical="center" wrapText="1"/>
    </xf>
    <xf numFmtId="0" fontId="23" fillId="0" borderId="13" xfId="79" applyNumberFormat="1" applyFont="1" applyFill="1" applyBorder="1" applyAlignment="1">
      <alignment vertical="center" wrapText="1"/>
    </xf>
    <xf numFmtId="0" fontId="23" fillId="0" borderId="13" xfId="0" applyFont="1" applyBorder="1" applyAlignment="1">
      <alignment vertical="center" wrapText="1"/>
    </xf>
    <xf numFmtId="0" fontId="23" fillId="0" borderId="13" xfId="0" applyFont="1" applyBorder="1" applyAlignment="1">
      <alignment vertical="top" wrapText="1"/>
    </xf>
    <xf numFmtId="0" fontId="23" fillId="38" borderId="13" xfId="79" applyNumberFormat="1" applyFont="1" applyFill="1" applyBorder="1" applyAlignment="1">
      <alignment vertical="center" wrapText="1"/>
    </xf>
    <xf numFmtId="0" fontId="23" fillId="38" borderId="13" xfId="0" applyFont="1" applyFill="1" applyBorder="1" applyAlignment="1">
      <alignment vertical="center" wrapText="1"/>
    </xf>
    <xf numFmtId="1" fontId="89" fillId="0" borderId="13" xfId="0" applyNumberFormat="1" applyFont="1" applyBorder="1" applyAlignment="1">
      <alignment vertical="center"/>
    </xf>
    <xf numFmtId="189" fontId="0" fillId="0" borderId="13" xfId="58" applyNumberFormat="1" applyFont="1" applyFill="1" applyBorder="1" applyAlignment="1">
      <alignment vertical="center"/>
    </xf>
    <xf numFmtId="207" fontId="0" fillId="0" borderId="13" xfId="58" applyNumberFormat="1" applyFont="1" applyFill="1" applyBorder="1" applyAlignment="1">
      <alignment vertical="center"/>
    </xf>
    <xf numFmtId="0" fontId="99" fillId="0" borderId="13" xfId="79" applyNumberFormat="1" applyFont="1" applyFill="1" applyBorder="1" applyAlignment="1">
      <alignment horizontal="left" vertical="center" wrapText="1"/>
    </xf>
    <xf numFmtId="0" fontId="99" fillId="0" borderId="13" xfId="79" applyNumberFormat="1" applyFont="1" applyFill="1" applyBorder="1" applyAlignment="1">
      <alignment horizontal="left" vertical="top" wrapText="1"/>
    </xf>
    <xf numFmtId="0" fontId="100" fillId="45" borderId="13" xfId="79" applyNumberFormat="1" applyFont="1" applyFill="1" applyBorder="1" applyAlignment="1">
      <alignment horizontal="left" vertical="center" wrapText="1"/>
    </xf>
    <xf numFmtId="0" fontId="100" fillId="45" borderId="13" xfId="79" applyNumberFormat="1" applyFont="1" applyFill="1" applyBorder="1" applyAlignment="1">
      <alignment vertical="center" wrapText="1"/>
    </xf>
    <xf numFmtId="0" fontId="100" fillId="0" borderId="13" xfId="79" applyNumberFormat="1" applyFont="1" applyFill="1" applyBorder="1" applyAlignment="1">
      <alignment horizontal="left" vertical="center" wrapText="1"/>
    </xf>
    <xf numFmtId="189" fontId="89" fillId="0" borderId="13" xfId="58" applyNumberFormat="1" applyFont="1" applyBorder="1" applyAlignment="1">
      <alignment horizontal="center" vertical="center"/>
    </xf>
    <xf numFmtId="9" fontId="89" fillId="0" borderId="13" xfId="79" applyFont="1" applyFill="1" applyBorder="1" applyAlignment="1">
      <alignment vertical="center" wrapText="1"/>
    </xf>
    <xf numFmtId="9" fontId="101" fillId="0" borderId="13" xfId="79" applyFont="1" applyFill="1" applyBorder="1" applyAlignment="1">
      <alignment vertical="center" wrapText="1"/>
    </xf>
    <xf numFmtId="0" fontId="100" fillId="45" borderId="13" xfId="79" applyNumberFormat="1" applyFont="1" applyFill="1" applyBorder="1" applyAlignment="1">
      <alignment horizontal="center" vertical="center" wrapText="1"/>
    </xf>
    <xf numFmtId="2" fontId="10" fillId="0" borderId="37" xfId="72" applyNumberFormat="1" applyFont="1" applyFill="1" applyBorder="1" applyAlignment="1" applyProtection="1">
      <alignment vertical="center" wrapText="1"/>
      <protection/>
    </xf>
    <xf numFmtId="0" fontId="0" fillId="0" borderId="63" xfId="0" applyFont="1" applyFill="1" applyBorder="1" applyAlignment="1">
      <alignment vertical="center" wrapText="1"/>
    </xf>
    <xf numFmtId="2" fontId="10" fillId="0" borderId="22" xfId="72" applyNumberFormat="1" applyFont="1" applyFill="1" applyBorder="1" applyAlignment="1" applyProtection="1">
      <alignment horizontal="center" vertical="center" wrapText="1"/>
      <protection/>
    </xf>
    <xf numFmtId="2" fontId="10" fillId="0" borderId="57" xfId="72" applyNumberFormat="1" applyFont="1" applyFill="1" applyBorder="1" applyAlignment="1" applyProtection="1">
      <alignment horizontal="center" vertical="center" wrapText="1"/>
      <protection/>
    </xf>
    <xf numFmtId="9" fontId="90" fillId="0" borderId="64" xfId="72" applyNumberFormat="1" applyFont="1" applyFill="1" applyBorder="1" applyAlignment="1" applyProtection="1">
      <alignment horizontal="center" vertical="center" wrapText="1"/>
      <protection/>
    </xf>
    <xf numFmtId="9" fontId="90" fillId="0" borderId="41" xfId="72" applyNumberFormat="1" applyFont="1" applyFill="1" applyBorder="1" applyAlignment="1" applyProtection="1">
      <alignment horizontal="center" vertical="center" wrapText="1"/>
      <protection/>
    </xf>
    <xf numFmtId="9" fontId="90" fillId="0" borderId="65" xfId="72" applyNumberFormat="1" applyFont="1" applyFill="1" applyBorder="1" applyAlignment="1" applyProtection="1">
      <alignment horizontal="center" vertical="center" wrapText="1"/>
      <protection/>
    </xf>
    <xf numFmtId="9" fontId="90" fillId="0" borderId="58" xfId="72" applyNumberFormat="1" applyFont="1" applyFill="1" applyBorder="1" applyAlignment="1" applyProtection="1">
      <alignment horizontal="center" vertical="center" wrapText="1"/>
      <protection/>
    </xf>
    <xf numFmtId="9" fontId="90" fillId="0" borderId="34" xfId="72" applyNumberFormat="1" applyFont="1" applyFill="1" applyBorder="1" applyAlignment="1" applyProtection="1">
      <alignment horizontal="center" vertical="center" wrapText="1"/>
      <protection/>
    </xf>
    <xf numFmtId="9" fontId="90" fillId="0" borderId="35" xfId="72" applyNumberFormat="1" applyFont="1" applyFill="1" applyBorder="1" applyAlignment="1" applyProtection="1">
      <alignment horizontal="center" vertical="center" wrapText="1"/>
      <protection/>
    </xf>
    <xf numFmtId="2" fontId="10" fillId="0" borderId="20" xfId="72" applyNumberFormat="1" applyFont="1" applyFill="1" applyBorder="1" applyAlignment="1" applyProtection="1">
      <alignment vertical="center" wrapText="1"/>
      <protection/>
    </xf>
    <xf numFmtId="2" fontId="10" fillId="0" borderId="16" xfId="72" applyNumberFormat="1" applyFont="1" applyFill="1" applyBorder="1" applyAlignment="1" applyProtection="1">
      <alignment horizontal="center" vertical="center" wrapText="1"/>
      <protection/>
    </xf>
    <xf numFmtId="9" fontId="90" fillId="0" borderId="66" xfId="72" applyNumberFormat="1" applyFont="1" applyFill="1" applyBorder="1" applyAlignment="1" applyProtection="1">
      <alignment horizontal="center" vertical="center" wrapText="1"/>
      <protection/>
    </xf>
    <xf numFmtId="9" fontId="90" fillId="0" borderId="0" xfId="72" applyNumberFormat="1" applyFont="1" applyFill="1" applyBorder="1" applyAlignment="1" applyProtection="1">
      <alignment horizontal="center" vertical="center" wrapText="1"/>
      <protection/>
    </xf>
    <xf numFmtId="9" fontId="90" fillId="0" borderId="29" xfId="72" applyNumberFormat="1" applyFont="1" applyFill="1" applyBorder="1" applyAlignment="1" applyProtection="1">
      <alignment horizontal="center" vertical="center" wrapText="1"/>
      <protection/>
    </xf>
    <xf numFmtId="2" fontId="10" fillId="0" borderId="37" xfId="72" applyNumberFormat="1"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horizontal="center" vertical="center" wrapText="1"/>
      <protection/>
    </xf>
    <xf numFmtId="0" fontId="11" fillId="5" borderId="67" xfId="72" applyFont="1" applyFill="1" applyBorder="1" applyAlignment="1" applyProtection="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68"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69" xfId="72" applyFont="1" applyFill="1" applyBorder="1" applyAlignment="1" applyProtection="1">
      <alignment horizontal="center" vertical="center" wrapText="1"/>
      <protection/>
    </xf>
    <xf numFmtId="0" fontId="11" fillId="5" borderId="59" xfId="72" applyFont="1" applyFill="1" applyBorder="1" applyAlignment="1" applyProtection="1">
      <alignment horizontal="center" vertical="center" wrapText="1"/>
      <protection/>
    </xf>
    <xf numFmtId="0" fontId="11" fillId="5" borderId="60" xfId="72" applyFont="1" applyFill="1" applyBorder="1" applyAlignment="1" applyProtection="1">
      <alignment horizontal="center" vertical="center" wrapText="1"/>
      <protection/>
    </xf>
    <xf numFmtId="0" fontId="11" fillId="5" borderId="62"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70"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vertical="center" wrapText="1"/>
      <protection/>
    </xf>
    <xf numFmtId="2" fontId="10" fillId="0" borderId="54" xfId="72" applyNumberFormat="1" applyFont="1" applyFill="1" applyBorder="1" applyAlignment="1" applyProtection="1">
      <alignment horizontal="center" vertical="center" wrapText="1"/>
      <protection/>
    </xf>
    <xf numFmtId="9" fontId="90" fillId="0" borderId="64" xfId="72" applyNumberFormat="1" applyFont="1" applyFill="1" applyBorder="1" applyAlignment="1" applyProtection="1">
      <alignment horizontal="left" vertical="center" wrapText="1"/>
      <protection/>
    </xf>
    <xf numFmtId="9" fontId="90" fillId="0" borderId="41" xfId="72" applyNumberFormat="1" applyFont="1" applyFill="1" applyBorder="1" applyAlignment="1" applyProtection="1">
      <alignment horizontal="left" vertical="center" wrapText="1"/>
      <protection/>
    </xf>
    <xf numFmtId="9" fontId="90" fillId="0" borderId="65" xfId="72" applyNumberFormat="1" applyFont="1" applyFill="1" applyBorder="1" applyAlignment="1" applyProtection="1">
      <alignment horizontal="left" vertical="center" wrapText="1"/>
      <protection/>
    </xf>
    <xf numFmtId="9" fontId="90" fillId="0" borderId="66" xfId="72" applyNumberFormat="1" applyFont="1" applyFill="1" applyBorder="1" applyAlignment="1" applyProtection="1">
      <alignment horizontal="left" vertical="center" wrapText="1"/>
      <protection/>
    </xf>
    <xf numFmtId="9" fontId="90" fillId="0" borderId="0" xfId="72" applyNumberFormat="1" applyFont="1" applyFill="1" applyBorder="1" applyAlignment="1" applyProtection="1">
      <alignment horizontal="left" vertical="center" wrapText="1"/>
      <protection/>
    </xf>
    <xf numFmtId="9" fontId="90" fillId="0" borderId="29" xfId="72" applyNumberFormat="1" applyFont="1" applyFill="1" applyBorder="1" applyAlignment="1" applyProtection="1">
      <alignment horizontal="left" vertical="center" wrapText="1"/>
      <protection/>
    </xf>
    <xf numFmtId="0" fontId="11" fillId="0" borderId="37" xfId="72" applyFont="1" applyFill="1" applyBorder="1" applyAlignment="1" applyProtection="1">
      <alignment horizontal="center" vertical="center" wrapText="1"/>
      <protection/>
    </xf>
    <xf numFmtId="0" fontId="11" fillId="0" borderId="6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57" xfId="72" applyFont="1" applyFill="1" applyBorder="1" applyAlignment="1" applyProtection="1">
      <alignment horizontal="center" vertical="center" wrapText="1"/>
      <protection/>
    </xf>
    <xf numFmtId="9" fontId="90" fillId="0" borderId="64" xfId="81" applyFont="1" applyFill="1" applyBorder="1" applyAlignment="1" applyProtection="1">
      <alignment horizontal="center" vertical="center" wrapText="1"/>
      <protection/>
    </xf>
    <xf numFmtId="9" fontId="90" fillId="0" borderId="41" xfId="81" applyFont="1" applyFill="1" applyBorder="1" applyAlignment="1" applyProtection="1">
      <alignment horizontal="center" vertical="center" wrapText="1"/>
      <protection/>
    </xf>
    <xf numFmtId="9" fontId="90" fillId="0" borderId="42" xfId="81" applyFont="1" applyFill="1" applyBorder="1" applyAlignment="1" applyProtection="1">
      <alignment horizontal="center" vertical="center" wrapText="1"/>
      <protection/>
    </xf>
    <xf numFmtId="9" fontId="90" fillId="0" borderId="58" xfId="81" applyFont="1" applyFill="1" applyBorder="1" applyAlignment="1" applyProtection="1">
      <alignment horizontal="center" vertical="center" wrapText="1"/>
      <protection/>
    </xf>
    <xf numFmtId="9" fontId="90" fillId="0" borderId="34" xfId="81" applyFont="1" applyFill="1" applyBorder="1" applyAlignment="1" applyProtection="1">
      <alignment horizontal="center" vertical="center" wrapText="1"/>
      <protection/>
    </xf>
    <xf numFmtId="9" fontId="90" fillId="0" borderId="71" xfId="81" applyFont="1" applyFill="1" applyBorder="1" applyAlignment="1" applyProtection="1">
      <alignment horizontal="center" vertical="center" wrapText="1"/>
      <protection/>
    </xf>
    <xf numFmtId="9" fontId="90" fillId="0" borderId="65" xfId="81" applyFont="1" applyFill="1" applyBorder="1" applyAlignment="1" applyProtection="1">
      <alignment horizontal="center" vertical="center" wrapText="1"/>
      <protection/>
    </xf>
    <xf numFmtId="9" fontId="90" fillId="0" borderId="35" xfId="81"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3" fontId="11" fillId="0" borderId="64" xfId="72" applyNumberFormat="1" applyFont="1" applyFill="1" applyBorder="1" applyAlignment="1" applyProtection="1">
      <alignment horizontal="center" vertical="center" wrapText="1"/>
      <protection/>
    </xf>
    <xf numFmtId="3" fontId="11" fillId="0" borderId="42" xfId="72" applyNumberFormat="1" applyFont="1" applyFill="1" applyBorder="1" applyAlignment="1" applyProtection="1">
      <alignment horizontal="center" vertical="center" wrapText="1"/>
      <protection/>
    </xf>
    <xf numFmtId="0" fontId="90" fillId="0" borderId="13" xfId="72" applyFont="1" applyFill="1" applyBorder="1" applyAlignment="1" applyProtection="1">
      <alignment horizontal="left" vertical="center" wrapText="1"/>
      <protection/>
    </xf>
    <xf numFmtId="0" fontId="90" fillId="0" borderId="21" xfId="72" applyFont="1" applyFill="1" applyBorder="1" applyAlignment="1" applyProtection="1">
      <alignment horizontal="left" vertical="center" wrapText="1"/>
      <protection/>
    </xf>
    <xf numFmtId="0" fontId="11" fillId="0" borderId="67" xfId="72" applyFont="1" applyFill="1" applyBorder="1" applyAlignment="1" applyProtection="1">
      <alignment horizontal="center" vertical="center" wrapText="1"/>
      <protection/>
    </xf>
    <xf numFmtId="0" fontId="11" fillId="0" borderId="69" xfId="72" applyFont="1" applyFill="1" applyBorder="1" applyAlignment="1" applyProtection="1">
      <alignment horizontal="center" vertical="center" wrapText="1"/>
      <protection/>
    </xf>
    <xf numFmtId="0" fontId="11" fillId="0" borderId="72" xfId="72" applyFont="1" applyFill="1" applyBorder="1" applyAlignment="1" applyProtection="1">
      <alignment horizontal="center" vertical="center" wrapText="1"/>
      <protection/>
    </xf>
    <xf numFmtId="0" fontId="10"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5" borderId="49"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0" borderId="46" xfId="72" applyFont="1" applyFill="1" applyBorder="1" applyAlignment="1">
      <alignment horizontal="center" vertical="center" wrapText="1"/>
      <protection/>
    </xf>
    <xf numFmtId="0" fontId="11" fillId="0" borderId="47" xfId="72" applyFont="1" applyFill="1" applyBorder="1" applyAlignment="1">
      <alignment horizontal="center" vertical="center" wrapText="1"/>
      <protection/>
    </xf>
    <xf numFmtId="0" fontId="11" fillId="0" borderId="48" xfId="72" applyFont="1" applyFill="1" applyBorder="1" applyAlignment="1">
      <alignment horizontal="center" vertical="center" wrapText="1"/>
      <protection/>
    </xf>
    <xf numFmtId="0" fontId="11" fillId="5" borderId="73" xfId="72" applyFont="1" applyFill="1" applyBorder="1" applyAlignment="1">
      <alignment horizontal="center" vertical="center" wrapText="1"/>
      <protection/>
    </xf>
    <xf numFmtId="0" fontId="11" fillId="5" borderId="74" xfId="72" applyFont="1" applyFill="1" applyBorder="1" applyAlignment="1">
      <alignment horizontal="center" vertical="center" wrapText="1"/>
      <protection/>
    </xf>
    <xf numFmtId="9" fontId="11" fillId="0" borderId="73" xfId="79" applyFont="1" applyFill="1" applyBorder="1" applyAlignment="1" applyProtection="1">
      <alignment horizontal="center" vertical="center" wrapText="1"/>
      <protection/>
    </xf>
    <xf numFmtId="9" fontId="11" fillId="0" borderId="74" xfId="79" applyFont="1" applyFill="1" applyBorder="1" applyAlignment="1" applyProtection="1">
      <alignment horizontal="center" vertical="center" wrapText="1"/>
      <protection/>
    </xf>
    <xf numFmtId="0" fontId="11" fillId="5" borderId="75" xfId="72" applyFont="1" applyFill="1" applyBorder="1" applyAlignment="1" applyProtection="1">
      <alignment horizontal="center" vertical="center" wrapText="1"/>
      <protection/>
    </xf>
    <xf numFmtId="0" fontId="11" fillId="5" borderId="74" xfId="72" applyFont="1" applyFill="1" applyBorder="1" applyAlignment="1" applyProtection="1">
      <alignment horizontal="center" vertical="center" wrapText="1"/>
      <protection/>
    </xf>
    <xf numFmtId="0" fontId="11" fillId="5" borderId="73" xfId="72" applyFont="1" applyFill="1" applyBorder="1" applyAlignment="1">
      <alignment horizontal="left" vertical="center" wrapText="1"/>
      <protection/>
    </xf>
    <xf numFmtId="0" fontId="11" fillId="5" borderId="74" xfId="72" applyFont="1" applyFill="1" applyBorder="1" applyAlignment="1">
      <alignment horizontal="left" vertical="center" wrapText="1"/>
      <protection/>
    </xf>
    <xf numFmtId="0" fontId="88" fillId="0" borderId="76" xfId="0" applyFont="1" applyFill="1" applyBorder="1" applyAlignment="1">
      <alignment horizontal="center" vertical="center" wrapText="1"/>
    </xf>
    <xf numFmtId="0" fontId="88"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88" fillId="0" borderId="78" xfId="0" applyFont="1" applyFill="1" applyBorder="1" applyAlignment="1">
      <alignment horizontal="center" vertical="center" wrapText="1"/>
    </xf>
    <xf numFmtId="0" fontId="88" fillId="0" borderId="62" xfId="0" applyFont="1" applyFill="1" applyBorder="1" applyAlignment="1">
      <alignment horizontal="center" vertical="center" wrapText="1"/>
    </xf>
    <xf numFmtId="0" fontId="11" fillId="38" borderId="67" xfId="72" applyFont="1" applyFill="1" applyBorder="1" applyAlignment="1" applyProtection="1">
      <alignment horizontal="center" vertical="center" wrapText="1"/>
      <protection/>
    </xf>
    <xf numFmtId="0" fontId="11" fillId="38" borderId="61" xfId="72" applyFont="1" applyFill="1" applyBorder="1" applyAlignment="1" applyProtection="1">
      <alignment horizontal="center" vertical="center" wrapText="1"/>
      <protection/>
    </xf>
    <xf numFmtId="0" fontId="11" fillId="38" borderId="69" xfId="72" applyFont="1" applyFill="1" applyBorder="1" applyAlignment="1" applyProtection="1">
      <alignment horizontal="center" vertical="center" wrapText="1"/>
      <protection/>
    </xf>
    <xf numFmtId="0" fontId="11" fillId="38" borderId="72" xfId="72" applyFont="1" applyFill="1" applyBorder="1" applyAlignment="1" applyProtection="1">
      <alignment horizontal="center" vertical="center" wrapText="1"/>
      <protection/>
    </xf>
    <xf numFmtId="0" fontId="11" fillId="5" borderId="50"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73" xfId="72" applyFont="1" applyFill="1" applyBorder="1" applyAlignment="1">
      <alignment horizontal="center" vertical="center" wrapText="1"/>
      <protection/>
    </xf>
    <xf numFmtId="0" fontId="11" fillId="0" borderId="75" xfId="72" applyFont="1" applyFill="1" applyBorder="1" applyAlignment="1">
      <alignment horizontal="center" vertical="center" wrapText="1"/>
      <protection/>
    </xf>
    <xf numFmtId="0" fontId="11" fillId="0" borderId="74"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0" fillId="0" borderId="73" xfId="72" applyFont="1" applyFill="1" applyBorder="1" applyAlignment="1" applyProtection="1">
      <alignment horizontal="center" vertical="center" wrapText="1"/>
      <protection/>
    </xf>
    <xf numFmtId="0" fontId="10" fillId="0" borderId="75" xfId="72" applyFont="1" applyFill="1" applyBorder="1" applyAlignment="1" applyProtection="1">
      <alignment horizontal="center" vertical="center" wrapText="1"/>
      <protection/>
    </xf>
    <xf numFmtId="0" fontId="10" fillId="0" borderId="74" xfId="72" applyFont="1" applyFill="1" applyBorder="1" applyAlignment="1" applyProtection="1">
      <alignment horizontal="center" vertical="center" wrapText="1"/>
      <protection/>
    </xf>
    <xf numFmtId="0" fontId="11" fillId="0" borderId="50"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52" xfId="72"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02" fillId="0" borderId="79" xfId="0" applyFont="1" applyBorder="1" applyAlignment="1">
      <alignment horizontal="left" vertical="center" wrapText="1"/>
    </xf>
    <xf numFmtId="0" fontId="102" fillId="0" borderId="38" xfId="0" applyFont="1" applyBorder="1" applyAlignment="1">
      <alignment horizontal="left" vertical="center" wrapText="1"/>
    </xf>
    <xf numFmtId="0" fontId="102" fillId="0" borderId="52" xfId="0" applyFont="1" applyBorder="1" applyAlignment="1">
      <alignment horizontal="left" vertical="center" wrapText="1"/>
    </xf>
    <xf numFmtId="0" fontId="11" fillId="5" borderId="80"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81"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0" fontId="94" fillId="0" borderId="80" xfId="0" applyFont="1" applyFill="1" applyBorder="1" applyAlignment="1">
      <alignment horizontal="center" vertical="center"/>
    </xf>
    <xf numFmtId="0" fontId="94" fillId="0" borderId="27" xfId="0" applyFont="1" applyFill="1" applyBorder="1" applyAlignment="1">
      <alignment horizontal="center" vertical="center"/>
    </xf>
    <xf numFmtId="0" fontId="94" fillId="0" borderId="28" xfId="0" applyFont="1" applyFill="1" applyBorder="1" applyAlignment="1">
      <alignment horizontal="center" vertical="center"/>
    </xf>
    <xf numFmtId="0" fontId="94" fillId="0" borderId="29" xfId="0" applyFont="1" applyFill="1" applyBorder="1" applyAlignment="1">
      <alignment horizontal="center" vertical="center"/>
    </xf>
    <xf numFmtId="0" fontId="94" fillId="0" borderId="81" xfId="0" applyFont="1" applyFill="1" applyBorder="1" applyAlignment="1">
      <alignment horizontal="center" vertical="center"/>
    </xf>
    <xf numFmtId="0" fontId="94"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88" fillId="0" borderId="82" xfId="0" applyFont="1" applyFill="1" applyBorder="1" applyAlignment="1">
      <alignment horizontal="center" vertical="center" wrapText="1"/>
    </xf>
    <xf numFmtId="0" fontId="88" fillId="0" borderId="4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81"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103" fillId="0" borderId="83" xfId="0" applyFont="1" applyFill="1" applyBorder="1" applyAlignment="1">
      <alignment horizontal="center" vertical="center"/>
    </xf>
    <xf numFmtId="0" fontId="103" fillId="0" borderId="84" xfId="0" applyFont="1" applyFill="1" applyBorder="1" applyAlignment="1">
      <alignment horizontal="center" vertical="center"/>
    </xf>
    <xf numFmtId="0" fontId="103" fillId="0" borderId="85" xfId="0" applyFont="1" applyFill="1" applyBorder="1" applyAlignment="1">
      <alignment horizontal="center" vertical="center"/>
    </xf>
    <xf numFmtId="0" fontId="11" fillId="5" borderId="73" xfId="72" applyFont="1" applyFill="1" applyBorder="1" applyAlignment="1" applyProtection="1">
      <alignment horizontal="center" vertical="center" wrapText="1"/>
      <protection/>
    </xf>
    <xf numFmtId="0" fontId="11" fillId="0" borderId="80"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81"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75" xfId="72" applyFont="1" applyFill="1" applyBorder="1" applyAlignment="1">
      <alignment horizontal="center" vertical="center" wrapText="1"/>
      <protection/>
    </xf>
    <xf numFmtId="0" fontId="10" fillId="0" borderId="80"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81" xfId="72" applyFont="1" applyFill="1" applyBorder="1" applyAlignment="1" applyProtection="1">
      <alignment horizontal="center" vertical="center" wrapText="1"/>
      <protection/>
    </xf>
    <xf numFmtId="0" fontId="11" fillId="0" borderId="46" xfId="72" applyFont="1" applyFill="1" applyBorder="1" applyAlignment="1" applyProtection="1">
      <alignment horizontal="center" vertical="center"/>
      <protection/>
    </xf>
    <xf numFmtId="0" fontId="11" fillId="0" borderId="47" xfId="72" applyFont="1" applyFill="1" applyBorder="1" applyAlignment="1" applyProtection="1">
      <alignment horizontal="center" vertical="center"/>
      <protection/>
    </xf>
    <xf numFmtId="0" fontId="11" fillId="0" borderId="48" xfId="72" applyFont="1" applyFill="1" applyBorder="1" applyAlignment="1" applyProtection="1">
      <alignment horizontal="center" vertical="center"/>
      <protection/>
    </xf>
    <xf numFmtId="0" fontId="18" fillId="0" borderId="61"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0" fillId="0" borderId="73" xfId="72" applyFont="1" applyFill="1" applyBorder="1" applyAlignment="1">
      <alignment horizontal="center" vertical="center" wrapText="1"/>
      <protection/>
    </xf>
    <xf numFmtId="0" fontId="10" fillId="0" borderId="75" xfId="72" applyFont="1" applyFill="1" applyBorder="1" applyAlignment="1">
      <alignment horizontal="center" vertical="center" wrapText="1"/>
      <protection/>
    </xf>
    <xf numFmtId="0" fontId="10" fillId="0" borderId="74" xfId="72" applyFont="1" applyFill="1" applyBorder="1" applyAlignment="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81"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9" fontId="11" fillId="0" borderId="73" xfId="72" applyNumberFormat="1" applyFont="1" applyFill="1" applyBorder="1" applyAlignment="1" applyProtection="1">
      <alignment horizontal="center" vertical="center" wrapText="1"/>
      <protection/>
    </xf>
    <xf numFmtId="9" fontId="11" fillId="0" borderId="74" xfId="72" applyNumberFormat="1"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11" fillId="5" borderId="80"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81"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14" fillId="0" borderId="73" xfId="72" applyFont="1" applyFill="1" applyBorder="1" applyAlignment="1">
      <alignment horizontal="center" vertical="center" wrapText="1"/>
      <protection/>
    </xf>
    <xf numFmtId="0" fontId="14" fillId="0" borderId="75" xfId="72" applyFont="1" applyFill="1" applyBorder="1" applyAlignment="1">
      <alignment horizontal="center" vertical="center" wrapText="1"/>
      <protection/>
    </xf>
    <xf numFmtId="0" fontId="14" fillId="0" borderId="74" xfId="72" applyFont="1" applyFill="1" applyBorder="1" applyAlignment="1">
      <alignment horizontal="center" vertical="center" wrapText="1"/>
      <protection/>
    </xf>
    <xf numFmtId="0" fontId="11" fillId="38" borderId="0"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0"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11" fillId="0" borderId="61"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80"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81"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188" fontId="11" fillId="38" borderId="40" xfId="66" applyNumberFormat="1" applyFont="1" applyFill="1" applyBorder="1" applyAlignment="1" applyProtection="1">
      <alignment horizontal="center" vertical="center" wrapText="1"/>
      <protection/>
    </xf>
    <xf numFmtId="188" fontId="11" fillId="38" borderId="86" xfId="66" applyNumberFormat="1" applyFont="1" applyFill="1" applyBorder="1" applyAlignment="1" applyProtection="1">
      <alignment horizontal="center" vertical="center" wrapText="1"/>
      <protection/>
    </xf>
    <xf numFmtId="188" fontId="11" fillId="38" borderId="79" xfId="66" applyNumberFormat="1" applyFont="1" applyFill="1" applyBorder="1" applyAlignment="1" applyProtection="1">
      <alignment horizontal="center" vertical="center" wrapText="1"/>
      <protection/>
    </xf>
    <xf numFmtId="0" fontId="11" fillId="39" borderId="28"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188" fontId="11" fillId="38" borderId="14" xfId="66" applyNumberFormat="1" applyFont="1" applyFill="1" applyBorder="1" applyAlignment="1" applyProtection="1">
      <alignment horizontal="center" vertical="center"/>
      <protection/>
    </xf>
    <xf numFmtId="188" fontId="11" fillId="38" borderId="17" xfId="66" applyNumberFormat="1" applyFont="1" applyFill="1" applyBorder="1" applyAlignment="1" applyProtection="1">
      <alignment horizontal="center" vertical="center"/>
      <protection/>
    </xf>
    <xf numFmtId="0" fontId="94" fillId="0" borderId="83" xfId="0" applyFont="1" applyFill="1" applyBorder="1" applyAlignment="1">
      <alignment horizontal="center" vertical="center"/>
    </xf>
    <xf numFmtId="0" fontId="94" fillId="0" borderId="85" xfId="0" applyFont="1" applyFill="1" applyBorder="1" applyAlignment="1">
      <alignment horizontal="center" vertical="center"/>
    </xf>
    <xf numFmtId="0" fontId="10" fillId="0" borderId="83" xfId="72" applyFont="1" applyFill="1" applyBorder="1" applyAlignment="1" applyProtection="1">
      <alignment horizontal="center" vertical="center" wrapText="1"/>
      <protection/>
    </xf>
    <xf numFmtId="0" fontId="10" fillId="0" borderId="84" xfId="72" applyFont="1" applyFill="1" applyBorder="1" applyAlignment="1" applyProtection="1">
      <alignment horizontal="center" vertical="center" wrapText="1"/>
      <protection/>
    </xf>
    <xf numFmtId="0" fontId="10" fillId="0" borderId="85"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91" fillId="0" borderId="79" xfId="0" applyFont="1" applyBorder="1" applyAlignment="1">
      <alignment horizontal="left" vertical="center" wrapText="1"/>
    </xf>
    <xf numFmtId="0" fontId="91" fillId="0" borderId="38" xfId="0" applyFont="1" applyBorder="1" applyAlignment="1">
      <alignment horizontal="left" vertical="center" wrapText="1"/>
    </xf>
    <xf numFmtId="0" fontId="91" fillId="0" borderId="52" xfId="0" applyFont="1" applyBorder="1" applyAlignment="1">
      <alignment horizontal="left" vertical="center" wrapText="1"/>
    </xf>
    <xf numFmtId="0" fontId="11" fillId="5" borderId="26"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188" fontId="11" fillId="38" borderId="14" xfId="66" applyNumberFormat="1" applyFont="1" applyFill="1" applyBorder="1" applyAlignment="1" applyProtection="1">
      <alignment horizontal="center" vertical="center" wrapText="1"/>
      <protection/>
    </xf>
    <xf numFmtId="188"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188" fontId="11" fillId="38" borderId="76" xfId="66" applyNumberFormat="1" applyFont="1" applyFill="1" applyBorder="1" applyAlignment="1" applyProtection="1">
      <alignment horizontal="center" vertical="center" wrapText="1"/>
      <protection/>
    </xf>
    <xf numFmtId="0" fontId="11" fillId="38" borderId="82" xfId="72" applyFont="1" applyFill="1" applyBorder="1" applyAlignment="1" applyProtection="1">
      <alignment horizontal="center" vertical="center" wrapText="1"/>
      <protection/>
    </xf>
    <xf numFmtId="0" fontId="11" fillId="38" borderId="70" xfId="72" applyFont="1" applyFill="1" applyBorder="1" applyAlignment="1" applyProtection="1">
      <alignment horizontal="center" vertical="center" wrapText="1"/>
      <protection/>
    </xf>
    <xf numFmtId="188" fontId="11" fillId="0" borderId="14" xfId="66" applyNumberFormat="1" applyFont="1" applyFill="1" applyBorder="1" applyAlignment="1" applyProtection="1">
      <alignment horizontal="center" vertical="center" wrapText="1"/>
      <protection/>
    </xf>
    <xf numFmtId="188" fontId="11" fillId="0" borderId="45" xfId="66" applyNumberFormat="1"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91" fillId="0" borderId="13" xfId="0" applyFont="1" applyBorder="1" applyAlignment="1">
      <alignment horizontal="left" vertical="center" wrapText="1"/>
    </xf>
    <xf numFmtId="0" fontId="91" fillId="0" borderId="39" xfId="0" applyFont="1" applyBorder="1" applyAlignment="1">
      <alignment horizontal="center" vertical="center"/>
    </xf>
    <xf numFmtId="0" fontId="91" fillId="0" borderId="15" xfId="0" applyFont="1" applyBorder="1" applyAlignment="1">
      <alignment horizontal="center" vertical="center"/>
    </xf>
    <xf numFmtId="0" fontId="91" fillId="0" borderId="44" xfId="0" applyFont="1" applyBorder="1" applyAlignment="1">
      <alignment horizontal="center" vertical="center"/>
    </xf>
    <xf numFmtId="0" fontId="91" fillId="11" borderId="14" xfId="0" applyFont="1" applyFill="1" applyBorder="1" applyAlignment="1">
      <alignment horizontal="center" vertical="center"/>
    </xf>
    <xf numFmtId="0" fontId="91" fillId="11" borderId="70" xfId="0" applyFont="1" applyFill="1" applyBorder="1" applyAlignment="1">
      <alignment horizontal="center" vertical="center"/>
    </xf>
    <xf numFmtId="0" fontId="91" fillId="11" borderId="17" xfId="0" applyFont="1" applyFill="1" applyBorder="1" applyAlignment="1">
      <alignment horizontal="center" vertical="center"/>
    </xf>
    <xf numFmtId="0" fontId="91" fillId="11" borderId="39" xfId="0" applyFont="1" applyFill="1" applyBorder="1" applyAlignment="1">
      <alignment horizontal="left" vertical="center"/>
    </xf>
    <xf numFmtId="0" fontId="91" fillId="11" borderId="15" xfId="0" applyFont="1" applyFill="1" applyBorder="1" applyAlignment="1">
      <alignment horizontal="left" vertical="center"/>
    </xf>
    <xf numFmtId="0" fontId="91" fillId="11" borderId="44" xfId="0" applyFont="1" applyFill="1" applyBorder="1" applyAlignment="1">
      <alignment horizontal="left" vertical="center"/>
    </xf>
    <xf numFmtId="0" fontId="91" fillId="0" borderId="14" xfId="0" applyFont="1" applyFill="1" applyBorder="1" applyAlignment="1">
      <alignment horizontal="center" vertical="center"/>
    </xf>
    <xf numFmtId="0" fontId="91" fillId="0" borderId="70" xfId="0" applyFont="1" applyFill="1" applyBorder="1" applyAlignment="1">
      <alignment horizontal="center" vertical="center"/>
    </xf>
    <xf numFmtId="0" fontId="91" fillId="0" borderId="17" xfId="0" applyFont="1" applyFill="1" applyBorder="1" applyAlignment="1">
      <alignment horizontal="center" vertical="center"/>
    </xf>
    <xf numFmtId="0" fontId="91" fillId="0" borderId="64" xfId="0" applyFont="1" applyBorder="1" applyAlignment="1">
      <alignment horizontal="center" vertical="center"/>
    </xf>
    <xf numFmtId="0" fontId="91" fillId="0" borderId="41" xfId="0" applyFont="1" applyBorder="1" applyAlignment="1">
      <alignment horizontal="center" vertical="center"/>
    </xf>
    <xf numFmtId="0" fontId="91" fillId="0" borderId="42" xfId="0" applyFont="1" applyBorder="1" applyAlignment="1">
      <alignment horizontal="center" vertical="center"/>
    </xf>
    <xf numFmtId="0" fontId="91" fillId="11" borderId="14" xfId="0" applyFont="1" applyFill="1" applyBorder="1" applyAlignment="1">
      <alignment horizontal="center" vertical="center" wrapText="1"/>
    </xf>
    <xf numFmtId="0" fontId="91" fillId="11" borderId="17"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91" fillId="11" borderId="22" xfId="0" applyFont="1" applyFill="1" applyBorder="1" applyAlignment="1">
      <alignment horizontal="center" vertical="center" wrapText="1"/>
    </xf>
    <xf numFmtId="0" fontId="91" fillId="11" borderId="16" xfId="0" applyFont="1" applyFill="1" applyBorder="1" applyAlignment="1">
      <alignment horizontal="center" vertical="center" wrapText="1"/>
    </xf>
    <xf numFmtId="0" fontId="91" fillId="11" borderId="70" xfId="0" applyFont="1" applyFill="1" applyBorder="1" applyAlignment="1">
      <alignment horizontal="center" vertical="center" wrapText="1"/>
    </xf>
    <xf numFmtId="0" fontId="91" fillId="41" borderId="13" xfId="72" applyFont="1" applyFill="1" applyBorder="1" applyAlignment="1">
      <alignment horizontal="center" vertical="center" wrapText="1"/>
      <protection/>
    </xf>
    <xf numFmtId="0" fontId="11" fillId="41" borderId="13" xfId="72" applyFont="1" applyFill="1" applyBorder="1" applyAlignment="1">
      <alignment horizontal="center" vertical="center" wrapText="1"/>
      <protection/>
    </xf>
    <xf numFmtId="0" fontId="89" fillId="0" borderId="14" xfId="0" applyFont="1" applyBorder="1" applyAlignment="1">
      <alignment horizontal="left" vertical="center"/>
    </xf>
    <xf numFmtId="0" fontId="89" fillId="0" borderId="70" xfId="0" applyFont="1" applyBorder="1" applyAlignment="1">
      <alignment horizontal="left" vertical="center"/>
    </xf>
    <xf numFmtId="0" fontId="89" fillId="0" borderId="17" xfId="0" applyFont="1" applyBorder="1" applyAlignment="1">
      <alignment horizontal="left" vertical="center"/>
    </xf>
    <xf numFmtId="0" fontId="91" fillId="11" borderId="54" xfId="0" applyFont="1" applyFill="1" applyBorder="1" applyAlignment="1">
      <alignment horizontal="center" vertical="center" wrapText="1"/>
    </xf>
    <xf numFmtId="0" fontId="91" fillId="0" borderId="13" xfId="0" applyFont="1" applyFill="1" applyBorder="1" applyAlignment="1">
      <alignment horizontal="center" vertical="center" wrapText="1"/>
    </xf>
    <xf numFmtId="0" fontId="91" fillId="11" borderId="64" xfId="0" applyFont="1" applyFill="1" applyBorder="1" applyAlignment="1">
      <alignment horizontal="center" vertical="center"/>
    </xf>
    <xf numFmtId="0" fontId="91" fillId="11" borderId="41" xfId="0" applyFont="1" applyFill="1" applyBorder="1" applyAlignment="1">
      <alignment horizontal="center" vertical="center"/>
    </xf>
    <xf numFmtId="0" fontId="91" fillId="11" borderId="42" xfId="0" applyFont="1" applyFill="1" applyBorder="1" applyAlignment="1">
      <alignment horizontal="center" vertical="center"/>
    </xf>
    <xf numFmtId="0" fontId="91" fillId="11" borderId="66" xfId="0" applyFont="1" applyFill="1" applyBorder="1" applyAlignment="1">
      <alignment horizontal="center" vertical="center"/>
    </xf>
    <xf numFmtId="0" fontId="91" fillId="11" borderId="0" xfId="0" applyFont="1" applyFill="1" applyBorder="1" applyAlignment="1">
      <alignment horizontal="center" vertical="center"/>
    </xf>
    <xf numFmtId="0" fontId="91" fillId="11" borderId="43" xfId="0" applyFont="1" applyFill="1" applyBorder="1" applyAlignment="1">
      <alignment horizontal="center" vertical="center"/>
    </xf>
    <xf numFmtId="0" fontId="91" fillId="11" borderId="39" xfId="0" applyFont="1" applyFill="1" applyBorder="1" applyAlignment="1">
      <alignment horizontal="center" vertical="center"/>
    </xf>
    <xf numFmtId="0" fontId="91" fillId="11" borderId="15" xfId="0" applyFont="1" applyFill="1" applyBorder="1" applyAlignment="1">
      <alignment horizontal="center" vertical="center"/>
    </xf>
    <xf numFmtId="0" fontId="91" fillId="11" borderId="44" xfId="0" applyFont="1" applyFill="1" applyBorder="1" applyAlignment="1">
      <alignment horizontal="center" vertical="center"/>
    </xf>
    <xf numFmtId="0" fontId="91" fillId="11" borderId="13" xfId="0" applyFont="1" applyFill="1" applyBorder="1" applyAlignment="1">
      <alignment horizontal="center" vertical="center"/>
    </xf>
    <xf numFmtId="0" fontId="104" fillId="0" borderId="13" xfId="0" applyFont="1" applyFill="1" applyBorder="1" applyAlignment="1">
      <alignment horizontal="center" vertical="center"/>
    </xf>
    <xf numFmtId="0" fontId="91" fillId="11" borderId="14" xfId="0" applyFont="1" applyFill="1" applyBorder="1" applyAlignment="1">
      <alignment horizontal="left" vertical="center"/>
    </xf>
    <xf numFmtId="0" fontId="91" fillId="11" borderId="70" xfId="0" applyFont="1" applyFill="1" applyBorder="1" applyAlignment="1">
      <alignment horizontal="left" vertical="center"/>
    </xf>
    <xf numFmtId="0" fontId="91" fillId="11" borderId="17" xfId="0" applyFont="1" applyFill="1" applyBorder="1" applyAlignment="1">
      <alignment horizontal="left" vertical="center"/>
    </xf>
    <xf numFmtId="0" fontId="89" fillId="0" borderId="39" xfId="0" applyFont="1" applyBorder="1" applyAlignment="1">
      <alignment horizontal="center" vertical="center"/>
    </xf>
    <xf numFmtId="0" fontId="89" fillId="0" borderId="15" xfId="0" applyFont="1" applyBorder="1" applyAlignment="1">
      <alignment horizontal="center" vertical="center"/>
    </xf>
    <xf numFmtId="0" fontId="89" fillId="0" borderId="70" xfId="0" applyFont="1" applyBorder="1" applyAlignment="1">
      <alignment horizontal="center" vertical="center"/>
    </xf>
    <xf numFmtId="0" fontId="89" fillId="0" borderId="17" xfId="0" applyFont="1" applyBorder="1" applyAlignment="1">
      <alignment horizontal="center" vertical="center"/>
    </xf>
    <xf numFmtId="0" fontId="89" fillId="0" borderId="14" xfId="0" applyFont="1" applyBorder="1" applyAlignment="1">
      <alignment horizontal="center" vertical="center"/>
    </xf>
    <xf numFmtId="0" fontId="91" fillId="0" borderId="64" xfId="0" applyFont="1" applyBorder="1" applyAlignment="1">
      <alignment vertical="center" wrapText="1"/>
    </xf>
    <xf numFmtId="0" fontId="91" fillId="0" borderId="41" xfId="0" applyFont="1" applyBorder="1" applyAlignment="1">
      <alignment vertical="center" wrapText="1"/>
    </xf>
    <xf numFmtId="0" fontId="91" fillId="0" borderId="42" xfId="0" applyFont="1" applyBorder="1" applyAlignment="1">
      <alignment vertical="center" wrapText="1"/>
    </xf>
    <xf numFmtId="0" fontId="91"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70"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91" fillId="17" borderId="14" xfId="0" applyFont="1" applyFill="1" applyBorder="1" applyAlignment="1">
      <alignment horizontal="center" vertical="center"/>
    </xf>
    <xf numFmtId="0" fontId="91" fillId="17" borderId="17" xfId="0" applyFont="1" applyFill="1" applyBorder="1" applyAlignment="1">
      <alignment horizontal="center" vertical="center"/>
    </xf>
    <xf numFmtId="0" fontId="91" fillId="0" borderId="14" xfId="0" applyFont="1" applyFill="1" applyBorder="1" applyAlignment="1">
      <alignment horizontal="left" vertical="center" wrapText="1"/>
    </xf>
    <xf numFmtId="0" fontId="91" fillId="0" borderId="17" xfId="0" applyFont="1" applyFill="1" applyBorder="1" applyAlignment="1">
      <alignment horizontal="left" vertical="center" wrapText="1"/>
    </xf>
    <xf numFmtId="0" fontId="89" fillId="0" borderId="22" xfId="0" applyFont="1" applyFill="1" applyBorder="1" applyAlignment="1">
      <alignment horizontal="left" vertical="center" wrapText="1"/>
    </xf>
    <xf numFmtId="0" fontId="89" fillId="0" borderId="54" xfId="0" applyFont="1" applyFill="1" applyBorder="1" applyAlignment="1">
      <alignment horizontal="left" vertical="center" wrapText="1"/>
    </xf>
    <xf numFmtId="0" fontId="89" fillId="0" borderId="16" xfId="0" applyFont="1" applyFill="1" applyBorder="1" applyAlignment="1">
      <alignment horizontal="left" vertical="center" wrapText="1"/>
    </xf>
    <xf numFmtId="41" fontId="89" fillId="0" borderId="64" xfId="60" applyFont="1" applyFill="1" applyBorder="1" applyAlignment="1">
      <alignment horizontal="left" vertical="center"/>
    </xf>
    <xf numFmtId="41" fontId="89" fillId="0" borderId="66" xfId="60" applyFont="1" applyFill="1" applyBorder="1" applyAlignment="1">
      <alignment horizontal="left" vertical="center"/>
    </xf>
    <xf numFmtId="41" fontId="89" fillId="0" borderId="39" xfId="60" applyFont="1" applyFill="1" applyBorder="1" applyAlignment="1">
      <alignment horizontal="left" vertical="center"/>
    </xf>
    <xf numFmtId="189" fontId="88" fillId="0" borderId="13" xfId="58" applyNumberFormat="1" applyFont="1" applyBorder="1" applyAlignment="1">
      <alignment horizontal="center" vertical="center" wrapText="1"/>
    </xf>
    <xf numFmtId="189" fontId="88" fillId="0" borderId="13" xfId="58" applyNumberFormat="1" applyFont="1" applyBorder="1" applyAlignment="1">
      <alignment horizontal="center" vertical="center"/>
    </xf>
    <xf numFmtId="189" fontId="88" fillId="0" borderId="14" xfId="58" applyNumberFormat="1" applyFont="1" applyBorder="1" applyAlignment="1">
      <alignment horizontal="center" vertical="center"/>
    </xf>
    <xf numFmtId="189" fontId="88" fillId="0" borderId="70" xfId="58" applyNumberFormat="1" applyFont="1" applyBorder="1" applyAlignment="1">
      <alignment horizontal="center" vertical="center"/>
    </xf>
    <xf numFmtId="189" fontId="88" fillId="0" borderId="17" xfId="58" applyNumberFormat="1" applyFont="1" applyBorder="1" applyAlignment="1">
      <alignment horizontal="center" vertical="center"/>
    </xf>
    <xf numFmtId="14" fontId="94" fillId="0" borderId="80" xfId="0" applyNumberFormat="1" applyFont="1" applyBorder="1" applyAlignment="1">
      <alignment horizontal="center" vertical="center"/>
    </xf>
    <xf numFmtId="0" fontId="94" fillId="0" borderId="27" xfId="0" applyFont="1" applyBorder="1" applyAlignment="1">
      <alignment horizontal="center" vertical="center"/>
    </xf>
    <xf numFmtId="0" fontId="94" fillId="0" borderId="28" xfId="0" applyFont="1" applyBorder="1" applyAlignment="1">
      <alignment horizontal="center" vertical="center"/>
    </xf>
    <xf numFmtId="0" fontId="94" fillId="0" borderId="29" xfId="0" applyFont="1" applyBorder="1" applyAlignment="1">
      <alignment horizontal="center" vertical="center"/>
    </xf>
    <xf numFmtId="0" fontId="94" fillId="0" borderId="81" xfId="0" applyFont="1" applyBorder="1" applyAlignment="1">
      <alignment horizontal="center" vertical="center"/>
    </xf>
    <xf numFmtId="0" fontId="94" fillId="0" borderId="35" xfId="0" applyFont="1" applyBorder="1" applyAlignment="1">
      <alignment horizontal="center" vertical="center"/>
    </xf>
    <xf numFmtId="0" fontId="88" fillId="0" borderId="78" xfId="0" applyFont="1" applyBorder="1" applyAlignment="1">
      <alignment horizontal="center" vertical="center" wrapText="1"/>
    </xf>
    <xf numFmtId="0" fontId="88" fillId="0" borderId="62" xfId="0" applyFont="1" applyBorder="1" applyAlignment="1">
      <alignment horizontal="center" vertical="center" wrapText="1"/>
    </xf>
    <xf numFmtId="0" fontId="10" fillId="0" borderId="80" xfId="72" applyFont="1" applyBorder="1" applyAlignment="1">
      <alignment horizontal="center" vertical="center" wrapText="1"/>
      <protection/>
    </xf>
    <xf numFmtId="0" fontId="10" fillId="0" borderId="28" xfId="72" applyFont="1" applyBorder="1" applyAlignment="1">
      <alignment horizontal="center" vertical="center" wrapText="1"/>
      <protection/>
    </xf>
    <xf numFmtId="0" fontId="10" fillId="0" borderId="81" xfId="72" applyFont="1" applyBorder="1" applyAlignment="1">
      <alignment horizontal="center" vertical="center" wrapText="1"/>
      <protection/>
    </xf>
    <xf numFmtId="0" fontId="11" fillId="0" borderId="46" xfId="72" applyFont="1" applyBorder="1" applyAlignment="1">
      <alignment horizontal="center" vertical="center"/>
      <protection/>
    </xf>
    <xf numFmtId="0" fontId="11" fillId="0" borderId="47" xfId="72" applyFont="1" applyBorder="1" applyAlignment="1">
      <alignment horizontal="center" vertical="center"/>
      <protection/>
    </xf>
    <xf numFmtId="0" fontId="11" fillId="0" borderId="48" xfId="72" applyFont="1" applyBorder="1" applyAlignment="1">
      <alignment horizontal="center" vertical="center"/>
      <protection/>
    </xf>
    <xf numFmtId="0" fontId="18" fillId="0" borderId="61" xfId="0" applyFont="1" applyBorder="1" applyAlignment="1">
      <alignment horizontal="left" vertical="center" wrapText="1"/>
    </xf>
    <xf numFmtId="0" fontId="18" fillId="0" borderId="69" xfId="0" applyFont="1" applyBorder="1" applyAlignment="1">
      <alignment horizontal="left" vertical="center" wrapText="1"/>
    </xf>
    <xf numFmtId="0" fontId="18" fillId="0" borderId="7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67" xfId="72" applyFont="1" applyBorder="1" applyAlignment="1">
      <alignment horizontal="center" vertical="center" wrapText="1"/>
      <protection/>
    </xf>
    <xf numFmtId="0" fontId="11" fillId="0" borderId="69" xfId="72" applyFont="1" applyBorder="1" applyAlignment="1">
      <alignment horizontal="center" vertical="center" wrapText="1"/>
      <protection/>
    </xf>
    <xf numFmtId="0" fontId="11" fillId="0" borderId="72" xfId="72" applyFont="1" applyBorder="1" applyAlignment="1">
      <alignment horizontal="center" vertical="center" wrapText="1"/>
      <protection/>
    </xf>
    <xf numFmtId="0" fontId="11" fillId="0" borderId="50" xfId="72" applyFont="1" applyBorder="1" applyAlignment="1">
      <alignment horizontal="center" vertical="center" wrapText="1"/>
      <protection/>
    </xf>
    <xf numFmtId="0" fontId="11" fillId="0" borderId="38" xfId="72" applyFont="1" applyBorder="1" applyAlignment="1">
      <alignment horizontal="center" vertical="center" wrapText="1"/>
      <protection/>
    </xf>
    <xf numFmtId="0" fontId="11" fillId="0" borderId="52" xfId="72" applyFont="1" applyBorder="1" applyAlignment="1">
      <alignment horizontal="center" vertical="center" wrapText="1"/>
      <protection/>
    </xf>
    <xf numFmtId="0" fontId="0" fillId="0" borderId="78" xfId="0" applyBorder="1" applyAlignment="1">
      <alignment horizontal="center" vertical="center"/>
    </xf>
    <xf numFmtId="0" fontId="0" fillId="0" borderId="62" xfId="0" applyBorder="1" applyAlignment="1">
      <alignment horizontal="center" vertical="center"/>
    </xf>
    <xf numFmtId="0" fontId="88" fillId="0" borderId="82" xfId="0" applyFont="1" applyBorder="1" applyAlignment="1">
      <alignment horizontal="center" vertical="center" wrapText="1"/>
    </xf>
    <xf numFmtId="0" fontId="88" fillId="0" borderId="45" xfId="0" applyFont="1" applyBorder="1" applyAlignment="1">
      <alignment horizontal="center" vertical="center" wrapText="1"/>
    </xf>
    <xf numFmtId="0" fontId="0" fillId="0" borderId="82" xfId="0" applyBorder="1" applyAlignment="1">
      <alignment horizontal="center" vertical="center"/>
    </xf>
    <xf numFmtId="0" fontId="0" fillId="0" borderId="45" xfId="0" applyBorder="1" applyAlignment="1">
      <alignment horizontal="center" vertical="center"/>
    </xf>
    <xf numFmtId="0" fontId="88" fillId="0" borderId="76" xfId="0" applyFont="1" applyBorder="1" applyAlignment="1">
      <alignment horizontal="center" vertical="center" wrapText="1"/>
    </xf>
    <xf numFmtId="0" fontId="88" fillId="0" borderId="77"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11" fillId="0" borderId="80" xfId="72" applyFont="1" applyBorder="1" applyAlignment="1">
      <alignment horizontal="center" vertical="center" wrapText="1"/>
      <protection/>
    </xf>
    <xf numFmtId="0" fontId="11" fillId="0" borderId="26" xfId="72" applyFont="1" applyBorder="1" applyAlignment="1">
      <alignment horizontal="center" vertical="center" wrapText="1"/>
      <protection/>
    </xf>
    <xf numFmtId="0" fontId="11" fillId="0" borderId="27" xfId="72" applyFont="1" applyBorder="1" applyAlignment="1">
      <alignment horizontal="center" vertical="center" wrapText="1"/>
      <protection/>
    </xf>
    <xf numFmtId="0" fontId="11" fillId="0" borderId="28" xfId="72" applyFont="1" applyBorder="1" applyAlignment="1">
      <alignment horizontal="center" vertical="center" wrapText="1"/>
      <protection/>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0" borderId="81" xfId="72" applyFont="1" applyBorder="1" applyAlignment="1">
      <alignment horizontal="center" vertical="center" wrapText="1"/>
      <protection/>
    </xf>
    <xf numFmtId="0" fontId="11" fillId="0" borderId="34" xfId="72" applyFont="1" applyBorder="1" applyAlignment="1">
      <alignment horizontal="center" vertical="center" wrapText="1"/>
      <protection/>
    </xf>
    <xf numFmtId="0" fontId="11" fillId="0" borderId="35" xfId="72" applyFont="1" applyBorder="1" applyAlignment="1">
      <alignment horizontal="center" vertical="center" wrapText="1"/>
      <protection/>
    </xf>
    <xf numFmtId="0" fontId="103" fillId="0" borderId="83" xfId="0" applyFont="1" applyBorder="1" applyAlignment="1">
      <alignment horizontal="center" vertical="center"/>
    </xf>
    <xf numFmtId="0" fontId="103" fillId="0" borderId="84" xfId="0" applyFont="1" applyBorder="1" applyAlignment="1">
      <alignment horizontal="center" vertical="center"/>
    </xf>
    <xf numFmtId="0" fontId="103" fillId="0" borderId="85" xfId="0" applyFont="1" applyBorder="1" applyAlignment="1">
      <alignment horizontal="center" vertical="center"/>
    </xf>
    <xf numFmtId="0" fontId="11" fillId="5" borderId="0" xfId="72" applyFont="1" applyFill="1" applyAlignment="1">
      <alignment horizontal="left" vertical="center" wrapText="1"/>
      <protection/>
    </xf>
    <xf numFmtId="0" fontId="11" fillId="0" borderId="73" xfId="72" applyFont="1" applyBorder="1" applyAlignment="1">
      <alignment horizontal="center" vertical="center" wrapText="1"/>
      <protection/>
    </xf>
    <xf numFmtId="0" fontId="11" fillId="0" borderId="75" xfId="72" applyFont="1" applyBorder="1" applyAlignment="1">
      <alignment horizontal="center" vertical="center" wrapText="1"/>
      <protection/>
    </xf>
    <xf numFmtId="0" fontId="11" fillId="0" borderId="74" xfId="72" applyFont="1" applyBorder="1" applyAlignment="1">
      <alignment horizontal="center" vertical="center" wrapText="1"/>
      <protection/>
    </xf>
    <xf numFmtId="0" fontId="11" fillId="0" borderId="46" xfId="72" applyFont="1" applyBorder="1" applyAlignment="1">
      <alignment horizontal="center" vertical="center" wrapText="1"/>
      <protection/>
    </xf>
    <xf numFmtId="0" fontId="11" fillId="0" borderId="47" xfId="72" applyFont="1" applyBorder="1" applyAlignment="1">
      <alignment horizontal="center" vertical="center" wrapText="1"/>
      <protection/>
    </xf>
    <xf numFmtId="0" fontId="11" fillId="0" borderId="48" xfId="72" applyFont="1" applyBorder="1" applyAlignment="1">
      <alignment horizontal="center" vertical="center" wrapText="1"/>
      <protection/>
    </xf>
    <xf numFmtId="0" fontId="11" fillId="38" borderId="34" xfId="72" applyFont="1" applyFill="1" applyBorder="1" applyAlignment="1">
      <alignment horizontal="left" vertical="center" wrapText="1"/>
      <protection/>
    </xf>
    <xf numFmtId="0" fontId="10" fillId="0" borderId="73" xfId="72" applyFont="1" applyBorder="1" applyAlignment="1">
      <alignment horizontal="center" vertical="center" wrapText="1"/>
      <protection/>
    </xf>
    <xf numFmtId="0" fontId="10" fillId="0" borderId="75" xfId="72" applyFont="1" applyBorder="1" applyAlignment="1">
      <alignment horizontal="center" vertical="center" wrapText="1"/>
      <protection/>
    </xf>
    <xf numFmtId="0" fontId="10" fillId="0" borderId="74" xfId="72" applyFont="1" applyBorder="1" applyAlignment="1">
      <alignment horizontal="center" vertical="center" wrapText="1"/>
      <protection/>
    </xf>
    <xf numFmtId="9" fontId="11" fillId="0" borderId="73" xfId="72" applyNumberFormat="1" applyFont="1" applyBorder="1" applyAlignment="1">
      <alignment horizontal="center" vertical="center" wrapText="1"/>
      <protection/>
    </xf>
    <xf numFmtId="9" fontId="11" fillId="0" borderId="74" xfId="72" applyNumberFormat="1" applyFont="1" applyBorder="1" applyAlignment="1">
      <alignment horizontal="center" vertical="center" wrapText="1"/>
      <protection/>
    </xf>
    <xf numFmtId="0" fontId="11" fillId="5" borderId="0" xfId="72" applyFont="1" applyFill="1" applyAlignment="1">
      <alignment horizontal="center" vertical="center" wrapText="1"/>
      <protection/>
    </xf>
    <xf numFmtId="0" fontId="11" fillId="5" borderId="67"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5" borderId="14" xfId="72" applyFont="1" applyFill="1" applyBorder="1" applyAlignment="1">
      <alignment horizontal="center" vertical="center" wrapText="1"/>
      <protection/>
    </xf>
    <xf numFmtId="0" fontId="11" fillId="5" borderId="50" xfId="72" applyFont="1" applyFill="1" applyBorder="1" applyAlignment="1">
      <alignment horizontal="center" vertical="center" wrapText="1"/>
      <protection/>
    </xf>
    <xf numFmtId="0" fontId="11" fillId="5" borderId="40" xfId="72" applyFont="1" applyFill="1" applyBorder="1" applyAlignment="1">
      <alignment horizontal="center" vertical="center" wrapText="1"/>
      <protection/>
    </xf>
    <xf numFmtId="0" fontId="11" fillId="38" borderId="67" xfId="72" applyFont="1" applyFill="1" applyBorder="1" applyAlignment="1">
      <alignment horizontal="center" vertical="center" wrapText="1"/>
      <protection/>
    </xf>
    <xf numFmtId="0" fontId="11" fillId="38" borderId="61" xfId="72" applyFont="1" applyFill="1" applyBorder="1" applyAlignment="1">
      <alignment horizontal="center" vertical="center" wrapText="1"/>
      <protection/>
    </xf>
    <xf numFmtId="0" fontId="11" fillId="38" borderId="69" xfId="72" applyFont="1" applyFill="1" applyBorder="1" applyAlignment="1">
      <alignment horizontal="center" vertical="center" wrapText="1"/>
      <protection/>
    </xf>
    <xf numFmtId="0" fontId="11" fillId="38" borderId="72" xfId="72" applyFont="1" applyFill="1" applyBorder="1" applyAlignment="1">
      <alignment horizontal="center" vertical="center" wrapText="1"/>
      <protection/>
    </xf>
    <xf numFmtId="0" fontId="11" fillId="5" borderId="49" xfId="72" applyFont="1" applyFill="1" applyBorder="1" applyAlignment="1">
      <alignment horizontal="center" vertical="center" wrapText="1"/>
      <protection/>
    </xf>
    <xf numFmtId="0" fontId="11" fillId="5" borderId="18" xfId="72" applyFont="1" applyFill="1" applyBorder="1" applyAlignment="1">
      <alignment horizontal="center" vertical="center" wrapText="1"/>
      <protection/>
    </xf>
    <xf numFmtId="0" fontId="11" fillId="5" borderId="64" xfId="72" applyFont="1" applyFill="1" applyBorder="1" applyAlignment="1">
      <alignment horizontal="center" vertical="center" wrapText="1"/>
      <protection/>
    </xf>
    <xf numFmtId="0" fontId="11" fillId="5" borderId="42" xfId="72" applyFont="1" applyFill="1" applyBorder="1" applyAlignment="1">
      <alignment horizontal="center" vertical="center" wrapText="1"/>
      <protection/>
    </xf>
    <xf numFmtId="0" fontId="11" fillId="5" borderId="39" xfId="72" applyFont="1" applyFill="1" applyBorder="1" applyAlignment="1">
      <alignment horizontal="center" vertical="center" wrapText="1"/>
      <protection/>
    </xf>
    <xf numFmtId="0" fontId="11" fillId="5" borderId="44" xfId="72" applyFont="1" applyFill="1" applyBorder="1" applyAlignment="1">
      <alignment horizontal="center" vertical="center" wrapText="1"/>
      <protection/>
    </xf>
    <xf numFmtId="0" fontId="11" fillId="5" borderId="70" xfId="72" applyFont="1" applyFill="1" applyBorder="1" applyAlignment="1">
      <alignment horizontal="center" vertical="center" wrapText="1"/>
      <protection/>
    </xf>
    <xf numFmtId="0" fontId="11" fillId="5" borderId="17" xfId="72" applyFont="1" applyFill="1" applyBorder="1" applyAlignment="1">
      <alignment horizontal="center" vertical="center" wrapText="1"/>
      <protection/>
    </xf>
    <xf numFmtId="0" fontId="11" fillId="5" borderId="13" xfId="72" applyFont="1" applyFill="1" applyBorder="1" applyAlignment="1">
      <alignment horizontal="center" vertical="center" wrapText="1"/>
      <protection/>
    </xf>
    <xf numFmtId="0" fontId="11" fillId="5" borderId="21" xfId="72" applyFont="1" applyFill="1" applyBorder="1" applyAlignment="1">
      <alignment horizontal="center" vertical="center" wrapText="1"/>
      <protection/>
    </xf>
    <xf numFmtId="3" fontId="11" fillId="0" borderId="64" xfId="72" applyNumberFormat="1" applyFont="1" applyBorder="1" applyAlignment="1">
      <alignment horizontal="center" vertical="center" wrapText="1"/>
      <protection/>
    </xf>
    <xf numFmtId="3" fontId="11" fillId="0" borderId="42" xfId="72" applyNumberFormat="1" applyFont="1" applyBorder="1" applyAlignment="1">
      <alignment horizontal="center" vertical="center" wrapText="1"/>
      <protection/>
    </xf>
    <xf numFmtId="0" fontId="90" fillId="0" borderId="13" xfId="72" applyFont="1" applyBorder="1" applyAlignment="1">
      <alignment horizontal="left" vertical="center" wrapText="1"/>
      <protection/>
    </xf>
    <xf numFmtId="0" fontId="90" fillId="0" borderId="21" xfId="72" applyFont="1" applyBorder="1" applyAlignment="1">
      <alignment horizontal="left" vertical="center" wrapText="1"/>
      <protection/>
    </xf>
    <xf numFmtId="0" fontId="10" fillId="5" borderId="13" xfId="72" applyFont="1" applyFill="1" applyBorder="1" applyAlignment="1">
      <alignment horizontal="center" vertical="center" wrapText="1"/>
      <protection/>
    </xf>
    <xf numFmtId="0" fontId="11" fillId="5" borderId="15" xfId="72" applyFont="1" applyFill="1" applyBorder="1" applyAlignment="1">
      <alignment horizontal="center" vertical="center" wrapText="1"/>
      <protection/>
    </xf>
    <xf numFmtId="0" fontId="11" fillId="5" borderId="19" xfId="72" applyFont="1" applyFill="1" applyBorder="1" applyAlignment="1">
      <alignment horizontal="center" vertical="center" wrapText="1"/>
      <protection/>
    </xf>
    <xf numFmtId="0" fontId="10" fillId="0" borderId="37" xfId="72" applyFont="1" applyBorder="1" applyAlignment="1">
      <alignment horizontal="center" vertical="center" wrapText="1"/>
      <protection/>
    </xf>
    <xf numFmtId="0" fontId="10" fillId="0" borderId="63" xfId="72" applyFont="1" applyBorder="1" applyAlignment="1">
      <alignment horizontal="center" vertical="center" wrapText="1"/>
      <protection/>
    </xf>
    <xf numFmtId="9" fontId="11" fillId="0" borderId="22" xfId="79" applyFont="1" applyFill="1" applyBorder="1" applyAlignment="1" applyProtection="1">
      <alignment horizontal="center" vertical="center" wrapText="1"/>
      <protection/>
    </xf>
    <xf numFmtId="9" fontId="11" fillId="0" borderId="57" xfId="79" applyFont="1" applyFill="1" applyBorder="1" applyAlignment="1" applyProtection="1">
      <alignment horizontal="center" vertical="center" wrapText="1"/>
      <protection/>
    </xf>
    <xf numFmtId="9" fontId="10" fillId="38" borderId="64" xfId="81" applyFont="1" applyFill="1" applyBorder="1" applyAlignment="1" applyProtection="1">
      <alignment horizontal="left" vertical="center" wrapText="1"/>
      <protection/>
    </xf>
    <xf numFmtId="9" fontId="10" fillId="38" borderId="41" xfId="81" applyFont="1" applyFill="1" applyBorder="1" applyAlignment="1" applyProtection="1">
      <alignment horizontal="left" vertical="center" wrapText="1"/>
      <protection/>
    </xf>
    <xf numFmtId="9" fontId="10" fillId="38" borderId="42" xfId="81" applyFont="1" applyFill="1" applyBorder="1" applyAlignment="1" applyProtection="1">
      <alignment horizontal="left" vertical="center" wrapText="1"/>
      <protection/>
    </xf>
    <xf numFmtId="9" fontId="10" fillId="38" borderId="58" xfId="81" applyFont="1" applyFill="1" applyBorder="1" applyAlignment="1" applyProtection="1">
      <alignment horizontal="left" vertical="center" wrapText="1"/>
      <protection/>
    </xf>
    <xf numFmtId="9" fontId="10" fillId="38" borderId="34" xfId="81" applyFont="1" applyFill="1" applyBorder="1" applyAlignment="1" applyProtection="1">
      <alignment horizontal="left" vertical="center" wrapText="1"/>
      <protection/>
    </xf>
    <xf numFmtId="9" fontId="10" fillId="38" borderId="71" xfId="81" applyFont="1" applyFill="1" applyBorder="1" applyAlignment="1" applyProtection="1">
      <alignment horizontal="left" vertical="center" wrapText="1"/>
      <protection/>
    </xf>
    <xf numFmtId="9" fontId="10" fillId="38" borderId="64" xfId="81" applyFont="1" applyFill="1" applyBorder="1" applyAlignment="1" applyProtection="1">
      <alignment horizontal="left" vertical="top" wrapText="1"/>
      <protection/>
    </xf>
    <xf numFmtId="9" fontId="10" fillId="38" borderId="41" xfId="81" applyFont="1" applyFill="1" applyBorder="1" applyAlignment="1" applyProtection="1">
      <alignment horizontal="left" vertical="top" wrapText="1"/>
      <protection/>
    </xf>
    <xf numFmtId="9" fontId="10" fillId="38" borderId="42" xfId="81" applyFont="1" applyFill="1" applyBorder="1" applyAlignment="1" applyProtection="1">
      <alignment horizontal="left" vertical="top" wrapText="1"/>
      <protection/>
    </xf>
    <xf numFmtId="9" fontId="10" fillId="38" borderId="58" xfId="81" applyFont="1" applyFill="1" applyBorder="1" applyAlignment="1" applyProtection="1">
      <alignment horizontal="left" vertical="top" wrapText="1"/>
      <protection/>
    </xf>
    <xf numFmtId="9" fontId="10" fillId="38" borderId="34" xfId="81" applyFont="1" applyFill="1" applyBorder="1" applyAlignment="1" applyProtection="1">
      <alignment horizontal="left" vertical="top" wrapText="1"/>
      <protection/>
    </xf>
    <xf numFmtId="9" fontId="10" fillId="38" borderId="71" xfId="81" applyFont="1" applyFill="1" applyBorder="1" applyAlignment="1" applyProtection="1">
      <alignment horizontal="left" vertical="top" wrapText="1"/>
      <protection/>
    </xf>
    <xf numFmtId="9" fontId="10" fillId="0" borderId="64"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2" xfId="81" applyFont="1" applyFill="1" applyBorder="1" applyAlignment="1" applyProtection="1">
      <alignment horizontal="center" vertical="center" wrapText="1"/>
      <protection/>
    </xf>
    <xf numFmtId="9" fontId="10" fillId="0" borderId="58"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71" xfId="81" applyFont="1" applyFill="1" applyBorder="1" applyAlignment="1" applyProtection="1">
      <alignment horizontal="center" vertical="center" wrapText="1"/>
      <protection/>
    </xf>
    <xf numFmtId="9" fontId="10" fillId="38" borderId="65" xfId="81" applyFont="1" applyFill="1" applyBorder="1" applyAlignment="1" applyProtection="1">
      <alignment horizontal="left" vertical="center" wrapText="1"/>
      <protection/>
    </xf>
    <xf numFmtId="9" fontId="10" fillId="38" borderId="35" xfId="81" applyFont="1" applyFill="1" applyBorder="1" applyAlignment="1" applyProtection="1">
      <alignment horizontal="left" vertical="center" wrapText="1"/>
      <protection/>
    </xf>
    <xf numFmtId="0" fontId="11" fillId="5" borderId="68" xfId="72" applyFont="1" applyFill="1" applyBorder="1" applyAlignment="1">
      <alignment horizontal="center" vertical="center" wrapText="1"/>
      <protection/>
    </xf>
    <xf numFmtId="0" fontId="11" fillId="5" borderId="16" xfId="72" applyFont="1" applyFill="1" applyBorder="1" applyAlignment="1">
      <alignment horizontal="center" vertical="center" wrapText="1"/>
      <protection/>
    </xf>
    <xf numFmtId="0" fontId="11" fillId="5" borderId="69"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45" xfId="72" applyFont="1" applyFill="1" applyBorder="1" applyAlignment="1">
      <alignment horizontal="center" vertical="center" wrapText="1"/>
      <protection/>
    </xf>
    <xf numFmtId="2" fontId="10" fillId="0" borderId="51" xfId="72" applyNumberFormat="1" applyFont="1" applyBorder="1" applyAlignment="1">
      <alignment vertical="center" wrapText="1"/>
      <protection/>
    </xf>
    <xf numFmtId="2" fontId="10" fillId="0" borderId="20" xfId="72" applyNumberFormat="1" applyFont="1" applyBorder="1" applyAlignment="1">
      <alignment vertical="center" wrapText="1"/>
      <protection/>
    </xf>
    <xf numFmtId="9" fontId="10" fillId="0" borderId="54"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9" fontId="10" fillId="38" borderId="64" xfId="72" applyNumberFormat="1" applyFont="1" applyFill="1" applyBorder="1" applyAlignment="1">
      <alignment horizontal="left" vertical="center" wrapText="1"/>
      <protection/>
    </xf>
    <xf numFmtId="9" fontId="10" fillId="38" borderId="41" xfId="72" applyNumberFormat="1" applyFont="1" applyFill="1" applyBorder="1" applyAlignment="1">
      <alignment horizontal="left" vertical="center" wrapText="1"/>
      <protection/>
    </xf>
    <xf numFmtId="9" fontId="10" fillId="38" borderId="65" xfId="72" applyNumberFormat="1" applyFont="1" applyFill="1" applyBorder="1" applyAlignment="1">
      <alignment horizontal="left" vertical="center" wrapText="1"/>
      <protection/>
    </xf>
    <xf numFmtId="9" fontId="10" fillId="38" borderId="66" xfId="72" applyNumberFormat="1" applyFont="1" applyFill="1" applyBorder="1" applyAlignment="1">
      <alignment horizontal="left" vertical="center" wrapText="1"/>
      <protection/>
    </xf>
    <xf numFmtId="9" fontId="10" fillId="38" borderId="0" xfId="72" applyNumberFormat="1" applyFont="1" applyFill="1" applyAlignment="1">
      <alignment horizontal="left" vertical="center" wrapText="1"/>
      <protection/>
    </xf>
    <xf numFmtId="9" fontId="10" fillId="38" borderId="29" xfId="72" applyNumberFormat="1" applyFont="1" applyFill="1" applyBorder="1" applyAlignment="1">
      <alignment horizontal="left" vertical="center" wrapText="1"/>
      <protection/>
    </xf>
    <xf numFmtId="2" fontId="10" fillId="0" borderId="37" xfId="72" applyNumberFormat="1" applyFont="1" applyBorder="1" applyAlignment="1">
      <alignment vertical="center" wrapText="1"/>
      <protection/>
    </xf>
    <xf numFmtId="0" fontId="0" fillId="0" borderId="87" xfId="0" applyBorder="1" applyAlignment="1">
      <alignment vertical="center" wrapText="1"/>
    </xf>
    <xf numFmtId="9" fontId="10" fillId="0" borderId="22" xfId="79" applyFont="1" applyFill="1" applyBorder="1" applyAlignment="1" applyProtection="1">
      <alignment horizontal="center" vertical="center" wrapText="1"/>
      <protection/>
    </xf>
    <xf numFmtId="9" fontId="10" fillId="0" borderId="64" xfId="72" applyNumberFormat="1" applyFont="1" applyBorder="1" applyAlignment="1">
      <alignment horizontal="left" vertical="top" wrapText="1"/>
      <protection/>
    </xf>
    <xf numFmtId="9" fontId="10" fillId="0" borderId="41" xfId="72" applyNumberFormat="1" applyFont="1" applyBorder="1" applyAlignment="1">
      <alignment horizontal="left" vertical="top" wrapText="1"/>
      <protection/>
    </xf>
    <xf numFmtId="9" fontId="10" fillId="0" borderId="65" xfId="72" applyNumberFormat="1" applyFont="1" applyBorder="1" applyAlignment="1">
      <alignment horizontal="left" vertical="top" wrapText="1"/>
      <protection/>
    </xf>
    <xf numFmtId="9" fontId="10" fillId="0" borderId="66" xfId="72" applyNumberFormat="1" applyFont="1" applyBorder="1" applyAlignment="1">
      <alignment horizontal="left" vertical="top" wrapText="1"/>
      <protection/>
    </xf>
    <xf numFmtId="9" fontId="10" fillId="0" borderId="0" xfId="72" applyNumberFormat="1" applyFont="1" applyAlignment="1">
      <alignment horizontal="left" vertical="top" wrapText="1"/>
      <protection/>
    </xf>
    <xf numFmtId="9" fontId="10" fillId="0" borderId="29" xfId="72" applyNumberFormat="1" applyFont="1" applyBorder="1" applyAlignment="1">
      <alignment horizontal="left" vertical="top" wrapText="1"/>
      <protection/>
    </xf>
    <xf numFmtId="0" fontId="0" fillId="0" borderId="50" xfId="0" applyBorder="1" applyAlignment="1">
      <alignment vertical="center" wrapText="1"/>
    </xf>
    <xf numFmtId="9" fontId="10" fillId="0" borderId="57" xfId="79" applyFont="1" applyFill="1" applyBorder="1" applyAlignment="1" applyProtection="1">
      <alignment horizontal="center" vertical="center" wrapText="1"/>
      <protection/>
    </xf>
    <xf numFmtId="9" fontId="10" fillId="0" borderId="64" xfId="72" applyNumberFormat="1" applyFont="1" applyBorder="1" applyAlignment="1">
      <alignment horizontal="left" vertical="center" wrapText="1"/>
      <protection/>
    </xf>
    <xf numFmtId="9" fontId="10" fillId="0" borderId="41" xfId="72" applyNumberFormat="1" applyFont="1" applyBorder="1" applyAlignment="1">
      <alignment horizontal="left" vertical="center" wrapText="1"/>
      <protection/>
    </xf>
    <xf numFmtId="9" fontId="10" fillId="0" borderId="65" xfId="72" applyNumberFormat="1" applyFont="1" applyBorder="1" applyAlignment="1">
      <alignment horizontal="left" vertical="center" wrapText="1"/>
      <protection/>
    </xf>
    <xf numFmtId="9" fontId="10" fillId="0" borderId="58" xfId="72" applyNumberFormat="1" applyFont="1" applyBorder="1" applyAlignment="1">
      <alignment horizontal="left" vertical="center" wrapText="1"/>
      <protection/>
    </xf>
    <xf numFmtId="9" fontId="10" fillId="0" borderId="34" xfId="72" applyNumberFormat="1" applyFont="1" applyBorder="1" applyAlignment="1">
      <alignment horizontal="left" vertical="center" wrapText="1"/>
      <protection/>
    </xf>
    <xf numFmtId="9" fontId="10" fillId="0" borderId="35" xfId="72" applyNumberFormat="1" applyFont="1" applyBorder="1" applyAlignment="1">
      <alignment horizontal="left" vertical="center" wrapText="1"/>
      <protection/>
    </xf>
    <xf numFmtId="2" fontId="10" fillId="38" borderId="20" xfId="72" applyNumberFormat="1" applyFont="1" applyFill="1" applyBorder="1" applyAlignment="1">
      <alignment vertical="center" wrapText="1"/>
      <protection/>
    </xf>
    <xf numFmtId="2" fontId="10" fillId="38" borderId="50" xfId="72" applyNumberFormat="1" applyFont="1" applyFill="1" applyBorder="1" applyAlignment="1">
      <alignment vertical="center" wrapText="1"/>
      <protection/>
    </xf>
    <xf numFmtId="190" fontId="10" fillId="0" borderId="22" xfId="79" applyNumberFormat="1" applyFont="1" applyBorder="1" applyAlignment="1">
      <alignment horizontal="center" vertical="center" wrapText="1"/>
    </xf>
    <xf numFmtId="190" fontId="10" fillId="0" borderId="57" xfId="79" applyNumberFormat="1" applyFont="1" applyBorder="1" applyAlignment="1">
      <alignment horizontal="center" vertical="center" wrapText="1"/>
    </xf>
    <xf numFmtId="9" fontId="89" fillId="0" borderId="64" xfId="72" applyNumberFormat="1" applyFont="1" applyBorder="1" applyAlignment="1">
      <alignment horizontal="left" vertical="center" wrapText="1"/>
      <protection/>
    </xf>
    <xf numFmtId="9" fontId="89" fillId="0" borderId="41" xfId="72" applyNumberFormat="1" applyFont="1" applyBorder="1" applyAlignment="1">
      <alignment horizontal="left" vertical="center" wrapText="1"/>
      <protection/>
    </xf>
    <xf numFmtId="9" fontId="89" fillId="0" borderId="65" xfId="72" applyNumberFormat="1" applyFont="1" applyBorder="1" applyAlignment="1">
      <alignment horizontal="left" vertical="center" wrapText="1"/>
      <protection/>
    </xf>
    <xf numFmtId="9" fontId="89" fillId="0" borderId="58" xfId="72" applyNumberFormat="1" applyFont="1" applyBorder="1" applyAlignment="1">
      <alignment horizontal="left" vertical="center" wrapText="1"/>
      <protection/>
    </xf>
    <xf numFmtId="9" fontId="89" fillId="0" borderId="34" xfId="72" applyNumberFormat="1" applyFont="1" applyBorder="1" applyAlignment="1">
      <alignment horizontal="left" vertical="center" wrapText="1"/>
      <protection/>
    </xf>
    <xf numFmtId="9" fontId="89" fillId="0" borderId="35" xfId="72" applyNumberFormat="1" applyFont="1" applyBorder="1" applyAlignment="1">
      <alignment horizontal="left" vertical="center" wrapText="1"/>
      <protection/>
    </xf>
    <xf numFmtId="2" fontId="11" fillId="0" borderId="20" xfId="72" applyNumberFormat="1" applyFont="1" applyFill="1" applyBorder="1" applyAlignment="1">
      <alignment vertical="center" wrapText="1"/>
      <protection/>
    </xf>
    <xf numFmtId="2" fontId="10" fillId="0" borderId="20" xfId="72" applyNumberFormat="1" applyFont="1" applyFill="1" applyBorder="1" applyAlignment="1">
      <alignment vertical="center" wrapText="1"/>
      <protection/>
    </xf>
    <xf numFmtId="190" fontId="10" fillId="0" borderId="16" xfId="79" applyNumberFormat="1" applyFont="1" applyBorder="1" applyAlignment="1">
      <alignment horizontal="center" vertical="center" wrapText="1"/>
    </xf>
    <xf numFmtId="9" fontId="10" fillId="0" borderId="66" xfId="72" applyNumberFormat="1" applyFont="1" applyBorder="1" applyAlignment="1">
      <alignment horizontal="left" vertical="center" wrapText="1"/>
      <protection/>
    </xf>
    <xf numFmtId="9" fontId="10" fillId="0" borderId="0" xfId="72" applyNumberFormat="1" applyFont="1" applyAlignment="1">
      <alignment horizontal="left" vertical="center" wrapText="1"/>
      <protection/>
    </xf>
    <xf numFmtId="9" fontId="10" fillId="0" borderId="29" xfId="72" applyNumberFormat="1" applyFont="1" applyBorder="1" applyAlignment="1">
      <alignment horizontal="left" vertical="center" wrapText="1"/>
      <protection/>
    </xf>
    <xf numFmtId="2" fontId="10" fillId="0" borderId="51" xfId="72" applyNumberFormat="1" applyFont="1" applyFill="1" applyBorder="1" applyAlignment="1">
      <alignment vertical="center" wrapText="1"/>
      <protection/>
    </xf>
    <xf numFmtId="190" fontId="10" fillId="0" borderId="54" xfId="79" applyNumberFormat="1" applyFont="1" applyBorder="1" applyAlignment="1">
      <alignment horizontal="center" vertical="center" wrapText="1"/>
    </xf>
    <xf numFmtId="0" fontId="10" fillId="0" borderId="37" xfId="72" applyFont="1" applyFill="1" applyBorder="1" applyAlignment="1">
      <alignment horizontal="center" vertical="center" wrapText="1"/>
      <protection/>
    </xf>
    <xf numFmtId="0" fontId="10" fillId="0" borderId="63" xfId="72" applyFont="1" applyFill="1" applyBorder="1" applyAlignment="1">
      <alignment horizontal="center" vertical="center" wrapText="1"/>
      <protection/>
    </xf>
    <xf numFmtId="9" fontId="11" fillId="0" borderId="22" xfId="72" applyNumberFormat="1" applyFont="1" applyBorder="1" applyAlignment="1">
      <alignment horizontal="center" vertical="center" wrapText="1"/>
      <protection/>
    </xf>
    <xf numFmtId="0" fontId="11" fillId="0" borderId="57" xfId="72" applyFont="1" applyBorder="1" applyAlignment="1">
      <alignment horizontal="center" vertical="center" wrapText="1"/>
      <protection/>
    </xf>
    <xf numFmtId="9" fontId="10" fillId="0" borderId="64"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2" xfId="81" applyFont="1" applyFill="1" applyBorder="1" applyAlignment="1" applyProtection="1">
      <alignment horizontal="left" vertical="center" wrapText="1"/>
      <protection/>
    </xf>
    <xf numFmtId="9" fontId="10" fillId="0" borderId="58"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71" xfId="81" applyFont="1" applyFill="1" applyBorder="1" applyAlignment="1" applyProtection="1">
      <alignment horizontal="left" vertical="center" wrapText="1"/>
      <protection/>
    </xf>
    <xf numFmtId="3" fontId="10" fillId="0" borderId="64" xfId="72" applyNumberFormat="1" applyFont="1" applyBorder="1" applyAlignment="1">
      <alignment horizontal="center" vertical="center" wrapText="1"/>
      <protection/>
    </xf>
    <xf numFmtId="3" fontId="10" fillId="0" borderId="42" xfId="72" applyNumberFormat="1" applyFont="1" applyBorder="1" applyAlignment="1">
      <alignment horizontal="center" vertical="center" wrapText="1"/>
      <protection/>
    </xf>
    <xf numFmtId="0" fontId="11" fillId="0" borderId="0" xfId="72" applyFont="1" applyFill="1" applyAlignment="1">
      <alignment horizontal="center" vertical="center" wrapText="1"/>
      <protection/>
    </xf>
    <xf numFmtId="2" fontId="10" fillId="0" borderId="50" xfId="72" applyNumberFormat="1" applyFont="1" applyBorder="1" applyAlignment="1">
      <alignment horizontal="left" vertical="center" wrapText="1"/>
      <protection/>
    </xf>
    <xf numFmtId="2" fontId="10" fillId="0" borderId="63" xfId="72" applyNumberFormat="1" applyFont="1" applyBorder="1" applyAlignment="1">
      <alignment horizontal="left" vertical="center" wrapText="1"/>
      <protection/>
    </xf>
    <xf numFmtId="9" fontId="10" fillId="0" borderId="38" xfId="79" applyFont="1" applyFill="1" applyBorder="1" applyAlignment="1" applyProtection="1">
      <alignment horizontal="center" vertical="center" wrapText="1"/>
      <protection/>
    </xf>
    <xf numFmtId="9" fontId="89" fillId="0" borderId="52" xfId="72" applyNumberFormat="1" applyFont="1" applyBorder="1" applyAlignment="1">
      <alignment vertical="center" wrapText="1"/>
      <protection/>
    </xf>
    <xf numFmtId="9" fontId="89" fillId="0" borderId="41" xfId="72" applyNumberFormat="1" applyFont="1" applyBorder="1" applyAlignment="1">
      <alignment vertical="center" wrapText="1"/>
      <protection/>
    </xf>
    <xf numFmtId="9" fontId="89" fillId="0" borderId="65" xfId="72" applyNumberFormat="1" applyFont="1" applyBorder="1" applyAlignment="1">
      <alignment vertical="center" wrapText="1"/>
      <protection/>
    </xf>
    <xf numFmtId="9" fontId="89" fillId="0" borderId="58" xfId="72" applyNumberFormat="1" applyFont="1" applyBorder="1" applyAlignment="1">
      <alignment vertical="center" wrapText="1"/>
      <protection/>
    </xf>
    <xf numFmtId="9" fontId="89" fillId="0" borderId="34" xfId="72" applyNumberFormat="1" applyFont="1" applyBorder="1" applyAlignment="1">
      <alignment vertical="center" wrapText="1"/>
      <protection/>
    </xf>
    <xf numFmtId="9" fontId="89" fillId="0" borderId="35" xfId="72" applyNumberFormat="1" applyFont="1" applyBorder="1" applyAlignment="1">
      <alignment vertical="center" wrapText="1"/>
      <protection/>
    </xf>
    <xf numFmtId="2" fontId="10" fillId="0" borderId="51" xfId="72" applyNumberFormat="1" applyFont="1" applyBorder="1" applyAlignment="1">
      <alignment horizontal="left" vertical="center" wrapText="1"/>
      <protection/>
    </xf>
    <xf numFmtId="2" fontId="10" fillId="0" borderId="20" xfId="72" applyNumberFormat="1" applyFont="1" applyBorder="1" applyAlignment="1">
      <alignment horizontal="left" vertical="center" wrapText="1"/>
      <protection/>
    </xf>
    <xf numFmtId="9" fontId="10" fillId="0" borderId="54" xfId="79" applyFont="1" applyBorder="1" applyAlignment="1">
      <alignment horizontal="center" vertical="center" wrapText="1"/>
    </xf>
    <xf numFmtId="9" fontId="10" fillId="0" borderId="16" xfId="79" applyFont="1" applyBorder="1" applyAlignment="1">
      <alignment horizontal="center" vertical="center" wrapText="1"/>
    </xf>
    <xf numFmtId="9" fontId="89" fillId="0" borderId="39" xfId="72" applyNumberFormat="1" applyFont="1" applyBorder="1" applyAlignment="1">
      <alignment horizontal="left" vertical="center" wrapText="1"/>
      <protection/>
    </xf>
    <xf numFmtId="9" fontId="89" fillId="0" borderId="15" xfId="72" applyNumberFormat="1" applyFont="1" applyBorder="1" applyAlignment="1">
      <alignment horizontal="left" vertical="center" wrapText="1"/>
      <protection/>
    </xf>
    <xf numFmtId="9" fontId="89" fillId="0" borderId="19" xfId="72" applyNumberFormat="1" applyFont="1" applyBorder="1" applyAlignment="1">
      <alignment horizontal="left" vertical="center" wrapText="1"/>
      <protection/>
    </xf>
    <xf numFmtId="9" fontId="10" fillId="0" borderId="22" xfId="72" applyNumberFormat="1" applyFont="1" applyBorder="1" applyAlignment="1">
      <alignment horizontal="center" vertical="center" wrapText="1"/>
      <protection/>
    </xf>
    <xf numFmtId="0" fontId="10" fillId="0" borderId="57" xfId="72" applyFont="1" applyBorder="1" applyAlignment="1">
      <alignment horizontal="center" vertical="center" wrapText="1"/>
      <protection/>
    </xf>
    <xf numFmtId="9" fontId="10" fillId="0" borderId="65"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0" fontId="10" fillId="0" borderId="83" xfId="72" applyFont="1" applyBorder="1" applyAlignment="1">
      <alignment horizontal="center" vertical="center" wrapText="1"/>
      <protection/>
    </xf>
    <xf numFmtId="0" fontId="10" fillId="0" borderId="84" xfId="72" applyFont="1" applyBorder="1" applyAlignment="1">
      <alignment horizontal="center" vertical="center" wrapText="1"/>
      <protection/>
    </xf>
    <xf numFmtId="0" fontId="10" fillId="0" borderId="85" xfId="72" applyFont="1" applyBorder="1" applyAlignment="1">
      <alignment horizontal="center" vertical="center" wrapText="1"/>
      <protection/>
    </xf>
    <xf numFmtId="0" fontId="11" fillId="0" borderId="80" xfId="72" applyFont="1" applyBorder="1" applyAlignment="1">
      <alignment horizontal="center" vertical="center"/>
      <protection/>
    </xf>
    <xf numFmtId="0" fontId="11" fillId="0" borderId="26" xfId="72" applyFont="1" applyBorder="1" applyAlignment="1">
      <alignment horizontal="center" vertical="center"/>
      <protection/>
    </xf>
    <xf numFmtId="0" fontId="11" fillId="0" borderId="27" xfId="72" applyFont="1" applyBorder="1" applyAlignment="1">
      <alignment horizontal="center" vertical="center"/>
      <protection/>
    </xf>
    <xf numFmtId="2" fontId="10" fillId="0" borderId="37" xfId="72" applyNumberFormat="1" applyFont="1" applyBorder="1" applyAlignment="1">
      <alignment horizontal="left" vertical="center" wrapText="1"/>
      <protection/>
    </xf>
    <xf numFmtId="9" fontId="10" fillId="0" borderId="22" xfId="79" applyFont="1" applyBorder="1" applyAlignment="1">
      <alignment horizontal="center" vertical="center" wrapText="1"/>
    </xf>
    <xf numFmtId="9" fontId="10" fillId="0" borderId="64" xfId="72" applyNumberFormat="1" applyFont="1" applyFill="1" applyBorder="1" applyAlignment="1">
      <alignment horizontal="left" vertical="center" wrapText="1"/>
      <protection/>
    </xf>
    <xf numFmtId="9" fontId="10" fillId="0" borderId="41" xfId="72" applyNumberFormat="1" applyFont="1" applyFill="1" applyBorder="1" applyAlignment="1">
      <alignment horizontal="left" vertical="center" wrapText="1"/>
      <protection/>
    </xf>
    <xf numFmtId="9" fontId="10" fillId="0" borderId="65" xfId="72" applyNumberFormat="1" applyFont="1" applyFill="1" applyBorder="1" applyAlignment="1">
      <alignment horizontal="left" vertical="center" wrapText="1"/>
      <protection/>
    </xf>
    <xf numFmtId="9" fontId="10" fillId="0" borderId="66" xfId="72" applyNumberFormat="1" applyFont="1" applyFill="1" applyBorder="1" applyAlignment="1">
      <alignment horizontal="left" vertical="center" wrapText="1"/>
      <protection/>
    </xf>
    <xf numFmtId="9" fontId="10" fillId="0" borderId="0" xfId="72" applyNumberFormat="1" applyFont="1" applyFill="1" applyAlignment="1">
      <alignment horizontal="left" vertical="center" wrapText="1"/>
      <protection/>
    </xf>
    <xf numFmtId="9" fontId="10" fillId="0" borderId="29" xfId="72" applyNumberFormat="1" applyFont="1" applyFill="1" applyBorder="1" applyAlignment="1">
      <alignment horizontal="left" vertical="center" wrapText="1"/>
      <protection/>
    </xf>
    <xf numFmtId="0" fontId="11" fillId="0" borderId="28" xfId="72" applyFont="1" applyBorder="1" applyAlignment="1">
      <alignment horizontal="center" vertical="center"/>
      <protection/>
    </xf>
    <xf numFmtId="0" fontId="11" fillId="0" borderId="0" xfId="72" applyFont="1" applyAlignment="1">
      <alignment horizontal="center" vertical="center"/>
      <protection/>
    </xf>
    <xf numFmtId="0" fontId="11" fillId="0" borderId="29" xfId="72" applyFont="1" applyBorder="1" applyAlignment="1">
      <alignment horizontal="center" vertical="center"/>
      <protection/>
    </xf>
    <xf numFmtId="0" fontId="11" fillId="0" borderId="61" xfId="0" applyFont="1" applyBorder="1" applyAlignment="1">
      <alignment horizontal="left" vertical="center" wrapText="1"/>
    </xf>
    <xf numFmtId="0" fontId="11" fillId="0" borderId="69" xfId="0" applyFont="1" applyBorder="1" applyAlignment="1">
      <alignment horizontal="left" vertical="center" wrapText="1"/>
    </xf>
    <xf numFmtId="0" fontId="11" fillId="0" borderId="7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190" fontId="10" fillId="0" borderId="54" xfId="79" applyNumberFormat="1" applyFont="1" applyFill="1" applyBorder="1" applyAlignment="1" applyProtection="1">
      <alignment horizontal="center" vertical="center" wrapText="1"/>
      <protection/>
    </xf>
    <xf numFmtId="190" fontId="10" fillId="0" borderId="16" xfId="79" applyNumberFormat="1" applyFont="1" applyFill="1" applyBorder="1" applyAlignment="1" applyProtection="1">
      <alignment horizontal="center" vertical="center" wrapText="1"/>
      <protection/>
    </xf>
    <xf numFmtId="0" fontId="0" fillId="0" borderId="51" xfId="0" applyBorder="1" applyAlignment="1">
      <alignment horizontal="left" vertical="center" wrapText="1"/>
    </xf>
    <xf numFmtId="2" fontId="10" fillId="0" borderId="87" xfId="72" applyNumberFormat="1" applyFont="1" applyBorder="1" applyAlignment="1">
      <alignment horizontal="left" vertical="center" wrapText="1"/>
      <protection/>
    </xf>
    <xf numFmtId="0" fontId="0" fillId="0" borderId="63" xfId="0" applyBorder="1" applyAlignment="1">
      <alignment horizontal="left" vertical="center" wrapText="1"/>
    </xf>
    <xf numFmtId="190" fontId="10" fillId="0" borderId="22" xfId="79" applyNumberFormat="1" applyFont="1" applyFill="1" applyBorder="1" applyAlignment="1" applyProtection="1">
      <alignment horizontal="center" vertical="center" wrapText="1"/>
      <protection/>
    </xf>
    <xf numFmtId="190" fontId="10" fillId="0" borderId="57" xfId="79" applyNumberFormat="1" applyFont="1" applyFill="1" applyBorder="1" applyAlignment="1" applyProtection="1">
      <alignment horizontal="center" vertical="center" wrapText="1"/>
      <protection/>
    </xf>
    <xf numFmtId="199" fontId="11" fillId="0" borderId="88" xfId="72" applyNumberFormat="1" applyFont="1" applyBorder="1" applyAlignment="1">
      <alignment horizontal="center" vertical="center" wrapText="1"/>
      <protection/>
    </xf>
    <xf numFmtId="199" fontId="11" fillId="0" borderId="26" xfId="72" applyNumberFormat="1" applyFont="1" applyBorder="1" applyAlignment="1">
      <alignment horizontal="center" vertical="center" wrapText="1"/>
      <protection/>
    </xf>
    <xf numFmtId="199" fontId="11" fillId="0" borderId="89" xfId="72" applyNumberFormat="1" applyFont="1" applyBorder="1" applyAlignment="1">
      <alignment horizontal="center" vertical="center" wrapText="1"/>
      <protection/>
    </xf>
    <xf numFmtId="199" fontId="11" fillId="0" borderId="66" xfId="72" applyNumberFormat="1" applyFont="1" applyBorder="1" applyAlignment="1">
      <alignment horizontal="center" vertical="center" wrapText="1"/>
      <protection/>
    </xf>
    <xf numFmtId="199" fontId="11" fillId="0" borderId="0" xfId="72" applyNumberFormat="1" applyFont="1" applyAlignment="1">
      <alignment horizontal="center" vertical="center" wrapText="1"/>
      <protection/>
    </xf>
    <xf numFmtId="199" fontId="11" fillId="0" borderId="43" xfId="72" applyNumberFormat="1" applyFont="1" applyBorder="1" applyAlignment="1">
      <alignment horizontal="center" vertical="center" wrapText="1"/>
      <protection/>
    </xf>
    <xf numFmtId="199" fontId="11" fillId="0" borderId="58" xfId="72" applyNumberFormat="1" applyFont="1" applyBorder="1" applyAlignment="1">
      <alignment horizontal="center" vertical="center" wrapText="1"/>
      <protection/>
    </xf>
    <xf numFmtId="199" fontId="11" fillId="0" borderId="34" xfId="72" applyNumberFormat="1" applyFont="1" applyBorder="1" applyAlignment="1">
      <alignment horizontal="center" vertical="center" wrapText="1"/>
      <protection/>
    </xf>
    <xf numFmtId="199" fontId="11" fillId="0" borderId="71" xfId="72" applyNumberFormat="1" applyFont="1" applyBorder="1" applyAlignment="1">
      <alignment horizontal="center" vertical="center" wrapText="1"/>
      <protection/>
    </xf>
    <xf numFmtId="0" fontId="11" fillId="38" borderId="26" xfId="72" applyFont="1" applyFill="1" applyBorder="1" applyAlignment="1">
      <alignment horizontal="center" vertical="center" wrapText="1"/>
      <protection/>
    </xf>
    <xf numFmtId="0" fontId="11" fillId="38" borderId="0" xfId="72" applyFont="1" applyFill="1" applyAlignment="1">
      <alignment horizontal="center" vertical="center" wrapText="1"/>
      <protection/>
    </xf>
    <xf numFmtId="0" fontId="11" fillId="38" borderId="34" xfId="72" applyFont="1" applyFill="1" applyBorder="1" applyAlignment="1">
      <alignment horizontal="center" vertical="center" wrapText="1"/>
      <protection/>
    </xf>
    <xf numFmtId="0" fontId="11" fillId="38" borderId="14" xfId="72" applyFont="1" applyFill="1" applyBorder="1" applyAlignment="1">
      <alignment horizontal="left" vertical="center" wrapText="1"/>
      <protection/>
    </xf>
    <xf numFmtId="0" fontId="11" fillId="38" borderId="70" xfId="72" applyFont="1" applyFill="1" applyBorder="1" applyAlignment="1">
      <alignment horizontal="left" vertical="center" wrapText="1"/>
      <protection/>
    </xf>
    <xf numFmtId="0" fontId="11" fillId="38" borderId="17" xfId="72" applyFont="1" applyFill="1" applyBorder="1" applyAlignment="1">
      <alignment horizontal="left" vertical="center" wrapText="1"/>
      <protection/>
    </xf>
    <xf numFmtId="0" fontId="11" fillId="38" borderId="45" xfId="72" applyFont="1" applyFill="1" applyBorder="1" applyAlignment="1">
      <alignment horizontal="left" vertical="center" wrapText="1"/>
      <protection/>
    </xf>
    <xf numFmtId="0" fontId="11" fillId="38" borderId="40" xfId="72" applyFont="1" applyFill="1" applyBorder="1" applyAlignment="1">
      <alignment horizontal="left" vertical="center" wrapText="1"/>
      <protection/>
    </xf>
    <xf numFmtId="0" fontId="11" fillId="38" borderId="86" xfId="72" applyFont="1" applyFill="1" applyBorder="1" applyAlignment="1">
      <alignment horizontal="left" vertical="center" wrapText="1"/>
      <protection/>
    </xf>
    <xf numFmtId="0" fontId="11" fillId="38" borderId="79" xfId="72" applyFont="1" applyFill="1" applyBorder="1" applyAlignment="1">
      <alignment horizontal="left" vertical="center" wrapText="1"/>
      <protection/>
    </xf>
    <xf numFmtId="0" fontId="11" fillId="38" borderId="77" xfId="72" applyFont="1" applyFill="1" applyBorder="1" applyAlignment="1">
      <alignment horizontal="left" vertical="center" wrapText="1"/>
      <protection/>
    </xf>
    <xf numFmtId="14" fontId="104" fillId="0" borderId="13" xfId="0" applyNumberFormat="1" applyFont="1" applyFill="1" applyBorder="1" applyAlignment="1">
      <alignment horizontal="center" vertical="center"/>
    </xf>
    <xf numFmtId="0" fontId="91" fillId="0" borderId="14" xfId="0" applyFont="1" applyBorder="1" applyAlignment="1">
      <alignment horizontal="center" vertical="center" wrapText="1"/>
    </xf>
    <xf numFmtId="0" fontId="91" fillId="0" borderId="17" xfId="0" applyFont="1" applyBorder="1" applyAlignment="1">
      <alignment horizontal="center" vertical="center" wrapText="1"/>
    </xf>
    <xf numFmtId="0" fontId="91" fillId="41" borderId="64" xfId="72" applyFont="1" applyFill="1" applyBorder="1" applyAlignment="1">
      <alignment horizontal="center" vertical="center" wrapText="1"/>
      <protection/>
    </xf>
    <xf numFmtId="0" fontId="91" fillId="41" borderId="41" xfId="72" applyFont="1" applyFill="1" applyBorder="1" applyAlignment="1">
      <alignment horizontal="center" vertical="center" wrapText="1"/>
      <protection/>
    </xf>
    <xf numFmtId="0" fontId="91" fillId="41" borderId="42" xfId="72" applyFont="1" applyFill="1" applyBorder="1" applyAlignment="1">
      <alignment horizontal="center" vertical="center" wrapText="1"/>
      <protection/>
    </xf>
    <xf numFmtId="0" fontId="91" fillId="41" borderId="66" xfId="72" applyFont="1" applyFill="1" applyBorder="1" applyAlignment="1">
      <alignment horizontal="center" vertical="center" wrapText="1"/>
      <protection/>
    </xf>
    <xf numFmtId="0" fontId="91" fillId="41" borderId="0" xfId="72" applyFont="1" applyFill="1" applyBorder="1" applyAlignment="1">
      <alignment horizontal="center" vertical="center" wrapText="1"/>
      <protection/>
    </xf>
    <xf numFmtId="0" fontId="91" fillId="41" borderId="43" xfId="72" applyFont="1" applyFill="1" applyBorder="1" applyAlignment="1">
      <alignment horizontal="center" vertical="center" wrapText="1"/>
      <protection/>
    </xf>
    <xf numFmtId="0" fontId="91" fillId="41" borderId="39" xfId="72" applyFont="1" applyFill="1" applyBorder="1" applyAlignment="1">
      <alignment horizontal="center" vertical="center" wrapText="1"/>
      <protection/>
    </xf>
    <xf numFmtId="0" fontId="91" fillId="41" borderId="15" xfId="72" applyFont="1" applyFill="1" applyBorder="1" applyAlignment="1">
      <alignment horizontal="center" vertical="center" wrapText="1"/>
      <protection/>
    </xf>
    <xf numFmtId="0" fontId="91" fillId="41" borderId="44" xfId="72" applyFont="1" applyFill="1" applyBorder="1" applyAlignment="1">
      <alignment horizontal="center" vertical="center" wrapText="1"/>
      <protection/>
    </xf>
    <xf numFmtId="0" fontId="11" fillId="41" borderId="64" xfId="72" applyFont="1" applyFill="1" applyBorder="1" applyAlignment="1">
      <alignment horizontal="center" vertical="center" wrapText="1"/>
      <protection/>
    </xf>
    <xf numFmtId="0" fontId="11" fillId="41" borderId="41" xfId="72" applyFont="1" applyFill="1" applyBorder="1" applyAlignment="1">
      <alignment horizontal="center" vertical="center" wrapText="1"/>
      <protection/>
    </xf>
    <xf numFmtId="0" fontId="11" fillId="41" borderId="42" xfId="72" applyFont="1" applyFill="1" applyBorder="1" applyAlignment="1">
      <alignment horizontal="center" vertical="center" wrapText="1"/>
      <protection/>
    </xf>
    <xf numFmtId="0" fontId="11" fillId="41" borderId="66" xfId="72" applyFont="1" applyFill="1" applyBorder="1" applyAlignment="1">
      <alignment horizontal="center" vertical="center" wrapText="1"/>
      <protection/>
    </xf>
    <xf numFmtId="0" fontId="11" fillId="41" borderId="0" xfId="72" applyFont="1" applyFill="1" applyBorder="1" applyAlignment="1">
      <alignment horizontal="center" vertical="center" wrapText="1"/>
      <protection/>
    </xf>
    <xf numFmtId="0" fontId="11" fillId="41" borderId="43" xfId="72" applyFont="1" applyFill="1" applyBorder="1" applyAlignment="1">
      <alignment horizontal="center" vertical="center" wrapText="1"/>
      <protection/>
    </xf>
    <xf numFmtId="0" fontId="11" fillId="41" borderId="39" xfId="72" applyFont="1" applyFill="1" applyBorder="1" applyAlignment="1">
      <alignment horizontal="center" vertical="center" wrapText="1"/>
      <protection/>
    </xf>
    <xf numFmtId="0" fontId="11" fillId="41" borderId="15" xfId="72" applyFont="1" applyFill="1" applyBorder="1" applyAlignment="1">
      <alignment horizontal="center" vertical="center" wrapText="1"/>
      <protection/>
    </xf>
    <xf numFmtId="0" fontId="11" fillId="41" borderId="44" xfId="72" applyFont="1" applyFill="1" applyBorder="1" applyAlignment="1">
      <alignment horizontal="center" vertical="center" wrapText="1"/>
      <protection/>
    </xf>
    <xf numFmtId="0" fontId="91" fillId="0" borderId="14" xfId="0" applyFont="1" applyBorder="1" applyAlignment="1">
      <alignment horizontal="left" vertical="center" wrapText="1"/>
    </xf>
    <xf numFmtId="0" fontId="91" fillId="0" borderId="17" xfId="0" applyFont="1" applyBorder="1" applyAlignment="1">
      <alignment horizontal="left" vertical="center" wrapText="1"/>
    </xf>
    <xf numFmtId="0" fontId="11" fillId="0" borderId="14" xfId="0" applyFont="1" applyBorder="1" applyAlignment="1">
      <alignment horizontal="left" vertical="center" wrapText="1"/>
    </xf>
    <xf numFmtId="0" fontId="91" fillId="0" borderId="14" xfId="0" applyFont="1" applyBorder="1" applyAlignment="1">
      <alignment horizontal="center" vertical="center"/>
    </xf>
    <xf numFmtId="0" fontId="91" fillId="0" borderId="70" xfId="0" applyFont="1" applyBorder="1" applyAlignment="1">
      <alignment horizontal="center" vertical="center"/>
    </xf>
    <xf numFmtId="0" fontId="91" fillId="0" borderId="17" xfId="0" applyFont="1" applyBorder="1" applyAlignment="1">
      <alignment horizontal="center" vertical="center"/>
    </xf>
    <xf numFmtId="0" fontId="89" fillId="0" borderId="22" xfId="59" applyNumberFormat="1" applyFont="1" applyBorder="1" applyAlignment="1">
      <alignment horizontal="center" vertical="center" wrapText="1"/>
    </xf>
    <xf numFmtId="0" fontId="89" fillId="0" borderId="16" xfId="59" applyNumberFormat="1" applyFont="1" applyBorder="1" applyAlignment="1">
      <alignment horizontal="center" vertical="center" wrapText="1"/>
    </xf>
    <xf numFmtId="0" fontId="89" fillId="0" borderId="22" xfId="0" applyFont="1" applyBorder="1" applyAlignment="1">
      <alignment horizontal="center" vertical="center"/>
    </xf>
    <xf numFmtId="0" fontId="89" fillId="0" borderId="16" xfId="0" applyFont="1" applyBorder="1" applyAlignment="1">
      <alignment horizontal="center" vertical="center"/>
    </xf>
    <xf numFmtId="9" fontId="89" fillId="0" borderId="22" xfId="79" applyFont="1" applyBorder="1" applyAlignment="1">
      <alignment horizontal="center" vertical="center" wrapText="1"/>
    </xf>
    <xf numFmtId="9" fontId="89" fillId="0" borderId="16" xfId="79" applyFont="1" applyBorder="1" applyAlignment="1">
      <alignment horizontal="center" vertical="center" wrapText="1"/>
    </xf>
    <xf numFmtId="9" fontId="89" fillId="0" borderId="22" xfId="79" applyFont="1" applyBorder="1" applyAlignment="1">
      <alignment horizontal="center" vertical="center"/>
    </xf>
    <xf numFmtId="9" fontId="89" fillId="0" borderId="16" xfId="79" applyFont="1" applyBorder="1" applyAlignment="1">
      <alignment horizontal="center" vertical="center"/>
    </xf>
    <xf numFmtId="0" fontId="89" fillId="0" borderId="22" xfId="79" applyNumberFormat="1" applyFont="1" applyBorder="1" applyAlignment="1">
      <alignment horizontal="left" vertical="center" wrapText="1"/>
    </xf>
    <xf numFmtId="0" fontId="89" fillId="0" borderId="16" xfId="79" applyNumberFormat="1" applyFont="1" applyBorder="1" applyAlignment="1">
      <alignment horizontal="left" vertical="center" wrapText="1"/>
    </xf>
    <xf numFmtId="0" fontId="10" fillId="44" borderId="22" xfId="79" applyNumberFormat="1" applyFont="1" applyFill="1" applyBorder="1" applyAlignment="1">
      <alignment horizontal="center" vertical="center"/>
    </xf>
    <xf numFmtId="0" fontId="10" fillId="44" borderId="16" xfId="79" applyNumberFormat="1" applyFont="1" applyFill="1" applyBorder="1" applyAlignment="1">
      <alignment horizontal="center" vertical="center"/>
    </xf>
    <xf numFmtId="0" fontId="10" fillId="0" borderId="22" xfId="79" applyNumberFormat="1" applyFont="1" applyBorder="1" applyAlignment="1">
      <alignment horizontal="center" vertical="center" wrapText="1"/>
    </xf>
    <xf numFmtId="0" fontId="10" fillId="0" borderId="16" xfId="79" applyNumberFormat="1" applyFont="1" applyBorder="1" applyAlignment="1">
      <alignment horizontal="center" vertical="center" wrapText="1"/>
    </xf>
    <xf numFmtId="0" fontId="91" fillId="11" borderId="0" xfId="0" applyFont="1" applyFill="1" applyAlignment="1">
      <alignment horizontal="center" vertical="center"/>
    </xf>
    <xf numFmtId="0" fontId="91" fillId="0" borderId="13" xfId="0" applyFont="1" applyBorder="1" applyAlignment="1">
      <alignment horizontal="center" vertical="center" wrapText="1"/>
    </xf>
    <xf numFmtId="0" fontId="91" fillId="11" borderId="13" xfId="0" applyFont="1" applyFill="1" applyBorder="1" applyAlignment="1">
      <alignment horizontal="center" vertical="center" wrapText="1"/>
    </xf>
    <xf numFmtId="0" fontId="11" fillId="38" borderId="16" xfId="72" applyFont="1" applyFill="1" applyBorder="1" applyAlignment="1">
      <alignment horizontal="left" vertical="center" wrapText="1"/>
      <protection/>
    </xf>
    <xf numFmtId="0" fontId="11" fillId="0" borderId="13" xfId="0" applyFont="1" applyBorder="1" applyAlignment="1">
      <alignment horizontal="center" vertical="center" wrapText="1"/>
    </xf>
    <xf numFmtId="0" fontId="91" fillId="11" borderId="13" xfId="0" applyFont="1" applyFill="1" applyBorder="1" applyAlignment="1">
      <alignment horizontal="left" vertical="center"/>
    </xf>
    <xf numFmtId="0" fontId="89" fillId="0" borderId="13" xfId="0" applyFont="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10" fillId="0" borderId="64" xfId="0" applyFont="1" applyFill="1" applyBorder="1" applyAlignment="1" quotePrefix="1">
      <alignment horizontal="lef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4"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90" xfId="0" applyFont="1" applyFill="1" applyBorder="1" applyAlignment="1">
      <alignment horizontal="left" vertical="top" wrapText="1"/>
    </xf>
    <xf numFmtId="0" fontId="10" fillId="0" borderId="64"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91"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92" xfId="0" applyFont="1" applyFill="1" applyBorder="1" applyAlignment="1">
      <alignment horizontal="left" vertical="top" wrapText="1"/>
    </xf>
    <xf numFmtId="0" fontId="10" fillId="0" borderId="93" xfId="0" applyFont="1" applyFill="1" applyBorder="1" applyAlignment="1">
      <alignment horizontal="left" vertical="top" wrapText="1"/>
    </xf>
    <xf numFmtId="0" fontId="10" fillId="0" borderId="94" xfId="0" applyFont="1" applyFill="1" applyBorder="1" applyAlignment="1">
      <alignment horizontal="left" vertical="top" wrapText="1"/>
    </xf>
    <xf numFmtId="0" fontId="10" fillId="0" borderId="92"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95" xfId="0" applyFont="1" applyFill="1" applyBorder="1" applyAlignment="1">
      <alignment horizontal="left" vertical="center" wrapText="1"/>
    </xf>
    <xf numFmtId="0" fontId="10" fillId="0" borderId="35" xfId="0" applyFont="1" applyFill="1" applyBorder="1" applyAlignment="1">
      <alignment horizontal="left" vertical="center" wrapText="1"/>
    </xf>
    <xf numFmtId="9" fontId="19" fillId="0" borderId="64" xfId="72" applyNumberFormat="1" applyFont="1" applyFill="1" applyBorder="1" applyAlignment="1">
      <alignment vertical="center" wrapText="1"/>
      <protection/>
    </xf>
    <xf numFmtId="9" fontId="19" fillId="0" borderId="41" xfId="72" applyNumberFormat="1" applyFont="1" applyFill="1" applyBorder="1" applyAlignment="1">
      <alignment vertical="center" wrapText="1"/>
      <protection/>
    </xf>
    <xf numFmtId="9" fontId="19" fillId="0" borderId="65" xfId="72" applyNumberFormat="1" applyFont="1" applyFill="1" applyBorder="1" applyAlignment="1">
      <alignment vertical="center" wrapText="1"/>
      <protection/>
    </xf>
    <xf numFmtId="9" fontId="19" fillId="0" borderId="39" xfId="72" applyNumberFormat="1" applyFont="1" applyFill="1" applyBorder="1" applyAlignment="1">
      <alignment vertical="center" wrapText="1"/>
      <protection/>
    </xf>
    <xf numFmtId="9" fontId="19" fillId="0" borderId="15" xfId="72" applyNumberFormat="1" applyFont="1" applyFill="1" applyBorder="1" applyAlignment="1">
      <alignment vertical="center" wrapText="1"/>
      <protection/>
    </xf>
    <xf numFmtId="9" fontId="19" fillId="0" borderId="19" xfId="72" applyNumberFormat="1" applyFont="1" applyFill="1" applyBorder="1" applyAlignment="1">
      <alignment vertical="center" wrapText="1"/>
      <protection/>
    </xf>
    <xf numFmtId="9" fontId="19" fillId="0" borderId="64" xfId="72" applyNumberFormat="1" applyFont="1" applyFill="1" applyBorder="1" applyAlignment="1">
      <alignment vertical="top" wrapText="1"/>
      <protection/>
    </xf>
    <xf numFmtId="9" fontId="19" fillId="0" borderId="41" xfId="72" applyNumberFormat="1" applyFont="1" applyFill="1" applyBorder="1" applyAlignment="1">
      <alignment vertical="top" wrapText="1"/>
      <protection/>
    </xf>
    <xf numFmtId="9" fontId="19" fillId="0" borderId="65" xfId="72" applyNumberFormat="1" applyFont="1" applyFill="1" applyBorder="1" applyAlignment="1">
      <alignment vertical="top" wrapText="1"/>
      <protection/>
    </xf>
    <xf numFmtId="9" fontId="19" fillId="0" borderId="66" xfId="72" applyNumberFormat="1" applyFont="1" applyFill="1" applyBorder="1" applyAlignment="1">
      <alignment vertical="top" wrapText="1"/>
      <protection/>
    </xf>
    <xf numFmtId="9" fontId="19" fillId="0" borderId="0" xfId="72" applyNumberFormat="1" applyFont="1" applyFill="1" applyAlignment="1">
      <alignment vertical="top" wrapText="1"/>
      <protection/>
    </xf>
    <xf numFmtId="9" fontId="19" fillId="0" borderId="29" xfId="72" applyNumberFormat="1" applyFont="1" applyFill="1" applyBorder="1" applyAlignment="1">
      <alignment vertical="top" wrapText="1"/>
      <protection/>
    </xf>
    <xf numFmtId="9" fontId="19" fillId="0" borderId="58" xfId="72" applyNumberFormat="1" applyFont="1" applyFill="1" applyBorder="1" applyAlignment="1">
      <alignment vertical="center" wrapText="1"/>
      <protection/>
    </xf>
    <xf numFmtId="9" fontId="19" fillId="0" borderId="34" xfId="72" applyNumberFormat="1" applyFont="1" applyFill="1" applyBorder="1" applyAlignment="1">
      <alignment vertical="center" wrapText="1"/>
      <protection/>
    </xf>
    <xf numFmtId="9" fontId="19" fillId="0" borderId="35" xfId="72" applyNumberFormat="1" applyFont="1" applyFill="1" applyBorder="1" applyAlignment="1">
      <alignment vertical="center" wrapText="1"/>
      <protection/>
    </xf>
    <xf numFmtId="0" fontId="10" fillId="38" borderId="13" xfId="79" applyNumberFormat="1" applyFont="1" applyFill="1" applyBorder="1" applyAlignment="1">
      <alignment vertical="center" wrapText="1"/>
    </xf>
    <xf numFmtId="0" fontId="10" fillId="38" borderId="13" xfId="0" applyFont="1" applyFill="1" applyBorder="1" applyAlignment="1">
      <alignment vertical="center" wrapText="1"/>
    </xf>
    <xf numFmtId="9" fontId="10" fillId="0" borderId="13" xfId="79" applyFont="1" applyFill="1" applyBorder="1" applyAlignment="1">
      <alignment vertical="center" wrapText="1"/>
    </xf>
    <xf numFmtId="9" fontId="10" fillId="0" borderId="22" xfId="79" applyFont="1" applyBorder="1" applyAlignment="1">
      <alignment horizontal="left" vertical="center" wrapText="1"/>
    </xf>
    <xf numFmtId="9" fontId="10" fillId="0" borderId="16" xfId="79" applyFont="1" applyBorder="1" applyAlignment="1">
      <alignment horizontal="left" vertical="center" wrapText="1"/>
    </xf>
    <xf numFmtId="0" fontId="89" fillId="0" borderId="22" xfId="0" applyFont="1" applyBorder="1" applyAlignment="1">
      <alignment horizontal="center" vertical="center" wrapText="1"/>
    </xf>
    <xf numFmtId="0" fontId="89" fillId="0" borderId="16" xfId="0" applyFont="1" applyBorder="1" applyAlignment="1">
      <alignment horizontal="center" vertical="center" wrapText="1"/>
    </xf>
    <xf numFmtId="9" fontId="89" fillId="0" borderId="22" xfId="0" applyNumberFormat="1" applyFont="1" applyBorder="1" applyAlignment="1">
      <alignment horizontal="center" vertical="center"/>
    </xf>
    <xf numFmtId="9" fontId="89" fillId="0" borderId="16" xfId="0" applyNumberFormat="1" applyFont="1" applyBorder="1" applyAlignment="1">
      <alignment horizontal="center" vertical="center"/>
    </xf>
    <xf numFmtId="9" fontId="10" fillId="0" borderId="16" xfId="72" applyNumberFormat="1" applyFont="1" applyBorder="1" applyAlignment="1">
      <alignment horizontal="center" vertical="center" wrapText="1"/>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15</xdr:row>
      <xdr:rowOff>2428875</xdr:rowOff>
    </xdr:from>
    <xdr:to>
      <xdr:col>7</xdr:col>
      <xdr:colOff>238125</xdr:colOff>
      <xdr:row>15</xdr:row>
      <xdr:rowOff>2428875</xdr:rowOff>
    </xdr:to>
    <xdr:pic>
      <xdr:nvPicPr>
        <xdr:cNvPr id="1" name="Entrada de lápiz 1"/>
        <xdr:cNvPicPr preferRelativeResize="1">
          <a:picLocks noChangeAspect="1"/>
        </xdr:cNvPicPr>
      </xdr:nvPicPr>
      <xdr:blipFill>
        <a:blip r:embed="rId1"/>
        <a:stretch>
          <a:fillRect/>
        </a:stretch>
      </xdr:blipFill>
      <xdr:spPr>
        <a:xfrm>
          <a:off x="5257800" y="11734800"/>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11</xdr:row>
      <xdr:rowOff>542925</xdr:rowOff>
    </xdr:from>
    <xdr:to>
      <xdr:col>18</xdr:col>
      <xdr:colOff>152400</xdr:colOff>
      <xdr:row>12</xdr:row>
      <xdr:rowOff>542925</xdr:rowOff>
    </xdr:to>
    <xdr:pic>
      <xdr:nvPicPr>
        <xdr:cNvPr id="1" name="Entrada de lápiz 7"/>
        <xdr:cNvPicPr preferRelativeResize="1">
          <a:picLocks noChangeAspect="1"/>
        </xdr:cNvPicPr>
      </xdr:nvPicPr>
      <xdr:blipFill>
        <a:blip r:embed="rId1"/>
        <a:stretch>
          <a:fillRect/>
        </a:stretch>
      </xdr:blipFill>
      <xdr:spPr>
        <a:xfrm>
          <a:off x="17068800" y="2981325"/>
          <a:ext cx="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2"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3"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5" name="Entrada de lápiz 4"/>
        <xdr:cNvPicPr preferRelativeResize="1">
          <a:picLocks noChangeAspect="1"/>
        </xdr:cNvPicPr>
      </xdr:nvPicPr>
      <xdr:blipFill>
        <a:blip r:embed="rId1"/>
        <a:stretch>
          <a:fillRect/>
        </a:stretch>
      </xdr:blipFill>
      <xdr:spPr>
        <a:xfrm>
          <a:off x="5381625" y="5457825"/>
          <a:ext cx="0" cy="0"/>
        </a:xfrm>
        <a:prstGeom prst="rect">
          <a:avLst/>
        </a:prstGeom>
        <a:noFill/>
        <a:ln w="9525" cmpd="sng">
          <a:noFill/>
        </a:ln>
      </xdr:spPr>
    </xdr:pic>
    <xdr:clientData/>
  </xdr:twoCellAnchor>
  <xdr:twoCellAnchor editAs="oneCell">
    <xdr:from>
      <xdr:col>7</xdr:col>
      <xdr:colOff>247650</xdr:colOff>
      <xdr:row>14</xdr:row>
      <xdr:rowOff>0</xdr:rowOff>
    </xdr:from>
    <xdr:to>
      <xdr:col>7</xdr:col>
      <xdr:colOff>247650</xdr:colOff>
      <xdr:row>14</xdr:row>
      <xdr:rowOff>0</xdr:rowOff>
    </xdr:to>
    <xdr:pic>
      <xdr:nvPicPr>
        <xdr:cNvPr id="6" name="Entrada de lápiz 4"/>
        <xdr:cNvPicPr preferRelativeResize="1">
          <a:picLocks noChangeAspect="1"/>
        </xdr:cNvPicPr>
      </xdr:nvPicPr>
      <xdr:blipFill>
        <a:blip r:embed="rId1"/>
        <a:stretch>
          <a:fillRect/>
        </a:stretch>
      </xdr:blipFill>
      <xdr:spPr>
        <a:xfrm>
          <a:off x="5381625" y="7934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7" name="Entrada de lápiz 4"/>
        <xdr:cNvPicPr preferRelativeResize="1">
          <a:picLocks noChangeAspect="1"/>
        </xdr:cNvPicPr>
      </xdr:nvPicPr>
      <xdr:blipFill>
        <a:blip r:embed="rId1"/>
        <a:stretch>
          <a:fillRect/>
        </a:stretch>
      </xdr:blipFill>
      <xdr:spPr>
        <a:xfrm>
          <a:off x="5381625" y="11744325"/>
          <a:ext cx="0" cy="0"/>
        </a:xfrm>
        <a:prstGeom prst="rect">
          <a:avLst/>
        </a:prstGeom>
        <a:noFill/>
        <a:ln w="9525" cmpd="sng">
          <a:noFill/>
        </a:ln>
      </xdr:spPr>
    </xdr:pic>
    <xdr:clientData/>
  </xdr:twoCellAnchor>
  <xdr:twoCellAnchor editAs="oneCell">
    <xdr:from>
      <xdr:col>7</xdr:col>
      <xdr:colOff>247650</xdr:colOff>
      <xdr:row>18</xdr:row>
      <xdr:rowOff>0</xdr:rowOff>
    </xdr:from>
    <xdr:to>
      <xdr:col>7</xdr:col>
      <xdr:colOff>247650</xdr:colOff>
      <xdr:row>18</xdr:row>
      <xdr:rowOff>0</xdr:rowOff>
    </xdr:to>
    <xdr:pic>
      <xdr:nvPicPr>
        <xdr:cNvPr id="8" name="Entrada de lápiz 4"/>
        <xdr:cNvPicPr preferRelativeResize="1">
          <a:picLocks noChangeAspect="1"/>
        </xdr:cNvPicPr>
      </xdr:nvPicPr>
      <xdr:blipFill>
        <a:blip r:embed="rId1"/>
        <a:stretch>
          <a:fillRect/>
        </a:stretch>
      </xdr:blipFill>
      <xdr:spPr>
        <a:xfrm>
          <a:off x="5381625" y="18430875"/>
          <a:ext cx="0" cy="0"/>
        </a:xfrm>
        <a:prstGeom prst="rect">
          <a:avLst/>
        </a:prstGeom>
        <a:noFill/>
        <a:ln w="9525" cmpd="sng">
          <a:noFill/>
        </a:ln>
      </xdr:spPr>
    </xdr:pic>
    <xdr:clientData/>
  </xdr:twoCellAnchor>
  <xdr:twoCellAnchor editAs="oneCell">
    <xdr:from>
      <xdr:col>7</xdr:col>
      <xdr:colOff>247650</xdr:colOff>
      <xdr:row>19</xdr:row>
      <xdr:rowOff>0</xdr:rowOff>
    </xdr:from>
    <xdr:to>
      <xdr:col>7</xdr:col>
      <xdr:colOff>247650</xdr:colOff>
      <xdr:row>19</xdr:row>
      <xdr:rowOff>0</xdr:rowOff>
    </xdr:to>
    <xdr:pic>
      <xdr:nvPicPr>
        <xdr:cNvPr id="9" name="Entrada de lápiz 4"/>
        <xdr:cNvPicPr preferRelativeResize="1">
          <a:picLocks noChangeAspect="1"/>
        </xdr:cNvPicPr>
      </xdr:nvPicPr>
      <xdr:blipFill>
        <a:blip r:embed="rId1"/>
        <a:stretch>
          <a:fillRect/>
        </a:stretch>
      </xdr:blipFill>
      <xdr:spPr>
        <a:xfrm>
          <a:off x="5381625" y="2281237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10" name="Entrada de lápiz 4"/>
        <xdr:cNvPicPr preferRelativeResize="1">
          <a:picLocks noChangeAspect="1"/>
        </xdr:cNvPicPr>
      </xdr:nvPicPr>
      <xdr:blipFill>
        <a:blip r:embed="rId1"/>
        <a:stretch>
          <a:fillRect/>
        </a:stretch>
      </xdr:blipFill>
      <xdr:spPr>
        <a:xfrm>
          <a:off x="5381625" y="26222325"/>
          <a:ext cx="0" cy="0"/>
        </a:xfrm>
        <a:prstGeom prst="rect">
          <a:avLst/>
        </a:prstGeom>
        <a:noFill/>
        <a:ln w="9525" cmpd="sng">
          <a:noFill/>
        </a:ln>
      </xdr:spPr>
    </xdr:pic>
    <xdr:clientData/>
  </xdr:twoCellAnchor>
  <xdr:twoCellAnchor editAs="oneCell">
    <xdr:from>
      <xdr:col>7</xdr:col>
      <xdr:colOff>247650</xdr:colOff>
      <xdr:row>21</xdr:row>
      <xdr:rowOff>0</xdr:rowOff>
    </xdr:from>
    <xdr:to>
      <xdr:col>7</xdr:col>
      <xdr:colOff>247650</xdr:colOff>
      <xdr:row>21</xdr:row>
      <xdr:rowOff>0</xdr:rowOff>
    </xdr:to>
    <xdr:pic>
      <xdr:nvPicPr>
        <xdr:cNvPr id="11" name="Entrada de lápiz 4"/>
        <xdr:cNvPicPr preferRelativeResize="1">
          <a:picLocks noChangeAspect="1"/>
        </xdr:cNvPicPr>
      </xdr:nvPicPr>
      <xdr:blipFill>
        <a:blip r:embed="rId1"/>
        <a:stretch>
          <a:fillRect/>
        </a:stretch>
      </xdr:blipFill>
      <xdr:spPr>
        <a:xfrm>
          <a:off x="5381625" y="2856547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17</xdr:row>
      <xdr:rowOff>0</xdr:rowOff>
    </xdr:from>
    <xdr:to>
      <xdr:col>7</xdr:col>
      <xdr:colOff>238125</xdr:colOff>
      <xdr:row>17</xdr:row>
      <xdr:rowOff>0</xdr:rowOff>
    </xdr:to>
    <xdr:pic>
      <xdr:nvPicPr>
        <xdr:cNvPr id="1" name="Entrada de lápiz 4"/>
        <xdr:cNvPicPr preferRelativeResize="1">
          <a:picLocks noChangeAspect="1"/>
        </xdr:cNvPicPr>
      </xdr:nvPicPr>
      <xdr:blipFill>
        <a:blip r:embed="rId1"/>
        <a:stretch>
          <a:fillRect/>
        </a:stretch>
      </xdr:blipFill>
      <xdr:spPr>
        <a:xfrm>
          <a:off x="5372100" y="18030825"/>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20</xdr:row>
      <xdr:rowOff>0</xdr:rowOff>
    </xdr:from>
    <xdr:to>
      <xdr:col>19</xdr:col>
      <xdr:colOff>152400</xdr:colOff>
      <xdr:row>20</xdr:row>
      <xdr:rowOff>0</xdr:rowOff>
    </xdr:to>
    <xdr:pic>
      <xdr:nvPicPr>
        <xdr:cNvPr id="1" name="Entrada de lápiz 7"/>
        <xdr:cNvPicPr preferRelativeResize="1">
          <a:picLocks noChangeAspect="1"/>
        </xdr:cNvPicPr>
      </xdr:nvPicPr>
      <xdr:blipFill>
        <a:blip r:embed="rId1"/>
        <a:stretch>
          <a:fillRect/>
        </a:stretch>
      </xdr:blipFill>
      <xdr:spPr>
        <a:xfrm>
          <a:off x="18478500" y="19707225"/>
          <a:ext cx="0" cy="0"/>
        </a:xfrm>
        <a:prstGeom prst="rect">
          <a:avLst/>
        </a:prstGeom>
        <a:noFill/>
        <a:ln w="9525" cmpd="sng">
          <a:noFill/>
        </a:ln>
      </xdr:spPr>
    </xdr:pic>
    <xdr:clientData/>
  </xdr:twoCellAnchor>
  <xdr:twoCellAnchor editAs="oneCell">
    <xdr:from>
      <xdr:col>19</xdr:col>
      <xdr:colOff>152400</xdr:colOff>
      <xdr:row>20</xdr:row>
      <xdr:rowOff>0</xdr:rowOff>
    </xdr:from>
    <xdr:to>
      <xdr:col>19</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8478500" y="197072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19</xdr:row>
      <xdr:rowOff>0</xdr:rowOff>
    </xdr:from>
    <xdr:to>
      <xdr:col>7</xdr:col>
      <xdr:colOff>257175</xdr:colOff>
      <xdr:row>19</xdr:row>
      <xdr:rowOff>0</xdr:rowOff>
    </xdr:to>
    <xdr:pic>
      <xdr:nvPicPr>
        <xdr:cNvPr id="1" name="Entrada de lápiz 4"/>
        <xdr:cNvPicPr preferRelativeResize="1">
          <a:picLocks noChangeAspect="1"/>
        </xdr:cNvPicPr>
      </xdr:nvPicPr>
      <xdr:blipFill>
        <a:blip r:embed="rId1"/>
        <a:stretch>
          <a:fillRect/>
        </a:stretch>
      </xdr:blipFill>
      <xdr:spPr>
        <a:xfrm>
          <a:off x="6457950" y="19678650"/>
          <a:ext cx="0" cy="0"/>
        </a:xfrm>
        <a:prstGeom prst="rect">
          <a:avLst/>
        </a:prstGeom>
        <a:noFill/>
        <a:ln w="9525" cmpd="sng">
          <a:noFill/>
        </a:ln>
      </xdr:spPr>
    </xdr:pic>
    <xdr:clientData/>
  </xdr:twoCellAnchor>
  <xdr:twoCellAnchor editAs="oneCell">
    <xdr:from>
      <xdr:col>7</xdr:col>
      <xdr:colOff>257175</xdr:colOff>
      <xdr:row>19</xdr:row>
      <xdr:rowOff>0</xdr:rowOff>
    </xdr:from>
    <xdr:to>
      <xdr:col>7</xdr:col>
      <xdr:colOff>257175</xdr:colOff>
      <xdr:row>19</xdr:row>
      <xdr:rowOff>0</xdr:rowOff>
    </xdr:to>
    <xdr:pic>
      <xdr:nvPicPr>
        <xdr:cNvPr id="2" name="Entrada de lápiz 4"/>
        <xdr:cNvPicPr preferRelativeResize="1">
          <a:picLocks noChangeAspect="1"/>
        </xdr:cNvPicPr>
      </xdr:nvPicPr>
      <xdr:blipFill>
        <a:blip r:embed="rId1"/>
        <a:stretch>
          <a:fillRect/>
        </a:stretch>
      </xdr:blipFill>
      <xdr:spPr>
        <a:xfrm>
          <a:off x="6457950" y="1967865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drawing" Target="../drawings/drawing12.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A5">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667"/>
      <c r="B1" s="670" t="s">
        <v>16</v>
      </c>
      <c r="C1" s="671"/>
      <c r="D1" s="671"/>
      <c r="E1" s="671"/>
      <c r="F1" s="671"/>
      <c r="G1" s="671"/>
      <c r="H1" s="671"/>
      <c r="I1" s="671"/>
      <c r="J1" s="671"/>
      <c r="K1" s="671"/>
      <c r="L1" s="671"/>
      <c r="M1" s="671"/>
      <c r="N1" s="671"/>
      <c r="O1" s="671"/>
      <c r="P1" s="671"/>
      <c r="Q1" s="671"/>
      <c r="R1" s="671"/>
      <c r="S1" s="671"/>
      <c r="T1" s="671"/>
      <c r="U1" s="671"/>
      <c r="V1" s="671"/>
      <c r="W1" s="671"/>
      <c r="X1" s="671"/>
      <c r="Y1" s="671"/>
      <c r="Z1" s="671"/>
      <c r="AA1" s="672"/>
      <c r="AB1" s="673" t="s">
        <v>423</v>
      </c>
      <c r="AC1" s="674"/>
      <c r="AD1" s="675"/>
    </row>
    <row r="2" spans="1:30" ht="30.75" customHeight="1" thickBot="1">
      <c r="A2" s="668"/>
      <c r="B2" s="670" t="s">
        <v>17</v>
      </c>
      <c r="C2" s="671"/>
      <c r="D2" s="671"/>
      <c r="E2" s="671"/>
      <c r="F2" s="671"/>
      <c r="G2" s="671"/>
      <c r="H2" s="671"/>
      <c r="I2" s="671"/>
      <c r="J2" s="671"/>
      <c r="K2" s="671"/>
      <c r="L2" s="671"/>
      <c r="M2" s="671"/>
      <c r="N2" s="671"/>
      <c r="O2" s="671"/>
      <c r="P2" s="671"/>
      <c r="Q2" s="671"/>
      <c r="R2" s="671"/>
      <c r="S2" s="671"/>
      <c r="T2" s="671"/>
      <c r="U2" s="671"/>
      <c r="V2" s="671"/>
      <c r="W2" s="671"/>
      <c r="X2" s="671"/>
      <c r="Y2" s="671"/>
      <c r="Z2" s="671"/>
      <c r="AA2" s="672"/>
      <c r="AB2" s="620" t="s">
        <v>418</v>
      </c>
      <c r="AC2" s="621"/>
      <c r="AD2" s="622"/>
    </row>
    <row r="3" spans="1:30" ht="24" customHeight="1">
      <c r="A3" s="668"/>
      <c r="B3" s="573" t="s">
        <v>295</v>
      </c>
      <c r="C3" s="574"/>
      <c r="D3" s="574"/>
      <c r="E3" s="574"/>
      <c r="F3" s="574"/>
      <c r="G3" s="574"/>
      <c r="H3" s="574"/>
      <c r="I3" s="574"/>
      <c r="J3" s="574"/>
      <c r="K3" s="574"/>
      <c r="L3" s="574"/>
      <c r="M3" s="574"/>
      <c r="N3" s="574"/>
      <c r="O3" s="574"/>
      <c r="P3" s="574"/>
      <c r="Q3" s="574"/>
      <c r="R3" s="574"/>
      <c r="S3" s="574"/>
      <c r="T3" s="574"/>
      <c r="U3" s="574"/>
      <c r="V3" s="574"/>
      <c r="W3" s="574"/>
      <c r="X3" s="574"/>
      <c r="Y3" s="574"/>
      <c r="Z3" s="574"/>
      <c r="AA3" s="575"/>
      <c r="AB3" s="620" t="s">
        <v>424</v>
      </c>
      <c r="AC3" s="621"/>
      <c r="AD3" s="622"/>
    </row>
    <row r="4" spans="1:30" ht="21.75" customHeight="1" thickBot="1">
      <c r="A4" s="669"/>
      <c r="B4" s="617"/>
      <c r="C4" s="618"/>
      <c r="D4" s="618"/>
      <c r="E4" s="618"/>
      <c r="F4" s="618"/>
      <c r="G4" s="618"/>
      <c r="H4" s="618"/>
      <c r="I4" s="618"/>
      <c r="J4" s="618"/>
      <c r="K4" s="618"/>
      <c r="L4" s="618"/>
      <c r="M4" s="618"/>
      <c r="N4" s="618"/>
      <c r="O4" s="618"/>
      <c r="P4" s="618"/>
      <c r="Q4" s="618"/>
      <c r="R4" s="618"/>
      <c r="S4" s="618"/>
      <c r="T4" s="618"/>
      <c r="U4" s="618"/>
      <c r="V4" s="618"/>
      <c r="W4" s="618"/>
      <c r="X4" s="618"/>
      <c r="Y4" s="618"/>
      <c r="Z4" s="618"/>
      <c r="AA4" s="619"/>
      <c r="AB4" s="623" t="s">
        <v>175</v>
      </c>
      <c r="AC4" s="624"/>
      <c r="AD4" s="625"/>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647" t="s">
        <v>293</v>
      </c>
      <c r="B7" s="648"/>
      <c r="C7" s="653"/>
      <c r="D7" s="626" t="s">
        <v>71</v>
      </c>
      <c r="E7" s="632"/>
      <c r="F7" s="632"/>
      <c r="G7" s="632"/>
      <c r="H7" s="627"/>
      <c r="I7" s="635" t="s">
        <v>74</v>
      </c>
      <c r="J7" s="636"/>
      <c r="K7" s="626" t="s">
        <v>67</v>
      </c>
      <c r="L7" s="627"/>
      <c r="M7" s="602" t="s">
        <v>70</v>
      </c>
      <c r="N7" s="603"/>
      <c r="O7" s="641" t="s">
        <v>425</v>
      </c>
      <c r="P7" s="642"/>
      <c r="Q7" s="56"/>
      <c r="R7" s="56"/>
      <c r="S7" s="56"/>
      <c r="T7" s="56"/>
      <c r="U7" s="56"/>
      <c r="V7" s="56"/>
      <c r="W7" s="56"/>
      <c r="X7" s="56"/>
      <c r="Y7" s="56"/>
      <c r="Z7" s="57"/>
      <c r="AA7" s="56"/>
      <c r="AB7" s="56"/>
      <c r="AC7" s="62"/>
      <c r="AD7" s="63"/>
    </row>
    <row r="8" spans="1:30" ht="15">
      <c r="A8" s="649"/>
      <c r="B8" s="650"/>
      <c r="C8" s="654"/>
      <c r="D8" s="628"/>
      <c r="E8" s="633"/>
      <c r="F8" s="633"/>
      <c r="G8" s="633"/>
      <c r="H8" s="629"/>
      <c r="I8" s="637"/>
      <c r="J8" s="638"/>
      <c r="K8" s="628"/>
      <c r="L8" s="629"/>
      <c r="M8" s="643" t="s">
        <v>68</v>
      </c>
      <c r="N8" s="644"/>
      <c r="O8" s="645"/>
      <c r="P8" s="646"/>
      <c r="Q8" s="56"/>
      <c r="R8" s="56"/>
      <c r="S8" s="56"/>
      <c r="T8" s="56"/>
      <c r="U8" s="56"/>
      <c r="V8" s="56"/>
      <c r="W8" s="56"/>
      <c r="X8" s="56"/>
      <c r="Y8" s="56"/>
      <c r="Z8" s="57"/>
      <c r="AA8" s="56"/>
      <c r="AB8" s="56"/>
      <c r="AC8" s="62"/>
      <c r="AD8" s="63"/>
    </row>
    <row r="9" spans="1:30" ht="15.75" thickBot="1">
      <c r="A9" s="651"/>
      <c r="B9" s="652"/>
      <c r="C9" s="655"/>
      <c r="D9" s="630"/>
      <c r="E9" s="634"/>
      <c r="F9" s="634"/>
      <c r="G9" s="634"/>
      <c r="H9" s="631"/>
      <c r="I9" s="639"/>
      <c r="J9" s="640"/>
      <c r="K9" s="630"/>
      <c r="L9" s="631"/>
      <c r="M9" s="598" t="s">
        <v>69</v>
      </c>
      <c r="N9" s="599"/>
      <c r="O9" s="600"/>
      <c r="P9" s="601"/>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626" t="s">
        <v>0</v>
      </c>
      <c r="B11" s="627"/>
      <c r="C11" s="657"/>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9"/>
    </row>
    <row r="12" spans="1:30" ht="15" customHeight="1">
      <c r="A12" s="628"/>
      <c r="B12" s="629"/>
      <c r="C12" s="660"/>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2"/>
    </row>
    <row r="13" spans="1:30" ht="15" customHeight="1" thickBot="1">
      <c r="A13" s="630"/>
      <c r="B13" s="631"/>
      <c r="C13" s="663"/>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96" t="s">
        <v>77</v>
      </c>
      <c r="B15" s="597"/>
      <c r="C15" s="676" t="s">
        <v>426</v>
      </c>
      <c r="D15" s="677"/>
      <c r="E15" s="677"/>
      <c r="F15" s="677"/>
      <c r="G15" s="677"/>
      <c r="H15" s="677"/>
      <c r="I15" s="677"/>
      <c r="J15" s="677"/>
      <c r="K15" s="678"/>
      <c r="L15" s="590" t="s">
        <v>73</v>
      </c>
      <c r="M15" s="666"/>
      <c r="N15" s="666"/>
      <c r="O15" s="666"/>
      <c r="P15" s="666"/>
      <c r="Q15" s="591"/>
      <c r="R15" s="587"/>
      <c r="S15" s="588"/>
      <c r="T15" s="588"/>
      <c r="U15" s="588"/>
      <c r="V15" s="588"/>
      <c r="W15" s="588"/>
      <c r="X15" s="589"/>
      <c r="Y15" s="590" t="s">
        <v>72</v>
      </c>
      <c r="Z15" s="591"/>
      <c r="AA15" s="610"/>
      <c r="AB15" s="611"/>
      <c r="AC15" s="611"/>
      <c r="AD15" s="612"/>
    </row>
    <row r="16" spans="1:30" ht="9" customHeight="1" thickBot="1">
      <c r="A16" s="61"/>
      <c r="B16" s="56"/>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75"/>
      <c r="AD16" s="76"/>
    </row>
    <row r="17" spans="1:30" s="78" customFormat="1" ht="37.5" customHeight="1" thickBot="1">
      <c r="A17" s="596" t="s">
        <v>79</v>
      </c>
      <c r="B17" s="597"/>
      <c r="C17" s="614"/>
      <c r="D17" s="615"/>
      <c r="E17" s="615"/>
      <c r="F17" s="615"/>
      <c r="G17" s="615"/>
      <c r="H17" s="615"/>
      <c r="I17" s="615"/>
      <c r="J17" s="615"/>
      <c r="K17" s="615"/>
      <c r="L17" s="615"/>
      <c r="M17" s="615"/>
      <c r="N17" s="615"/>
      <c r="O17" s="615"/>
      <c r="P17" s="615"/>
      <c r="Q17" s="616"/>
      <c r="R17" s="656" t="s">
        <v>374</v>
      </c>
      <c r="S17" s="594"/>
      <c r="T17" s="594"/>
      <c r="U17" s="594"/>
      <c r="V17" s="595"/>
      <c r="W17" s="592"/>
      <c r="X17" s="593"/>
      <c r="Y17" s="594" t="s">
        <v>15</v>
      </c>
      <c r="Z17" s="594"/>
      <c r="AA17" s="594"/>
      <c r="AB17" s="595"/>
      <c r="AC17" s="685"/>
      <c r="AD17" s="68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656" t="s">
        <v>1</v>
      </c>
      <c r="B19" s="594"/>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5"/>
      <c r="AE19" s="86"/>
      <c r="AF19" s="86"/>
    </row>
    <row r="20" spans="1:32" ht="31.5" customHeight="1" thickBot="1">
      <c r="A20" s="85"/>
      <c r="B20" s="62"/>
      <c r="C20" s="682" t="s">
        <v>376</v>
      </c>
      <c r="D20" s="683"/>
      <c r="E20" s="683"/>
      <c r="F20" s="683"/>
      <c r="G20" s="683"/>
      <c r="H20" s="683"/>
      <c r="I20" s="683"/>
      <c r="J20" s="683"/>
      <c r="K20" s="683"/>
      <c r="L20" s="683"/>
      <c r="M20" s="683"/>
      <c r="N20" s="683"/>
      <c r="O20" s="683"/>
      <c r="P20" s="684"/>
      <c r="Q20" s="679" t="s">
        <v>377</v>
      </c>
      <c r="R20" s="680"/>
      <c r="S20" s="680"/>
      <c r="T20" s="680"/>
      <c r="U20" s="680"/>
      <c r="V20" s="680"/>
      <c r="W20" s="680"/>
      <c r="X20" s="680"/>
      <c r="Y20" s="680"/>
      <c r="Z20" s="680"/>
      <c r="AA20" s="680"/>
      <c r="AB20" s="680"/>
      <c r="AC20" s="680"/>
      <c r="AD20" s="681"/>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537" t="s">
        <v>378</v>
      </c>
      <c r="B22" s="542"/>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38" t="s">
        <v>379</v>
      </c>
      <c r="B23" s="545"/>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38" t="s">
        <v>380</v>
      </c>
      <c r="B24" s="545"/>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608" t="s">
        <v>381</v>
      </c>
      <c r="B25" s="609"/>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604" t="s">
        <v>76</v>
      </c>
      <c r="B27" s="605"/>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7"/>
    </row>
    <row r="28" spans="1:30" ht="15" customHeight="1">
      <c r="A28" s="582" t="s">
        <v>189</v>
      </c>
      <c r="B28" s="584" t="s">
        <v>6</v>
      </c>
      <c r="C28" s="585"/>
      <c r="D28" s="545" t="s">
        <v>398</v>
      </c>
      <c r="E28" s="546"/>
      <c r="F28" s="546"/>
      <c r="G28" s="546"/>
      <c r="H28" s="546"/>
      <c r="I28" s="546"/>
      <c r="J28" s="546"/>
      <c r="K28" s="546"/>
      <c r="L28" s="546"/>
      <c r="M28" s="546"/>
      <c r="N28" s="546"/>
      <c r="O28" s="586"/>
      <c r="P28" s="568" t="s">
        <v>8</v>
      </c>
      <c r="Q28" s="568" t="s">
        <v>84</v>
      </c>
      <c r="R28" s="568"/>
      <c r="S28" s="568"/>
      <c r="T28" s="568"/>
      <c r="U28" s="568"/>
      <c r="V28" s="568"/>
      <c r="W28" s="568"/>
      <c r="X28" s="568"/>
      <c r="Y28" s="568"/>
      <c r="Z28" s="568"/>
      <c r="AA28" s="568"/>
      <c r="AB28" s="568"/>
      <c r="AC28" s="568"/>
      <c r="AD28" s="577"/>
    </row>
    <row r="29" spans="1:30" ht="27" customHeight="1">
      <c r="A29" s="583"/>
      <c r="B29" s="578"/>
      <c r="C29" s="580"/>
      <c r="D29" s="173" t="s">
        <v>39</v>
      </c>
      <c r="E29" s="173" t="s">
        <v>40</v>
      </c>
      <c r="F29" s="173" t="s">
        <v>41</v>
      </c>
      <c r="G29" s="173" t="s">
        <v>42</v>
      </c>
      <c r="H29" s="173" t="s">
        <v>43</v>
      </c>
      <c r="I29" s="173" t="s">
        <v>44</v>
      </c>
      <c r="J29" s="173" t="s">
        <v>45</v>
      </c>
      <c r="K29" s="173" t="s">
        <v>46</v>
      </c>
      <c r="L29" s="173" t="s">
        <v>47</v>
      </c>
      <c r="M29" s="173" t="s">
        <v>48</v>
      </c>
      <c r="N29" s="173" t="s">
        <v>49</v>
      </c>
      <c r="O29" s="173" t="s">
        <v>50</v>
      </c>
      <c r="P29" s="586"/>
      <c r="Q29" s="568"/>
      <c r="R29" s="568"/>
      <c r="S29" s="568"/>
      <c r="T29" s="568"/>
      <c r="U29" s="568"/>
      <c r="V29" s="568"/>
      <c r="W29" s="568"/>
      <c r="X29" s="568"/>
      <c r="Y29" s="568"/>
      <c r="Z29" s="568"/>
      <c r="AA29" s="568"/>
      <c r="AB29" s="568"/>
      <c r="AC29" s="568"/>
      <c r="AD29" s="577"/>
    </row>
    <row r="30" spans="1:30" ht="42" customHeight="1" thickBot="1">
      <c r="A30" s="88"/>
      <c r="B30" s="569"/>
      <c r="C30" s="570"/>
      <c r="D30" s="92"/>
      <c r="E30" s="92"/>
      <c r="F30" s="92"/>
      <c r="G30" s="92"/>
      <c r="H30" s="92"/>
      <c r="I30" s="92"/>
      <c r="J30" s="92"/>
      <c r="K30" s="92"/>
      <c r="L30" s="92"/>
      <c r="M30" s="92"/>
      <c r="N30" s="92"/>
      <c r="O30" s="92"/>
      <c r="P30" s="89">
        <f>SUM(D30:O30)</f>
        <v>0</v>
      </c>
      <c r="Q30" s="571" t="s">
        <v>296</v>
      </c>
      <c r="R30" s="571"/>
      <c r="S30" s="571"/>
      <c r="T30" s="571"/>
      <c r="U30" s="571"/>
      <c r="V30" s="571"/>
      <c r="W30" s="571"/>
      <c r="X30" s="571"/>
      <c r="Y30" s="571"/>
      <c r="Z30" s="571"/>
      <c r="AA30" s="571"/>
      <c r="AB30" s="571"/>
      <c r="AC30" s="571"/>
      <c r="AD30" s="572"/>
    </row>
    <row r="31" spans="1:30" ht="45" customHeight="1">
      <c r="A31" s="573" t="s">
        <v>292</v>
      </c>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5"/>
    </row>
    <row r="32" spans="1:41" ht="22.5" customHeight="1">
      <c r="A32" s="538" t="s">
        <v>190</v>
      </c>
      <c r="B32" s="568" t="s">
        <v>62</v>
      </c>
      <c r="C32" s="568" t="s">
        <v>6</v>
      </c>
      <c r="D32" s="568" t="s">
        <v>60</v>
      </c>
      <c r="E32" s="568"/>
      <c r="F32" s="568"/>
      <c r="G32" s="568"/>
      <c r="H32" s="568"/>
      <c r="I32" s="568"/>
      <c r="J32" s="568"/>
      <c r="K32" s="568"/>
      <c r="L32" s="568"/>
      <c r="M32" s="568"/>
      <c r="N32" s="568"/>
      <c r="O32" s="568"/>
      <c r="P32" s="568"/>
      <c r="Q32" s="568" t="s">
        <v>85</v>
      </c>
      <c r="R32" s="568"/>
      <c r="S32" s="568"/>
      <c r="T32" s="568"/>
      <c r="U32" s="568"/>
      <c r="V32" s="568"/>
      <c r="W32" s="568"/>
      <c r="X32" s="568"/>
      <c r="Y32" s="568"/>
      <c r="Z32" s="568"/>
      <c r="AA32" s="568"/>
      <c r="AB32" s="568"/>
      <c r="AC32" s="568"/>
      <c r="AD32" s="577"/>
      <c r="AG32" s="90"/>
      <c r="AH32" s="90"/>
      <c r="AI32" s="90"/>
      <c r="AJ32" s="90"/>
      <c r="AK32" s="90"/>
      <c r="AL32" s="90"/>
      <c r="AM32" s="90"/>
      <c r="AN32" s="90"/>
      <c r="AO32" s="90"/>
    </row>
    <row r="33" spans="1:41" ht="27" customHeight="1">
      <c r="A33" s="538"/>
      <c r="B33" s="568"/>
      <c r="C33" s="576"/>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568" t="s">
        <v>403</v>
      </c>
      <c r="R33" s="568"/>
      <c r="S33" s="568"/>
      <c r="T33" s="568" t="s">
        <v>406</v>
      </c>
      <c r="U33" s="568"/>
      <c r="V33" s="568"/>
      <c r="W33" s="578" t="s">
        <v>81</v>
      </c>
      <c r="X33" s="579"/>
      <c r="Y33" s="579"/>
      <c r="Z33" s="580"/>
      <c r="AA33" s="578" t="s">
        <v>82</v>
      </c>
      <c r="AB33" s="579"/>
      <c r="AC33" s="579"/>
      <c r="AD33" s="581"/>
      <c r="AG33" s="90"/>
      <c r="AH33" s="90"/>
      <c r="AI33" s="90"/>
      <c r="AJ33" s="90"/>
      <c r="AK33" s="90"/>
      <c r="AL33" s="90"/>
      <c r="AM33" s="90"/>
      <c r="AN33" s="90"/>
      <c r="AO33" s="90"/>
    </row>
    <row r="34" spans="1:41" ht="45" customHeight="1">
      <c r="A34" s="556"/>
      <c r="B34" s="558"/>
      <c r="C34" s="93" t="s">
        <v>9</v>
      </c>
      <c r="D34" s="92"/>
      <c r="E34" s="92"/>
      <c r="F34" s="92"/>
      <c r="G34" s="92"/>
      <c r="H34" s="92"/>
      <c r="I34" s="92"/>
      <c r="J34" s="92"/>
      <c r="K34" s="92"/>
      <c r="L34" s="92"/>
      <c r="M34" s="92"/>
      <c r="N34" s="92"/>
      <c r="O34" s="92"/>
      <c r="P34" s="212">
        <f>SUM(D34:O34)</f>
        <v>0</v>
      </c>
      <c r="Q34" s="560" t="s">
        <v>404</v>
      </c>
      <c r="R34" s="561"/>
      <c r="S34" s="562"/>
      <c r="T34" s="561" t="s">
        <v>405</v>
      </c>
      <c r="U34" s="561"/>
      <c r="V34" s="562"/>
      <c r="W34" s="560" t="s">
        <v>402</v>
      </c>
      <c r="X34" s="561"/>
      <c r="Y34" s="561"/>
      <c r="Z34" s="562"/>
      <c r="AA34" s="560" t="s">
        <v>407</v>
      </c>
      <c r="AB34" s="561"/>
      <c r="AC34" s="561"/>
      <c r="AD34" s="566"/>
      <c r="AG34" s="90"/>
      <c r="AH34" s="90"/>
      <c r="AI34" s="90"/>
      <c r="AJ34" s="90"/>
      <c r="AK34" s="90"/>
      <c r="AL34" s="90"/>
      <c r="AM34" s="90"/>
      <c r="AN34" s="90"/>
      <c r="AO34" s="90"/>
    </row>
    <row r="35" spans="1:41" ht="45" customHeight="1" thickBot="1">
      <c r="A35" s="557"/>
      <c r="B35" s="559"/>
      <c r="C35" s="94" t="s">
        <v>10</v>
      </c>
      <c r="D35" s="95"/>
      <c r="E35" s="95"/>
      <c r="F35" s="95"/>
      <c r="G35" s="96"/>
      <c r="H35" s="96"/>
      <c r="I35" s="96"/>
      <c r="J35" s="96"/>
      <c r="K35" s="96"/>
      <c r="L35" s="96"/>
      <c r="M35" s="96"/>
      <c r="N35" s="96"/>
      <c r="O35" s="96"/>
      <c r="P35" s="178">
        <f>SUM(D35:O35)</f>
        <v>0</v>
      </c>
      <c r="Q35" s="563"/>
      <c r="R35" s="564"/>
      <c r="S35" s="565"/>
      <c r="T35" s="564"/>
      <c r="U35" s="564"/>
      <c r="V35" s="565"/>
      <c r="W35" s="563"/>
      <c r="X35" s="564"/>
      <c r="Y35" s="564"/>
      <c r="Z35" s="565"/>
      <c r="AA35" s="563"/>
      <c r="AB35" s="564"/>
      <c r="AC35" s="564"/>
      <c r="AD35" s="567"/>
      <c r="AE35" s="50"/>
      <c r="AF35" s="97"/>
      <c r="AG35" s="90"/>
      <c r="AH35" s="90"/>
      <c r="AI35" s="90"/>
      <c r="AJ35" s="90"/>
      <c r="AK35" s="90"/>
      <c r="AL35" s="90"/>
      <c r="AM35" s="90"/>
      <c r="AN35" s="90"/>
      <c r="AO35" s="90"/>
    </row>
    <row r="36" spans="1:41" ht="25.5" customHeight="1">
      <c r="A36" s="537" t="s">
        <v>191</v>
      </c>
      <c r="B36" s="539" t="s">
        <v>61</v>
      </c>
      <c r="C36" s="541" t="s">
        <v>11</v>
      </c>
      <c r="D36" s="541"/>
      <c r="E36" s="541"/>
      <c r="F36" s="541"/>
      <c r="G36" s="541"/>
      <c r="H36" s="541"/>
      <c r="I36" s="541"/>
      <c r="J36" s="541"/>
      <c r="K36" s="541"/>
      <c r="L36" s="541"/>
      <c r="M36" s="541"/>
      <c r="N36" s="541"/>
      <c r="O36" s="541"/>
      <c r="P36" s="541"/>
      <c r="Q36" s="542" t="s">
        <v>78</v>
      </c>
      <c r="R36" s="543"/>
      <c r="S36" s="543"/>
      <c r="T36" s="543"/>
      <c r="U36" s="543"/>
      <c r="V36" s="543"/>
      <c r="W36" s="543"/>
      <c r="X36" s="543"/>
      <c r="Y36" s="543"/>
      <c r="Z36" s="543"/>
      <c r="AA36" s="543"/>
      <c r="AB36" s="543"/>
      <c r="AC36" s="543"/>
      <c r="AD36" s="544"/>
      <c r="AG36" s="90"/>
      <c r="AH36" s="90"/>
      <c r="AI36" s="90"/>
      <c r="AJ36" s="90"/>
      <c r="AK36" s="90"/>
      <c r="AL36" s="90"/>
      <c r="AM36" s="90"/>
      <c r="AN36" s="90"/>
      <c r="AO36" s="90"/>
    </row>
    <row r="37" spans="1:41" ht="25.5" customHeight="1">
      <c r="A37" s="538"/>
      <c r="B37" s="540"/>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545" t="s">
        <v>83</v>
      </c>
      <c r="R37" s="546"/>
      <c r="S37" s="546"/>
      <c r="T37" s="546"/>
      <c r="U37" s="546"/>
      <c r="V37" s="546"/>
      <c r="W37" s="546"/>
      <c r="X37" s="546"/>
      <c r="Y37" s="546"/>
      <c r="Z37" s="546"/>
      <c r="AA37" s="546"/>
      <c r="AB37" s="546"/>
      <c r="AC37" s="546"/>
      <c r="AD37" s="547"/>
      <c r="AG37" s="98"/>
      <c r="AH37" s="98"/>
      <c r="AI37" s="98"/>
      <c r="AJ37" s="98"/>
      <c r="AK37" s="98"/>
      <c r="AL37" s="98"/>
      <c r="AM37" s="98"/>
      <c r="AN37" s="98"/>
      <c r="AO37" s="98"/>
    </row>
    <row r="38" spans="1:41" ht="28.5" customHeight="1">
      <c r="A38" s="548"/>
      <c r="B38" s="549"/>
      <c r="C38" s="93" t="s">
        <v>9</v>
      </c>
      <c r="D38" s="99"/>
      <c r="E38" s="99"/>
      <c r="F38" s="99"/>
      <c r="G38" s="99"/>
      <c r="H38" s="99"/>
      <c r="I38" s="99"/>
      <c r="J38" s="99"/>
      <c r="K38" s="99"/>
      <c r="L38" s="99"/>
      <c r="M38" s="99"/>
      <c r="N38" s="99"/>
      <c r="O38" s="99"/>
      <c r="P38" s="100">
        <f aca="true" t="shared" si="0" ref="P38:P45">SUM(D38:O38)</f>
        <v>0</v>
      </c>
      <c r="Q38" s="550" t="s">
        <v>408</v>
      </c>
      <c r="R38" s="551"/>
      <c r="S38" s="551"/>
      <c r="T38" s="551"/>
      <c r="U38" s="551"/>
      <c r="V38" s="551"/>
      <c r="W38" s="551"/>
      <c r="X38" s="551"/>
      <c r="Y38" s="551"/>
      <c r="Z38" s="551"/>
      <c r="AA38" s="551"/>
      <c r="AB38" s="551"/>
      <c r="AC38" s="551"/>
      <c r="AD38" s="552"/>
      <c r="AE38" s="101"/>
      <c r="AG38" s="102"/>
      <c r="AH38" s="102"/>
      <c r="AI38" s="102"/>
      <c r="AJ38" s="102"/>
      <c r="AK38" s="102"/>
      <c r="AL38" s="102"/>
      <c r="AM38" s="102"/>
      <c r="AN38" s="102"/>
      <c r="AO38" s="102"/>
    </row>
    <row r="39" spans="1:31" ht="28.5" customHeight="1">
      <c r="A39" s="530"/>
      <c r="B39" s="531"/>
      <c r="C39" s="103" t="s">
        <v>10</v>
      </c>
      <c r="D39" s="104"/>
      <c r="E39" s="104"/>
      <c r="F39" s="104"/>
      <c r="G39" s="104"/>
      <c r="H39" s="104"/>
      <c r="I39" s="104"/>
      <c r="J39" s="104"/>
      <c r="K39" s="104"/>
      <c r="L39" s="104"/>
      <c r="M39" s="104"/>
      <c r="N39" s="104"/>
      <c r="O39" s="104"/>
      <c r="P39" s="105">
        <f t="shared" si="0"/>
        <v>0</v>
      </c>
      <c r="Q39" s="553"/>
      <c r="R39" s="554"/>
      <c r="S39" s="554"/>
      <c r="T39" s="554"/>
      <c r="U39" s="554"/>
      <c r="V39" s="554"/>
      <c r="W39" s="554"/>
      <c r="X39" s="554"/>
      <c r="Y39" s="554"/>
      <c r="Z39" s="554"/>
      <c r="AA39" s="554"/>
      <c r="AB39" s="554"/>
      <c r="AC39" s="554"/>
      <c r="AD39" s="555"/>
      <c r="AE39" s="101"/>
    </row>
    <row r="40" spans="1:31" ht="28.5" customHeight="1">
      <c r="A40" s="530"/>
      <c r="B40" s="522"/>
      <c r="C40" s="106" t="s">
        <v>9</v>
      </c>
      <c r="D40" s="107"/>
      <c r="E40" s="107"/>
      <c r="F40" s="107"/>
      <c r="G40" s="107"/>
      <c r="H40" s="107"/>
      <c r="I40" s="107"/>
      <c r="J40" s="107"/>
      <c r="K40" s="107"/>
      <c r="L40" s="107"/>
      <c r="M40" s="107"/>
      <c r="N40" s="107"/>
      <c r="O40" s="107"/>
      <c r="P40" s="105">
        <f t="shared" si="0"/>
        <v>0</v>
      </c>
      <c r="Q40" s="524"/>
      <c r="R40" s="525"/>
      <c r="S40" s="525"/>
      <c r="T40" s="525"/>
      <c r="U40" s="525"/>
      <c r="V40" s="525"/>
      <c r="W40" s="525"/>
      <c r="X40" s="525"/>
      <c r="Y40" s="525"/>
      <c r="Z40" s="525"/>
      <c r="AA40" s="525"/>
      <c r="AB40" s="525"/>
      <c r="AC40" s="525"/>
      <c r="AD40" s="526"/>
      <c r="AE40" s="101"/>
    </row>
    <row r="41" spans="1:31" ht="28.5" customHeight="1">
      <c r="A41" s="530"/>
      <c r="B41" s="531"/>
      <c r="C41" s="103" t="s">
        <v>10</v>
      </c>
      <c r="D41" s="104"/>
      <c r="E41" s="104"/>
      <c r="F41" s="104"/>
      <c r="G41" s="104"/>
      <c r="H41" s="104"/>
      <c r="I41" s="104"/>
      <c r="J41" s="104"/>
      <c r="K41" s="104"/>
      <c r="L41" s="108"/>
      <c r="M41" s="108"/>
      <c r="N41" s="108"/>
      <c r="O41" s="108"/>
      <c r="P41" s="105">
        <f t="shared" si="0"/>
        <v>0</v>
      </c>
      <c r="Q41" s="532"/>
      <c r="R41" s="533"/>
      <c r="S41" s="533"/>
      <c r="T41" s="533"/>
      <c r="U41" s="533"/>
      <c r="V41" s="533"/>
      <c r="W41" s="533"/>
      <c r="X41" s="533"/>
      <c r="Y41" s="533"/>
      <c r="Z41" s="533"/>
      <c r="AA41" s="533"/>
      <c r="AB41" s="533"/>
      <c r="AC41" s="533"/>
      <c r="AD41" s="534"/>
      <c r="AE41" s="101"/>
    </row>
    <row r="42" spans="1:31" ht="28.5" customHeight="1">
      <c r="A42" s="535"/>
      <c r="B42" s="522"/>
      <c r="C42" s="106" t="s">
        <v>9</v>
      </c>
      <c r="D42" s="107"/>
      <c r="E42" s="107"/>
      <c r="F42" s="107"/>
      <c r="G42" s="107"/>
      <c r="H42" s="107"/>
      <c r="I42" s="107"/>
      <c r="J42" s="107"/>
      <c r="K42" s="107"/>
      <c r="L42" s="107"/>
      <c r="M42" s="107"/>
      <c r="N42" s="107"/>
      <c r="O42" s="107"/>
      <c r="P42" s="105">
        <f t="shared" si="0"/>
        <v>0</v>
      </c>
      <c r="Q42" s="524"/>
      <c r="R42" s="525"/>
      <c r="S42" s="525"/>
      <c r="T42" s="525"/>
      <c r="U42" s="525"/>
      <c r="V42" s="525"/>
      <c r="W42" s="525"/>
      <c r="X42" s="525"/>
      <c r="Y42" s="525"/>
      <c r="Z42" s="525"/>
      <c r="AA42" s="525"/>
      <c r="AB42" s="525"/>
      <c r="AC42" s="525"/>
      <c r="AD42" s="526"/>
      <c r="AE42" s="101"/>
    </row>
    <row r="43" spans="1:31" ht="28.5" customHeight="1">
      <c r="A43" s="536"/>
      <c r="B43" s="531"/>
      <c r="C43" s="103" t="s">
        <v>10</v>
      </c>
      <c r="D43" s="104"/>
      <c r="E43" s="104"/>
      <c r="F43" s="104"/>
      <c r="G43" s="109"/>
      <c r="H43" s="104"/>
      <c r="I43" s="104"/>
      <c r="J43" s="104"/>
      <c r="K43" s="104"/>
      <c r="L43" s="108"/>
      <c r="M43" s="108"/>
      <c r="N43" s="108"/>
      <c r="O43" s="108"/>
      <c r="P43" s="105">
        <f t="shared" si="0"/>
        <v>0</v>
      </c>
      <c r="Q43" s="532"/>
      <c r="R43" s="533"/>
      <c r="S43" s="533"/>
      <c r="T43" s="533"/>
      <c r="U43" s="533"/>
      <c r="V43" s="533"/>
      <c r="W43" s="533"/>
      <c r="X43" s="533"/>
      <c r="Y43" s="533"/>
      <c r="Z43" s="533"/>
      <c r="AA43" s="533"/>
      <c r="AB43" s="533"/>
      <c r="AC43" s="533"/>
      <c r="AD43" s="534"/>
      <c r="AE43" s="101"/>
    </row>
    <row r="44" spans="1:31" ht="28.5" customHeight="1">
      <c r="A44" s="520"/>
      <c r="B44" s="522"/>
      <c r="C44" s="106" t="s">
        <v>9</v>
      </c>
      <c r="D44" s="107"/>
      <c r="E44" s="107"/>
      <c r="F44" s="107"/>
      <c r="G44" s="107"/>
      <c r="H44" s="107"/>
      <c r="I44" s="107"/>
      <c r="J44" s="107"/>
      <c r="K44" s="107"/>
      <c r="L44" s="107"/>
      <c r="M44" s="107"/>
      <c r="N44" s="107"/>
      <c r="O44" s="107"/>
      <c r="P44" s="105">
        <f t="shared" si="0"/>
        <v>0</v>
      </c>
      <c r="Q44" s="524"/>
      <c r="R44" s="525"/>
      <c r="S44" s="525"/>
      <c r="T44" s="525"/>
      <c r="U44" s="525"/>
      <c r="V44" s="525"/>
      <c r="W44" s="525"/>
      <c r="X44" s="525"/>
      <c r="Y44" s="525"/>
      <c r="Z44" s="525"/>
      <c r="AA44" s="525"/>
      <c r="AB44" s="525"/>
      <c r="AC44" s="525"/>
      <c r="AD44" s="526"/>
      <c r="AE44" s="101"/>
    </row>
    <row r="45" spans="1:31" ht="28.5" customHeight="1" thickBot="1">
      <c r="A45" s="521"/>
      <c r="B45" s="523"/>
      <c r="C45" s="94" t="s">
        <v>10</v>
      </c>
      <c r="D45" s="110"/>
      <c r="E45" s="110"/>
      <c r="F45" s="110"/>
      <c r="G45" s="110"/>
      <c r="H45" s="110"/>
      <c r="I45" s="110"/>
      <c r="J45" s="110"/>
      <c r="K45" s="110"/>
      <c r="L45" s="111"/>
      <c r="M45" s="111"/>
      <c r="N45" s="111"/>
      <c r="O45" s="111"/>
      <c r="P45" s="112">
        <f t="shared" si="0"/>
        <v>0</v>
      </c>
      <c r="Q45" s="527"/>
      <c r="R45" s="528"/>
      <c r="S45" s="528"/>
      <c r="T45" s="528"/>
      <c r="U45" s="528"/>
      <c r="V45" s="528"/>
      <c r="W45" s="528"/>
      <c r="X45" s="528"/>
      <c r="Y45" s="528"/>
      <c r="Z45" s="528"/>
      <c r="AA45" s="528"/>
      <c r="AB45" s="528"/>
      <c r="AC45" s="528"/>
      <c r="AD45" s="529"/>
      <c r="AE45" s="101"/>
    </row>
    <row r="46" ht="15">
      <c r="A46" s="52" t="s">
        <v>294</v>
      </c>
    </row>
  </sheetData>
  <sheetProtection/>
  <mergeCells count="82">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O49"/>
  <sheetViews>
    <sheetView showGridLines="0" zoomScale="70" zoomScaleNormal="70" workbookViewId="0" topLeftCell="P34">
      <selection activeCell="T34" sqref="T34:V35"/>
    </sheetView>
  </sheetViews>
  <sheetFormatPr defaultColWidth="10.8515625" defaultRowHeight="15"/>
  <cols>
    <col min="1" max="1" width="39.8515625" style="246" customWidth="1"/>
    <col min="2" max="2" width="15.421875" style="246" customWidth="1"/>
    <col min="3" max="14" width="20.7109375" style="246" customWidth="1"/>
    <col min="15" max="15" width="16.710937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42"/>
      <c r="B1" s="845" t="s">
        <v>16</v>
      </c>
      <c r="C1" s="846"/>
      <c r="D1" s="846"/>
      <c r="E1" s="846"/>
      <c r="F1" s="846"/>
      <c r="G1" s="846"/>
      <c r="H1" s="846"/>
      <c r="I1" s="846"/>
      <c r="J1" s="846"/>
      <c r="K1" s="846"/>
      <c r="L1" s="846"/>
      <c r="M1" s="846"/>
      <c r="N1" s="846"/>
      <c r="O1" s="846"/>
      <c r="P1" s="846"/>
      <c r="Q1" s="846"/>
      <c r="R1" s="846"/>
      <c r="S1" s="846"/>
      <c r="T1" s="846"/>
      <c r="U1" s="846"/>
      <c r="V1" s="846"/>
      <c r="W1" s="846"/>
      <c r="X1" s="846"/>
      <c r="Y1" s="846"/>
      <c r="Z1" s="846"/>
      <c r="AA1" s="847"/>
      <c r="AB1" s="848" t="s">
        <v>423</v>
      </c>
      <c r="AC1" s="849"/>
      <c r="AD1" s="850"/>
    </row>
    <row r="2" spans="1:30" ht="30.75" customHeight="1" thickBot="1">
      <c r="A2" s="843"/>
      <c r="B2" s="845" t="s">
        <v>17</v>
      </c>
      <c r="C2" s="846"/>
      <c r="D2" s="846"/>
      <c r="E2" s="846"/>
      <c r="F2" s="846"/>
      <c r="G2" s="846"/>
      <c r="H2" s="846"/>
      <c r="I2" s="846"/>
      <c r="J2" s="846"/>
      <c r="K2" s="846"/>
      <c r="L2" s="846"/>
      <c r="M2" s="846"/>
      <c r="N2" s="846"/>
      <c r="O2" s="846"/>
      <c r="P2" s="846"/>
      <c r="Q2" s="846"/>
      <c r="R2" s="846"/>
      <c r="S2" s="846"/>
      <c r="T2" s="846"/>
      <c r="U2" s="846"/>
      <c r="V2" s="846"/>
      <c r="W2" s="846"/>
      <c r="X2" s="846"/>
      <c r="Y2" s="846"/>
      <c r="Z2" s="846"/>
      <c r="AA2" s="847"/>
      <c r="AB2" s="851" t="s">
        <v>418</v>
      </c>
      <c r="AC2" s="852"/>
      <c r="AD2" s="853"/>
    </row>
    <row r="3" spans="1:30" ht="24" customHeight="1">
      <c r="A3" s="843"/>
      <c r="B3" s="854" t="s">
        <v>295</v>
      </c>
      <c r="C3" s="855"/>
      <c r="D3" s="855"/>
      <c r="E3" s="855"/>
      <c r="F3" s="855"/>
      <c r="G3" s="855"/>
      <c r="H3" s="855"/>
      <c r="I3" s="855"/>
      <c r="J3" s="855"/>
      <c r="K3" s="855"/>
      <c r="L3" s="855"/>
      <c r="M3" s="855"/>
      <c r="N3" s="855"/>
      <c r="O3" s="855"/>
      <c r="P3" s="855"/>
      <c r="Q3" s="855"/>
      <c r="R3" s="855"/>
      <c r="S3" s="855"/>
      <c r="T3" s="855"/>
      <c r="U3" s="855"/>
      <c r="V3" s="855"/>
      <c r="W3" s="855"/>
      <c r="X3" s="855"/>
      <c r="Y3" s="855"/>
      <c r="Z3" s="855"/>
      <c r="AA3" s="856"/>
      <c r="AB3" s="851" t="s">
        <v>424</v>
      </c>
      <c r="AC3" s="852"/>
      <c r="AD3" s="853"/>
    </row>
    <row r="4" spans="1:30" ht="21.75" customHeight="1" thickBot="1">
      <c r="A4" s="844"/>
      <c r="B4" s="857"/>
      <c r="C4" s="858"/>
      <c r="D4" s="858"/>
      <c r="E4" s="858"/>
      <c r="F4" s="858"/>
      <c r="G4" s="858"/>
      <c r="H4" s="858"/>
      <c r="I4" s="858"/>
      <c r="J4" s="858"/>
      <c r="K4" s="858"/>
      <c r="L4" s="858"/>
      <c r="M4" s="858"/>
      <c r="N4" s="858"/>
      <c r="O4" s="858"/>
      <c r="P4" s="858"/>
      <c r="Q4" s="858"/>
      <c r="R4" s="858"/>
      <c r="S4" s="858"/>
      <c r="T4" s="858"/>
      <c r="U4" s="858"/>
      <c r="V4" s="858"/>
      <c r="W4" s="858"/>
      <c r="X4" s="858"/>
      <c r="Y4" s="858"/>
      <c r="Z4" s="858"/>
      <c r="AA4" s="859"/>
      <c r="AB4" s="623" t="s">
        <v>778</v>
      </c>
      <c r="AC4" s="624"/>
      <c r="AD4" s="625"/>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26" t="s">
        <v>293</v>
      </c>
      <c r="B7" s="627"/>
      <c r="C7" s="879" t="s">
        <v>44</v>
      </c>
      <c r="D7" s="626" t="s">
        <v>71</v>
      </c>
      <c r="E7" s="632"/>
      <c r="F7" s="632"/>
      <c r="G7" s="632"/>
      <c r="H7" s="627"/>
      <c r="I7" s="834">
        <v>45117</v>
      </c>
      <c r="J7" s="835"/>
      <c r="K7" s="626" t="s">
        <v>67</v>
      </c>
      <c r="L7" s="627"/>
      <c r="M7" s="840" t="s">
        <v>70</v>
      </c>
      <c r="N7" s="841"/>
      <c r="O7" s="860"/>
      <c r="P7" s="861"/>
      <c r="Q7" s="252"/>
      <c r="R7" s="252"/>
      <c r="S7" s="252"/>
      <c r="T7" s="252"/>
      <c r="U7" s="252"/>
      <c r="V7" s="252"/>
      <c r="W7" s="252"/>
      <c r="X7" s="252"/>
      <c r="Y7" s="252"/>
      <c r="Z7" s="253"/>
      <c r="AA7" s="252"/>
      <c r="AB7" s="252"/>
      <c r="AC7" s="258"/>
      <c r="AD7" s="259"/>
    </row>
    <row r="8" spans="1:30" ht="15" customHeight="1">
      <c r="A8" s="628"/>
      <c r="B8" s="629"/>
      <c r="C8" s="880"/>
      <c r="D8" s="628"/>
      <c r="E8" s="882"/>
      <c r="F8" s="882"/>
      <c r="G8" s="882"/>
      <c r="H8" s="629"/>
      <c r="I8" s="836"/>
      <c r="J8" s="837"/>
      <c r="K8" s="628"/>
      <c r="L8" s="629"/>
      <c r="M8" s="862" t="s">
        <v>68</v>
      </c>
      <c r="N8" s="863"/>
      <c r="O8" s="864"/>
      <c r="P8" s="865"/>
      <c r="Q8" s="252"/>
      <c r="R8" s="252"/>
      <c r="S8" s="252"/>
      <c r="T8" s="252"/>
      <c r="U8" s="252"/>
      <c r="V8" s="252"/>
      <c r="W8" s="252"/>
      <c r="X8" s="252"/>
      <c r="Y8" s="252"/>
      <c r="Z8" s="253"/>
      <c r="AA8" s="252"/>
      <c r="AB8" s="252"/>
      <c r="AC8" s="258"/>
      <c r="AD8" s="259"/>
    </row>
    <row r="9" spans="1:30" ht="15.75" customHeight="1" thickBot="1">
      <c r="A9" s="630"/>
      <c r="B9" s="631"/>
      <c r="C9" s="881"/>
      <c r="D9" s="630"/>
      <c r="E9" s="634"/>
      <c r="F9" s="634"/>
      <c r="G9" s="634"/>
      <c r="H9" s="631"/>
      <c r="I9" s="838"/>
      <c r="J9" s="839"/>
      <c r="K9" s="630"/>
      <c r="L9" s="631"/>
      <c r="M9" s="866" t="s">
        <v>69</v>
      </c>
      <c r="N9" s="867"/>
      <c r="O9" s="868" t="s">
        <v>425</v>
      </c>
      <c r="P9" s="869"/>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26" t="s">
        <v>0</v>
      </c>
      <c r="B11" s="627"/>
      <c r="C11" s="657" t="s">
        <v>497</v>
      </c>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9"/>
    </row>
    <row r="12" spans="1:30" ht="15" customHeight="1">
      <c r="A12" s="628"/>
      <c r="B12" s="629"/>
      <c r="C12" s="66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662"/>
    </row>
    <row r="13" spans="1:30" ht="15" customHeight="1" thickBot="1">
      <c r="A13" s="630"/>
      <c r="B13" s="631"/>
      <c r="C13" s="663"/>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5"/>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96" t="s">
        <v>77</v>
      </c>
      <c r="B15" s="597"/>
      <c r="C15" s="883" t="s">
        <v>426</v>
      </c>
      <c r="D15" s="884"/>
      <c r="E15" s="884"/>
      <c r="F15" s="884"/>
      <c r="G15" s="884"/>
      <c r="H15" s="884"/>
      <c r="I15" s="884"/>
      <c r="J15" s="884"/>
      <c r="K15" s="885"/>
      <c r="L15" s="590" t="s">
        <v>73</v>
      </c>
      <c r="M15" s="666"/>
      <c r="N15" s="666"/>
      <c r="O15" s="666"/>
      <c r="P15" s="666"/>
      <c r="Q15" s="591"/>
      <c r="R15" s="886" t="s">
        <v>622</v>
      </c>
      <c r="S15" s="887"/>
      <c r="T15" s="887"/>
      <c r="U15" s="887"/>
      <c r="V15" s="887"/>
      <c r="W15" s="887"/>
      <c r="X15" s="888"/>
      <c r="Y15" s="590" t="s">
        <v>72</v>
      </c>
      <c r="Z15" s="591"/>
      <c r="AA15" s="883" t="s">
        <v>623</v>
      </c>
      <c r="AB15" s="884"/>
      <c r="AC15" s="884"/>
      <c r="AD15" s="885"/>
    </row>
    <row r="16" spans="1:30" ht="9" customHeight="1" thickBot="1">
      <c r="A16" s="257"/>
      <c r="B16" s="252"/>
      <c r="C16" s="889"/>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271"/>
      <c r="AD16" s="272"/>
    </row>
    <row r="17" spans="1:30" s="273" customFormat="1" ht="37.5" customHeight="1" thickBot="1">
      <c r="A17" s="596" t="s">
        <v>79</v>
      </c>
      <c r="B17" s="597"/>
      <c r="C17" s="676" t="s">
        <v>579</v>
      </c>
      <c r="D17" s="677"/>
      <c r="E17" s="677"/>
      <c r="F17" s="677"/>
      <c r="G17" s="677"/>
      <c r="H17" s="677"/>
      <c r="I17" s="677"/>
      <c r="J17" s="677"/>
      <c r="K17" s="677"/>
      <c r="L17" s="677"/>
      <c r="M17" s="677"/>
      <c r="N17" s="677"/>
      <c r="O17" s="677"/>
      <c r="P17" s="677"/>
      <c r="Q17" s="678"/>
      <c r="R17" s="590" t="s">
        <v>374</v>
      </c>
      <c r="S17" s="666"/>
      <c r="T17" s="666"/>
      <c r="U17" s="666"/>
      <c r="V17" s="591"/>
      <c r="W17" s="592"/>
      <c r="X17" s="593"/>
      <c r="Y17" s="666" t="s">
        <v>15</v>
      </c>
      <c r="Z17" s="666"/>
      <c r="AA17" s="666"/>
      <c r="AB17" s="591"/>
      <c r="AC17" s="893">
        <f>+VIGENCIA!D7</f>
        <v>0.5779259291341293</v>
      </c>
      <c r="AD17" s="894"/>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0" t="s">
        <v>1</v>
      </c>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591"/>
      <c r="AE19" s="275"/>
      <c r="AF19" s="275"/>
    </row>
    <row r="20" spans="1:32" ht="31.5" customHeight="1" thickBot="1">
      <c r="A20" s="276"/>
      <c r="B20" s="258"/>
      <c r="C20" s="694" t="s">
        <v>376</v>
      </c>
      <c r="D20" s="742"/>
      <c r="E20" s="742"/>
      <c r="F20" s="742"/>
      <c r="G20" s="742"/>
      <c r="H20" s="742"/>
      <c r="I20" s="742"/>
      <c r="J20" s="742"/>
      <c r="K20" s="742"/>
      <c r="L20" s="742"/>
      <c r="M20" s="742"/>
      <c r="N20" s="742"/>
      <c r="O20" s="742"/>
      <c r="P20" s="695"/>
      <c r="Q20" s="692" t="s">
        <v>377</v>
      </c>
      <c r="R20" s="895"/>
      <c r="S20" s="895"/>
      <c r="T20" s="895"/>
      <c r="U20" s="895"/>
      <c r="V20" s="895"/>
      <c r="W20" s="895"/>
      <c r="X20" s="895"/>
      <c r="Y20" s="895"/>
      <c r="Z20" s="895"/>
      <c r="AA20" s="895"/>
      <c r="AB20" s="895"/>
      <c r="AC20" s="895"/>
      <c r="AD20" s="693"/>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96" t="s">
        <v>378</v>
      </c>
      <c r="B22" s="897"/>
      <c r="C22" s="197">
        <f>+RESERVA!C14</f>
        <v>148248728</v>
      </c>
      <c r="D22" s="195"/>
      <c r="E22" s="195"/>
      <c r="F22" s="195"/>
      <c r="G22" s="195"/>
      <c r="H22" s="195"/>
      <c r="I22" s="195"/>
      <c r="J22" s="195"/>
      <c r="K22" s="195"/>
      <c r="L22" s="195"/>
      <c r="M22" s="195"/>
      <c r="N22" s="195"/>
      <c r="O22" s="195"/>
      <c r="P22" s="198"/>
      <c r="Q22" s="197">
        <v>6661541216</v>
      </c>
      <c r="R22" s="195">
        <v>0</v>
      </c>
      <c r="S22" s="195">
        <v>30000000</v>
      </c>
      <c r="T22" s="195">
        <v>7000000</v>
      </c>
      <c r="U22" s="195">
        <v>0</v>
      </c>
      <c r="V22" s="195">
        <v>0</v>
      </c>
      <c r="W22" s="195">
        <v>0</v>
      </c>
      <c r="X22" s="195">
        <v>0</v>
      </c>
      <c r="Y22" s="195">
        <v>0</v>
      </c>
      <c r="Z22" s="195">
        <v>0</v>
      </c>
      <c r="AA22" s="195">
        <v>0</v>
      </c>
      <c r="AB22" s="195">
        <v>0</v>
      </c>
      <c r="AC22" s="195">
        <f>SUM(Q22:AB22)</f>
        <v>6698541216</v>
      </c>
      <c r="AD22" s="202"/>
      <c r="AE22" s="4"/>
      <c r="AF22" s="4"/>
    </row>
    <row r="23" spans="1:32" ht="31.5" customHeight="1">
      <c r="A23" s="898" t="s">
        <v>379</v>
      </c>
      <c r="B23" s="899"/>
      <c r="C23" s="192"/>
      <c r="D23" s="191"/>
      <c r="E23" s="191"/>
      <c r="F23" s="191"/>
      <c r="G23" s="191"/>
      <c r="H23" s="191"/>
      <c r="I23" s="191"/>
      <c r="J23" s="191"/>
      <c r="K23" s="191"/>
      <c r="L23" s="191"/>
      <c r="M23" s="191"/>
      <c r="N23" s="191"/>
      <c r="O23" s="191"/>
      <c r="P23" s="211"/>
      <c r="Q23" s="192">
        <f>+VIGENCIA!D16</f>
        <v>6153982761</v>
      </c>
      <c r="R23" s="191">
        <f>+VIGENCIA!F16</f>
        <v>187249867</v>
      </c>
      <c r="S23" s="191">
        <f>+VIGENCIA!H16</f>
        <v>12391320</v>
      </c>
      <c r="T23" s="191">
        <f>+VIGENCIA!J16</f>
        <v>76446900</v>
      </c>
      <c r="U23" s="191">
        <f>+VIGENCIA!L16</f>
        <v>-19105647</v>
      </c>
      <c r="V23" s="191">
        <f>+VIGENCIA!N16</f>
        <v>68314000</v>
      </c>
      <c r="W23" s="191"/>
      <c r="X23" s="191"/>
      <c r="Y23" s="191"/>
      <c r="Z23" s="191"/>
      <c r="AA23" s="191"/>
      <c r="AB23" s="191"/>
      <c r="AC23" s="191">
        <f>SUM(Q23:AB23)</f>
        <v>6479279201</v>
      </c>
      <c r="AD23" s="456">
        <f>+AC23/AC22</f>
        <v>0.9672671992408921</v>
      </c>
      <c r="AE23" s="4"/>
      <c r="AF23" s="4"/>
    </row>
    <row r="24" spans="1:32" ht="31.5" customHeight="1">
      <c r="A24" s="898" t="s">
        <v>380</v>
      </c>
      <c r="B24" s="899"/>
      <c r="C24" s="192">
        <f>13360000-12360000</f>
        <v>1000000</v>
      </c>
      <c r="D24" s="191">
        <v>1136000</v>
      </c>
      <c r="E24" s="191">
        <v>3553334</v>
      </c>
      <c r="F24" s="191">
        <v>57122894</v>
      </c>
      <c r="G24" s="191">
        <f>1000000-RESERVA!L14</f>
        <v>346666</v>
      </c>
      <c r="H24" s="191">
        <f>1000000-RESERVA!N14</f>
        <v>-22400000</v>
      </c>
      <c r="I24" s="191">
        <f>516500+70560000</f>
        <v>71076500</v>
      </c>
      <c r="J24" s="191"/>
      <c r="K24" s="191"/>
      <c r="L24" s="191"/>
      <c r="M24" s="191"/>
      <c r="N24" s="191"/>
      <c r="O24" s="191">
        <f>SUM(C24:N24)</f>
        <v>111835394</v>
      </c>
      <c r="P24" s="196"/>
      <c r="Q24" s="192"/>
      <c r="R24" s="191">
        <v>446693886</v>
      </c>
      <c r="S24" s="191">
        <v>565233651</v>
      </c>
      <c r="T24" s="191">
        <v>569983651</v>
      </c>
      <c r="U24" s="191">
        <v>568233651</v>
      </c>
      <c r="V24" s="191">
        <v>569983651</v>
      </c>
      <c r="W24" s="191">
        <v>568233651</v>
      </c>
      <c r="X24" s="191">
        <v>569983651</v>
      </c>
      <c r="Y24" s="191">
        <v>568233651</v>
      </c>
      <c r="Z24" s="191">
        <v>569983651</v>
      </c>
      <c r="AA24" s="191">
        <v>568233651</v>
      </c>
      <c r="AB24" s="191">
        <v>1133744471</v>
      </c>
      <c r="AC24" s="191">
        <f>SUM(Q24:AB24)</f>
        <v>6698541216</v>
      </c>
      <c r="AD24" s="456"/>
      <c r="AE24" s="4"/>
      <c r="AF24" s="4"/>
    </row>
    <row r="25" spans="1:32" ht="31.5" customHeight="1" thickBot="1">
      <c r="A25" s="900" t="s">
        <v>381</v>
      </c>
      <c r="B25" s="901"/>
      <c r="C25" s="193">
        <f>+RESERVA!E14</f>
        <v>613145</v>
      </c>
      <c r="D25" s="194">
        <f>+RESERVA!G14</f>
        <v>450994</v>
      </c>
      <c r="E25" s="194">
        <f>+RESERVA!I14</f>
        <v>634080</v>
      </c>
      <c r="F25" s="194">
        <f>+RESERVA!K14</f>
        <v>515228</v>
      </c>
      <c r="G25" s="194">
        <f>+RESERVA!M14</f>
        <v>1618238</v>
      </c>
      <c r="H25" s="194">
        <f>+RESERVA!O14</f>
        <v>2875004</v>
      </c>
      <c r="I25" s="194"/>
      <c r="J25" s="194"/>
      <c r="K25" s="194"/>
      <c r="L25" s="194"/>
      <c r="M25" s="194"/>
      <c r="N25" s="194"/>
      <c r="O25" s="194">
        <f>SUM(C25:N25)</f>
        <v>6706689</v>
      </c>
      <c r="P25" s="455">
        <f>+O25/O24</f>
        <v>0.05996928843475081</v>
      </c>
      <c r="Q25" s="193">
        <f>+VIGENCIA!E16</f>
        <v>7763070</v>
      </c>
      <c r="R25" s="194">
        <f>+VIGENCIA!G16</f>
        <v>354001805</v>
      </c>
      <c r="S25" s="194">
        <f>+VIGENCIA!I16</f>
        <v>525548557</v>
      </c>
      <c r="T25" s="194">
        <f>+VIGENCIA!K16</f>
        <v>547224383</v>
      </c>
      <c r="U25" s="194">
        <f>+VIGENCIA!M16</f>
        <v>557928399</v>
      </c>
      <c r="V25" s="194">
        <f>+VIGENCIA!O16</f>
        <v>536595066</v>
      </c>
      <c r="W25" s="194"/>
      <c r="X25" s="194"/>
      <c r="Y25" s="194"/>
      <c r="Z25" s="194"/>
      <c r="AA25" s="194"/>
      <c r="AB25" s="194"/>
      <c r="AC25" s="194">
        <f>SUM(Q25:AB25)</f>
        <v>2529061280</v>
      </c>
      <c r="AD25" s="457">
        <f>+AC25/AC24</f>
        <v>0.37755403728189885</v>
      </c>
      <c r="AE25" s="4"/>
      <c r="AF25" s="4"/>
    </row>
    <row r="26" spans="1:30" ht="31.5" customHeight="1" thickBot="1">
      <c r="A26" s="257"/>
      <c r="B26" s="252"/>
      <c r="C26" s="280"/>
      <c r="D26" s="280"/>
      <c r="E26" s="405"/>
      <c r="F26" s="280"/>
      <c r="G26" s="280"/>
      <c r="H26" s="280"/>
      <c r="I26" s="280"/>
      <c r="J26" s="280"/>
      <c r="K26" s="280"/>
      <c r="L26" s="280"/>
      <c r="M26" s="280"/>
      <c r="N26" s="406"/>
      <c r="O26" s="405"/>
      <c r="P26" s="280"/>
      <c r="Q26" s="280"/>
      <c r="R26" s="280"/>
      <c r="S26" s="280"/>
      <c r="T26" s="280"/>
      <c r="U26" s="280"/>
      <c r="V26" s="280"/>
      <c r="W26" s="280"/>
      <c r="X26" s="280"/>
      <c r="Y26" s="280"/>
      <c r="Z26" s="280"/>
      <c r="AA26" s="280"/>
      <c r="AB26" s="280"/>
      <c r="AC26" s="258"/>
      <c r="AD26" s="267"/>
    </row>
    <row r="27" spans="1:30" ht="33.75" customHeight="1">
      <c r="A27" s="902" t="s">
        <v>76</v>
      </c>
      <c r="B27" s="903"/>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5"/>
    </row>
    <row r="28" spans="1:30" ht="15" customHeight="1">
      <c r="A28" s="906" t="s">
        <v>189</v>
      </c>
      <c r="B28" s="908" t="s">
        <v>6</v>
      </c>
      <c r="C28" s="909"/>
      <c r="D28" s="899" t="s">
        <v>398</v>
      </c>
      <c r="E28" s="912"/>
      <c r="F28" s="912"/>
      <c r="G28" s="912"/>
      <c r="H28" s="912"/>
      <c r="I28" s="912"/>
      <c r="J28" s="912"/>
      <c r="K28" s="912"/>
      <c r="L28" s="912"/>
      <c r="M28" s="912"/>
      <c r="N28" s="912"/>
      <c r="O28" s="913"/>
      <c r="P28" s="914" t="s">
        <v>8</v>
      </c>
      <c r="Q28" s="914" t="s">
        <v>84</v>
      </c>
      <c r="R28" s="914"/>
      <c r="S28" s="914"/>
      <c r="T28" s="914"/>
      <c r="U28" s="914"/>
      <c r="V28" s="914"/>
      <c r="W28" s="914"/>
      <c r="X28" s="914"/>
      <c r="Y28" s="914"/>
      <c r="Z28" s="914"/>
      <c r="AA28" s="914"/>
      <c r="AB28" s="914"/>
      <c r="AC28" s="914"/>
      <c r="AD28" s="915"/>
    </row>
    <row r="29" spans="1:30" ht="27" customHeight="1">
      <c r="A29" s="907"/>
      <c r="B29" s="910"/>
      <c r="C29" s="911"/>
      <c r="D29" s="281" t="s">
        <v>39</v>
      </c>
      <c r="E29" s="281" t="s">
        <v>40</v>
      </c>
      <c r="F29" s="281" t="s">
        <v>41</v>
      </c>
      <c r="G29" s="281" t="s">
        <v>42</v>
      </c>
      <c r="H29" s="281" t="s">
        <v>43</v>
      </c>
      <c r="I29" s="281" t="s">
        <v>44</v>
      </c>
      <c r="J29" s="281" t="s">
        <v>45</v>
      </c>
      <c r="K29" s="281" t="s">
        <v>46</v>
      </c>
      <c r="L29" s="281" t="s">
        <v>47</v>
      </c>
      <c r="M29" s="281" t="s">
        <v>48</v>
      </c>
      <c r="N29" s="281" t="s">
        <v>49</v>
      </c>
      <c r="O29" s="281" t="s">
        <v>50</v>
      </c>
      <c r="P29" s="913"/>
      <c r="Q29" s="914"/>
      <c r="R29" s="914"/>
      <c r="S29" s="914"/>
      <c r="T29" s="914"/>
      <c r="U29" s="914"/>
      <c r="V29" s="914"/>
      <c r="W29" s="914"/>
      <c r="X29" s="914"/>
      <c r="Y29" s="914"/>
      <c r="Z29" s="914"/>
      <c r="AA29" s="914"/>
      <c r="AB29" s="914"/>
      <c r="AC29" s="914"/>
      <c r="AD29" s="915"/>
    </row>
    <row r="30" spans="1:30" ht="70.5" customHeight="1" thickBot="1">
      <c r="A30" s="394" t="str">
        <f>C17</f>
        <v>Ejecutar el 100%  las actividades programadas para una correcta gestión administrativa y organizacional</v>
      </c>
      <c r="B30" s="1008" t="s">
        <v>450</v>
      </c>
      <c r="C30" s="1009"/>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18"/>
      <c r="R30" s="918"/>
      <c r="S30" s="918"/>
      <c r="T30" s="918"/>
      <c r="U30" s="918"/>
      <c r="V30" s="918"/>
      <c r="W30" s="918"/>
      <c r="X30" s="918"/>
      <c r="Y30" s="918"/>
      <c r="Z30" s="918"/>
      <c r="AA30" s="918"/>
      <c r="AB30" s="918"/>
      <c r="AC30" s="918"/>
      <c r="AD30" s="919"/>
    </row>
    <row r="31" spans="1:30" ht="45" customHeight="1">
      <c r="A31" s="854" t="s">
        <v>292</v>
      </c>
      <c r="B31" s="855"/>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6"/>
    </row>
    <row r="32" spans="1:41" ht="22.5" customHeight="1">
      <c r="A32" s="898" t="s">
        <v>190</v>
      </c>
      <c r="B32" s="914" t="s">
        <v>62</v>
      </c>
      <c r="C32" s="914" t="s">
        <v>6</v>
      </c>
      <c r="D32" s="914" t="s">
        <v>60</v>
      </c>
      <c r="E32" s="914"/>
      <c r="F32" s="914"/>
      <c r="G32" s="914"/>
      <c r="H32" s="914"/>
      <c r="I32" s="914"/>
      <c r="J32" s="914"/>
      <c r="K32" s="914"/>
      <c r="L32" s="914"/>
      <c r="M32" s="914"/>
      <c r="N32" s="914"/>
      <c r="O32" s="914"/>
      <c r="P32" s="914"/>
      <c r="Q32" s="914" t="s">
        <v>85</v>
      </c>
      <c r="R32" s="914"/>
      <c r="S32" s="914"/>
      <c r="T32" s="914"/>
      <c r="U32" s="914"/>
      <c r="V32" s="914"/>
      <c r="W32" s="914"/>
      <c r="X32" s="914"/>
      <c r="Y32" s="914"/>
      <c r="Z32" s="914"/>
      <c r="AA32" s="914"/>
      <c r="AB32" s="914"/>
      <c r="AC32" s="914"/>
      <c r="AD32" s="915"/>
      <c r="AG32" s="90"/>
      <c r="AH32" s="90"/>
      <c r="AI32" s="90"/>
      <c r="AJ32" s="90"/>
      <c r="AK32" s="90"/>
      <c r="AL32" s="90"/>
      <c r="AM32" s="90"/>
      <c r="AN32" s="90"/>
      <c r="AO32" s="90"/>
    </row>
    <row r="33" spans="1:41" ht="27" customHeight="1">
      <c r="A33" s="898"/>
      <c r="B33" s="914"/>
      <c r="C33" s="920"/>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14" t="s">
        <v>403</v>
      </c>
      <c r="R33" s="914"/>
      <c r="S33" s="914"/>
      <c r="T33" s="914" t="s">
        <v>406</v>
      </c>
      <c r="U33" s="914"/>
      <c r="V33" s="914"/>
      <c r="W33" s="910" t="s">
        <v>81</v>
      </c>
      <c r="X33" s="921"/>
      <c r="Y33" s="921"/>
      <c r="Z33" s="911"/>
      <c r="AA33" s="910" t="s">
        <v>82</v>
      </c>
      <c r="AB33" s="921"/>
      <c r="AC33" s="921"/>
      <c r="AD33" s="922"/>
      <c r="AG33" s="90"/>
      <c r="AH33" s="90"/>
      <c r="AI33" s="90"/>
      <c r="AJ33" s="90"/>
      <c r="AK33" s="90"/>
      <c r="AL33" s="90"/>
      <c r="AM33" s="90"/>
      <c r="AN33" s="90"/>
      <c r="AO33" s="90"/>
    </row>
    <row r="34" spans="1:41" ht="182.25" customHeight="1">
      <c r="A34" s="998" t="str">
        <f>A30</f>
        <v>Ejecutar el 100%  las actividades programadas para una correcta gestión administrativa y organizacional</v>
      </c>
      <c r="B34" s="1000">
        <f>+AC17</f>
        <v>0.5779259291341293</v>
      </c>
      <c r="C34" s="284" t="s">
        <v>9</v>
      </c>
      <c r="D34" s="395">
        <f>((D38*($B$38/$B$34))+(D40*($B$40/$B$34))+(D42*($B$42/$B$34))+(D44*($B$44/$B$34))+(D46*($B$46/$B$34))+(D48*($B$48/$B$34))*$P$34)</f>
        <v>0.0788888888888889</v>
      </c>
      <c r="E34" s="395">
        <f aca="true" t="shared" si="0" ref="E34:O34">((E38*($B$38/$B$34))+(E40*($B$40/$B$34))+(E42*($B$42/$B$34))+(E44*($B$44/$B$34))+(E46*($B$46/$B$34))+(E48*($B$48/$B$34))*$P$34)</f>
        <v>0.11388888888888891</v>
      </c>
      <c r="F34" s="395">
        <f t="shared" si="0"/>
        <v>0.09222222222222223</v>
      </c>
      <c r="G34" s="395">
        <f t="shared" si="0"/>
        <v>0.07722222222222223</v>
      </c>
      <c r="H34" s="395">
        <f t="shared" si="0"/>
        <v>0.0788888888888889</v>
      </c>
      <c r="I34" s="395">
        <f t="shared" si="0"/>
        <v>0.08222222222222222</v>
      </c>
      <c r="J34" s="395">
        <f t="shared" si="0"/>
        <v>0.0838888888888889</v>
      </c>
      <c r="K34" s="395">
        <f t="shared" si="0"/>
        <v>0.0788888888888889</v>
      </c>
      <c r="L34" s="395">
        <f t="shared" si="0"/>
        <v>0.0788888888888889</v>
      </c>
      <c r="M34" s="395">
        <f t="shared" si="0"/>
        <v>0.07388888888888889</v>
      </c>
      <c r="N34" s="395">
        <f t="shared" si="0"/>
        <v>0.0738888888888889</v>
      </c>
      <c r="O34" s="395">
        <f t="shared" si="0"/>
        <v>0.08722222222222223</v>
      </c>
      <c r="P34" s="177">
        <v>1</v>
      </c>
      <c r="Q34" s="1002" t="s">
        <v>984</v>
      </c>
      <c r="R34" s="1003"/>
      <c r="S34" s="1004"/>
      <c r="T34" s="1002" t="s">
        <v>985</v>
      </c>
      <c r="U34" s="1003"/>
      <c r="V34" s="1004"/>
      <c r="W34" s="939" t="s">
        <v>986</v>
      </c>
      <c r="X34" s="940"/>
      <c r="Y34" s="940"/>
      <c r="Z34" s="941"/>
      <c r="AA34" s="939" t="s">
        <v>987</v>
      </c>
      <c r="AB34" s="940"/>
      <c r="AC34" s="940"/>
      <c r="AD34" s="941"/>
      <c r="AG34" s="90"/>
      <c r="AH34" s="90"/>
      <c r="AI34" s="90"/>
      <c r="AJ34" s="90"/>
      <c r="AK34" s="90"/>
      <c r="AL34" s="90"/>
      <c r="AM34" s="90"/>
      <c r="AN34" s="90"/>
      <c r="AO34" s="90"/>
    </row>
    <row r="35" spans="1:41" ht="182.25" customHeight="1" thickBot="1">
      <c r="A35" s="999"/>
      <c r="B35" s="1001"/>
      <c r="C35" s="285" t="s">
        <v>10</v>
      </c>
      <c r="D35" s="418">
        <f>((D39*($B$38/$B$34))+(D41*($B$40/$B$34))+(D43*($B$42/$B$34))+(D45*($B$44/$B$34))+(D47*($B$46/$B$34))+(D49*($B$48/$B$34))*$P$34)</f>
        <v>0.07888333333333336</v>
      </c>
      <c r="E35" s="418">
        <f>((E39*($B$38/$B$34))+(E41*($B$40/$B$34))+(E43*($B$42/$B$34))+(E45*($B$44/$B$34))+(E47*($B$46/$B$34))+(E49*($B$48/$B$34))*$P$34)</f>
        <v>0.11388333333333335</v>
      </c>
      <c r="F35" s="418">
        <f>((F39*($B$38/$B$34))+(F41*($B$40/$B$34))+(F43*($B$42/$B$34))+(F45*($B$44/$B$34))+(F47*($B$46/$B$34))+(F49*($B$48/$B$34))*$P$34)</f>
        <v>0.09221666666666667</v>
      </c>
      <c r="G35" s="418">
        <f>((G39*($B$38/$B$34))+(G41*($B$40/$B$34))+(G43*($B$42/$B$34))+(G45*($B$44/$B$34))+(G47*($B$46/$B$34))+(G49*($B$48/$B$34))*$P$34)</f>
        <v>0.07721666666666667</v>
      </c>
      <c r="H35" s="418">
        <f>((H39*($B$38/$B$34))+(H41*($B$40/$B$34))+(H43*($B$42/$B$34))+(H45*($B$44/$B$34))+(H47*($B$46/$B$34))+(H49*($B$48/$B$34))*$P$34)</f>
        <v>0.0788888888888889</v>
      </c>
      <c r="I35" s="496">
        <f>((I39*($B$38/$B$34))+(I41*($B$40/$B$34))+(I43*($B$42/$B$34))+(I45*($B$44/$B$34))+(I47*($B$46/$B$34))+(I49*($B$48/$B$34))*$P$34)</f>
        <v>0.08221666666666667</v>
      </c>
      <c r="J35" s="96"/>
      <c r="K35" s="96"/>
      <c r="L35" s="96"/>
      <c r="M35" s="96"/>
      <c r="N35" s="96"/>
      <c r="O35" s="96"/>
      <c r="P35" s="178">
        <f>SUM(D35:O35)</f>
        <v>0.5233055555555556</v>
      </c>
      <c r="Q35" s="1005"/>
      <c r="R35" s="1006"/>
      <c r="S35" s="1007"/>
      <c r="T35" s="1005"/>
      <c r="U35" s="1006"/>
      <c r="V35" s="1007"/>
      <c r="W35" s="942"/>
      <c r="X35" s="943"/>
      <c r="Y35" s="943"/>
      <c r="Z35" s="944"/>
      <c r="AA35" s="942"/>
      <c r="AB35" s="943"/>
      <c r="AC35" s="943"/>
      <c r="AD35" s="944"/>
      <c r="AE35" s="50"/>
      <c r="AG35" s="90"/>
      <c r="AH35" s="90"/>
      <c r="AI35" s="90"/>
      <c r="AJ35" s="90"/>
      <c r="AK35" s="90"/>
      <c r="AL35" s="90"/>
      <c r="AM35" s="90"/>
      <c r="AN35" s="90"/>
      <c r="AO35" s="90"/>
    </row>
    <row r="36" spans="1:41" ht="25.5" customHeight="1">
      <c r="A36" s="896" t="s">
        <v>191</v>
      </c>
      <c r="B36" s="947" t="s">
        <v>61</v>
      </c>
      <c r="C36" s="949" t="s">
        <v>11</v>
      </c>
      <c r="D36" s="949"/>
      <c r="E36" s="949"/>
      <c r="F36" s="949"/>
      <c r="G36" s="949"/>
      <c r="H36" s="949"/>
      <c r="I36" s="949"/>
      <c r="J36" s="949"/>
      <c r="K36" s="949"/>
      <c r="L36" s="949"/>
      <c r="M36" s="949"/>
      <c r="N36" s="949"/>
      <c r="O36" s="949"/>
      <c r="P36" s="949"/>
      <c r="Q36" s="897" t="s">
        <v>78</v>
      </c>
      <c r="R36" s="950"/>
      <c r="S36" s="950"/>
      <c r="T36" s="950"/>
      <c r="U36" s="950"/>
      <c r="V36" s="950"/>
      <c r="W36" s="950"/>
      <c r="X36" s="950"/>
      <c r="Y36" s="950"/>
      <c r="Z36" s="950"/>
      <c r="AA36" s="950"/>
      <c r="AB36" s="950"/>
      <c r="AC36" s="950"/>
      <c r="AD36" s="951"/>
      <c r="AG36" s="90"/>
      <c r="AH36" s="90"/>
      <c r="AI36" s="90"/>
      <c r="AJ36" s="90"/>
      <c r="AK36" s="90"/>
      <c r="AL36" s="90"/>
      <c r="AM36" s="90"/>
      <c r="AN36" s="90"/>
      <c r="AO36" s="90"/>
    </row>
    <row r="37" spans="1:41" ht="25.5" customHeight="1">
      <c r="A37" s="898"/>
      <c r="B37" s="948"/>
      <c r="C37" s="432" t="s">
        <v>12</v>
      </c>
      <c r="D37" s="432" t="s">
        <v>36</v>
      </c>
      <c r="E37" s="432" t="s">
        <v>37</v>
      </c>
      <c r="F37" s="432" t="s">
        <v>38</v>
      </c>
      <c r="G37" s="432" t="s">
        <v>51</v>
      </c>
      <c r="H37" s="432" t="s">
        <v>52</v>
      </c>
      <c r="I37" s="432" t="s">
        <v>53</v>
      </c>
      <c r="J37" s="432" t="s">
        <v>54</v>
      </c>
      <c r="K37" s="432" t="s">
        <v>55</v>
      </c>
      <c r="L37" s="432" t="s">
        <v>56</v>
      </c>
      <c r="M37" s="432" t="s">
        <v>57</v>
      </c>
      <c r="N37" s="432" t="s">
        <v>58</v>
      </c>
      <c r="O37" s="432" t="s">
        <v>59</v>
      </c>
      <c r="P37" s="432" t="s">
        <v>63</v>
      </c>
      <c r="Q37" s="899" t="s">
        <v>83</v>
      </c>
      <c r="R37" s="912"/>
      <c r="S37" s="912"/>
      <c r="T37" s="912"/>
      <c r="U37" s="912"/>
      <c r="V37" s="912"/>
      <c r="W37" s="912"/>
      <c r="X37" s="912"/>
      <c r="Y37" s="912"/>
      <c r="Z37" s="912"/>
      <c r="AA37" s="912"/>
      <c r="AB37" s="912"/>
      <c r="AC37" s="912"/>
      <c r="AD37" s="952"/>
      <c r="AG37" s="98"/>
      <c r="AH37" s="98"/>
      <c r="AI37" s="98"/>
      <c r="AJ37" s="98"/>
      <c r="AK37" s="98"/>
      <c r="AL37" s="98"/>
      <c r="AM37" s="98"/>
      <c r="AN37" s="98"/>
      <c r="AO37" s="98"/>
    </row>
    <row r="38" spans="1:41" ht="110.25" customHeight="1">
      <c r="A38" s="996" t="s">
        <v>580</v>
      </c>
      <c r="B38" s="997">
        <f>+$B$34/6</f>
        <v>0.09632098818902156</v>
      </c>
      <c r="C38" s="284" t="s">
        <v>9</v>
      </c>
      <c r="D38" s="99">
        <v>0.1</v>
      </c>
      <c r="E38" s="99">
        <v>0.1</v>
      </c>
      <c r="F38" s="99">
        <v>0.08</v>
      </c>
      <c r="G38" s="99">
        <v>0.08</v>
      </c>
      <c r="H38" s="99">
        <v>0.08</v>
      </c>
      <c r="I38" s="99">
        <v>0.08</v>
      </c>
      <c r="J38" s="99">
        <v>0.08</v>
      </c>
      <c r="K38" s="99">
        <v>0.08</v>
      </c>
      <c r="L38" s="99">
        <v>0.08</v>
      </c>
      <c r="M38" s="99">
        <v>0.08</v>
      </c>
      <c r="N38" s="99">
        <v>0.08</v>
      </c>
      <c r="O38" s="99">
        <v>0.08</v>
      </c>
      <c r="P38" s="286">
        <f>SUM(D38:O38)</f>
        <v>0.9999999999999998</v>
      </c>
      <c r="Q38" s="974" t="s">
        <v>868</v>
      </c>
      <c r="R38" s="975"/>
      <c r="S38" s="975"/>
      <c r="T38" s="975"/>
      <c r="U38" s="975"/>
      <c r="V38" s="975"/>
      <c r="W38" s="975"/>
      <c r="X38" s="975"/>
      <c r="Y38" s="975"/>
      <c r="Z38" s="975"/>
      <c r="AA38" s="975"/>
      <c r="AB38" s="975"/>
      <c r="AC38" s="975"/>
      <c r="AD38" s="976"/>
      <c r="AE38" s="287"/>
      <c r="AG38" s="102"/>
      <c r="AH38" s="102"/>
      <c r="AI38" s="102"/>
      <c r="AJ38" s="102"/>
      <c r="AK38" s="102"/>
      <c r="AL38" s="102"/>
      <c r="AM38" s="102"/>
      <c r="AN38" s="102"/>
      <c r="AO38" s="102"/>
    </row>
    <row r="39" spans="1:31" ht="110.25" customHeight="1">
      <c r="A39" s="991"/>
      <c r="B39" s="992"/>
      <c r="C39" s="288" t="s">
        <v>10</v>
      </c>
      <c r="D39" s="104">
        <v>0.1</v>
      </c>
      <c r="E39" s="104">
        <v>0.1</v>
      </c>
      <c r="F39" s="104">
        <v>0.08</v>
      </c>
      <c r="G39" s="104">
        <v>0.08</v>
      </c>
      <c r="H39" s="104">
        <v>0.08</v>
      </c>
      <c r="I39" s="104">
        <v>0.08</v>
      </c>
      <c r="J39" s="104"/>
      <c r="K39" s="104"/>
      <c r="L39" s="104"/>
      <c r="M39" s="104"/>
      <c r="N39" s="104"/>
      <c r="O39" s="104"/>
      <c r="P39" s="289">
        <f aca="true" t="shared" si="1" ref="P39:P45">SUM(D39:O39)</f>
        <v>0.52</v>
      </c>
      <c r="Q39" s="993"/>
      <c r="R39" s="994"/>
      <c r="S39" s="994"/>
      <c r="T39" s="994"/>
      <c r="U39" s="994"/>
      <c r="V39" s="994"/>
      <c r="W39" s="994"/>
      <c r="X39" s="994"/>
      <c r="Y39" s="994"/>
      <c r="Z39" s="994"/>
      <c r="AA39" s="994"/>
      <c r="AB39" s="994"/>
      <c r="AC39" s="994"/>
      <c r="AD39" s="995"/>
      <c r="AE39" s="287"/>
    </row>
    <row r="40" spans="1:31" ht="93.75" customHeight="1">
      <c r="A40" s="990" t="s">
        <v>581</v>
      </c>
      <c r="B40" s="982">
        <f>+$B$34/6</f>
        <v>0.09632098818902156</v>
      </c>
      <c r="C40" s="290" t="s">
        <v>9</v>
      </c>
      <c r="D40" s="99">
        <v>0.2</v>
      </c>
      <c r="E40" s="99">
        <v>0.3</v>
      </c>
      <c r="F40" s="99">
        <v>0.15</v>
      </c>
      <c r="G40" s="99">
        <v>0.03</v>
      </c>
      <c r="H40" s="99">
        <v>0.03</v>
      </c>
      <c r="I40" s="99">
        <v>0.03</v>
      </c>
      <c r="J40" s="99">
        <v>0.04</v>
      </c>
      <c r="K40" s="99">
        <v>0.03</v>
      </c>
      <c r="L40" s="99">
        <v>0.04</v>
      </c>
      <c r="M40" s="99">
        <v>0.02</v>
      </c>
      <c r="N40" s="99">
        <v>0.05</v>
      </c>
      <c r="O40" s="99">
        <v>0.08</v>
      </c>
      <c r="P40" s="289">
        <f>SUM(D40:O40)</f>
        <v>1.0000000000000002</v>
      </c>
      <c r="Q40" s="974" t="s">
        <v>869</v>
      </c>
      <c r="R40" s="975"/>
      <c r="S40" s="975"/>
      <c r="T40" s="975"/>
      <c r="U40" s="975"/>
      <c r="V40" s="975"/>
      <c r="W40" s="975"/>
      <c r="X40" s="975"/>
      <c r="Y40" s="975"/>
      <c r="Z40" s="975"/>
      <c r="AA40" s="975"/>
      <c r="AB40" s="975"/>
      <c r="AC40" s="975"/>
      <c r="AD40" s="976"/>
      <c r="AE40" s="287"/>
    </row>
    <row r="41" spans="1:31" ht="93.75" customHeight="1">
      <c r="A41" s="991"/>
      <c r="B41" s="992"/>
      <c r="C41" s="288" t="s">
        <v>10</v>
      </c>
      <c r="D41" s="104">
        <v>0.2</v>
      </c>
      <c r="E41" s="104">
        <v>0.3</v>
      </c>
      <c r="F41" s="104">
        <v>0.15</v>
      </c>
      <c r="G41" s="104">
        <v>0.03</v>
      </c>
      <c r="H41" s="104">
        <v>0.03</v>
      </c>
      <c r="I41" s="104">
        <v>0.03</v>
      </c>
      <c r="J41" s="104"/>
      <c r="K41" s="104"/>
      <c r="L41" s="104"/>
      <c r="M41" s="104"/>
      <c r="N41" s="104"/>
      <c r="O41" s="104"/>
      <c r="P41" s="289">
        <f t="shared" si="1"/>
        <v>0.7400000000000001</v>
      </c>
      <c r="Q41" s="993"/>
      <c r="R41" s="994"/>
      <c r="S41" s="994"/>
      <c r="T41" s="994"/>
      <c r="U41" s="994"/>
      <c r="V41" s="994"/>
      <c r="W41" s="994"/>
      <c r="X41" s="994"/>
      <c r="Y41" s="994"/>
      <c r="Z41" s="994"/>
      <c r="AA41" s="994"/>
      <c r="AB41" s="994"/>
      <c r="AC41" s="994"/>
      <c r="AD41" s="995"/>
      <c r="AE41" s="287"/>
    </row>
    <row r="42" spans="1:31" ht="124.5" customHeight="1">
      <c r="A42" s="996" t="s">
        <v>582</v>
      </c>
      <c r="B42" s="982">
        <f>+$B$34/6</f>
        <v>0.09632098818902156</v>
      </c>
      <c r="C42" s="290" t="s">
        <v>9</v>
      </c>
      <c r="D42" s="99">
        <v>0.05</v>
      </c>
      <c r="E42" s="99">
        <v>0.05</v>
      </c>
      <c r="F42" s="99">
        <v>0.07</v>
      </c>
      <c r="G42" s="99">
        <v>0.09</v>
      </c>
      <c r="H42" s="99">
        <v>0.1</v>
      </c>
      <c r="I42" s="99">
        <v>0.12</v>
      </c>
      <c r="J42" s="99">
        <v>0.12</v>
      </c>
      <c r="K42" s="99">
        <v>0.1</v>
      </c>
      <c r="L42" s="99">
        <v>0.09</v>
      </c>
      <c r="M42" s="99">
        <v>0.09</v>
      </c>
      <c r="N42" s="99">
        <v>0.07</v>
      </c>
      <c r="O42" s="99">
        <v>0.05</v>
      </c>
      <c r="P42" s="289">
        <f>SUM(D42:O42)</f>
        <v>1</v>
      </c>
      <c r="Q42" s="974" t="s">
        <v>870</v>
      </c>
      <c r="R42" s="975"/>
      <c r="S42" s="975"/>
      <c r="T42" s="975"/>
      <c r="U42" s="975"/>
      <c r="V42" s="975"/>
      <c r="W42" s="975"/>
      <c r="X42" s="975"/>
      <c r="Y42" s="975"/>
      <c r="Z42" s="975"/>
      <c r="AA42" s="975"/>
      <c r="AB42" s="975"/>
      <c r="AC42" s="975"/>
      <c r="AD42" s="976"/>
      <c r="AE42" s="287"/>
    </row>
    <row r="43" spans="1:31" ht="124.5" customHeight="1">
      <c r="A43" s="991"/>
      <c r="B43" s="992"/>
      <c r="C43" s="288" t="s">
        <v>10</v>
      </c>
      <c r="D43" s="104">
        <v>0.05</v>
      </c>
      <c r="E43" s="104">
        <v>0.05</v>
      </c>
      <c r="F43" s="104">
        <v>0.07</v>
      </c>
      <c r="G43" s="104">
        <v>0.09</v>
      </c>
      <c r="H43" s="104">
        <v>0.1</v>
      </c>
      <c r="I43" s="104">
        <v>0.12</v>
      </c>
      <c r="J43" s="104"/>
      <c r="K43" s="104"/>
      <c r="L43" s="104"/>
      <c r="M43" s="104"/>
      <c r="N43" s="104"/>
      <c r="O43" s="104"/>
      <c r="P43" s="289">
        <f t="shared" si="1"/>
        <v>0.48</v>
      </c>
      <c r="Q43" s="993"/>
      <c r="R43" s="994"/>
      <c r="S43" s="994"/>
      <c r="T43" s="994"/>
      <c r="U43" s="994"/>
      <c r="V43" s="994"/>
      <c r="W43" s="994"/>
      <c r="X43" s="994"/>
      <c r="Y43" s="994"/>
      <c r="Z43" s="994"/>
      <c r="AA43" s="994"/>
      <c r="AB43" s="994"/>
      <c r="AC43" s="994"/>
      <c r="AD43" s="995"/>
      <c r="AE43" s="287"/>
    </row>
    <row r="44" spans="1:31" ht="93.75" customHeight="1">
      <c r="A44" s="990" t="s">
        <v>793</v>
      </c>
      <c r="B44" s="982">
        <f>+$B$34/6</f>
        <v>0.09632098818902156</v>
      </c>
      <c r="C44" s="290" t="s">
        <v>9</v>
      </c>
      <c r="D44" s="329">
        <v>0.02</v>
      </c>
      <c r="E44" s="329">
        <v>0.07</v>
      </c>
      <c r="F44" s="329">
        <v>0.08</v>
      </c>
      <c r="G44" s="329">
        <v>0.09</v>
      </c>
      <c r="H44" s="329">
        <v>0.09</v>
      </c>
      <c r="I44" s="329">
        <v>0.09</v>
      </c>
      <c r="J44" s="329">
        <v>0.09</v>
      </c>
      <c r="K44" s="329">
        <v>0.09</v>
      </c>
      <c r="L44" s="329">
        <v>0.09</v>
      </c>
      <c r="M44" s="329">
        <v>0.08</v>
      </c>
      <c r="N44" s="329">
        <v>0.07</v>
      </c>
      <c r="O44" s="329">
        <v>0.14</v>
      </c>
      <c r="P44" s="333">
        <f>SUM(D44:O44)</f>
        <v>0.9999999999999999</v>
      </c>
      <c r="Q44" s="974" t="s">
        <v>866</v>
      </c>
      <c r="R44" s="975"/>
      <c r="S44" s="975"/>
      <c r="T44" s="975"/>
      <c r="U44" s="975"/>
      <c r="V44" s="975"/>
      <c r="W44" s="975"/>
      <c r="X44" s="975"/>
      <c r="Y44" s="975"/>
      <c r="Z44" s="975"/>
      <c r="AA44" s="975"/>
      <c r="AB44" s="975"/>
      <c r="AC44" s="975"/>
      <c r="AD44" s="976"/>
      <c r="AE44" s="287"/>
    </row>
    <row r="45" spans="1:31" ht="93.75" customHeight="1">
      <c r="A45" s="991"/>
      <c r="B45" s="992"/>
      <c r="C45" s="288" t="s">
        <v>10</v>
      </c>
      <c r="D45" s="104">
        <v>0.02</v>
      </c>
      <c r="E45" s="104">
        <v>0.07</v>
      </c>
      <c r="F45" s="104">
        <v>0.08</v>
      </c>
      <c r="G45" s="104">
        <v>0.09</v>
      </c>
      <c r="H45" s="104">
        <v>0.09</v>
      </c>
      <c r="I45" s="104">
        <v>0.09</v>
      </c>
      <c r="J45" s="104"/>
      <c r="K45" s="104"/>
      <c r="L45" s="104"/>
      <c r="M45" s="104"/>
      <c r="N45" s="104"/>
      <c r="O45" s="104"/>
      <c r="P45" s="333">
        <f t="shared" si="1"/>
        <v>0.43999999999999995</v>
      </c>
      <c r="Q45" s="993"/>
      <c r="R45" s="994"/>
      <c r="S45" s="994"/>
      <c r="T45" s="994"/>
      <c r="U45" s="994"/>
      <c r="V45" s="994"/>
      <c r="W45" s="994"/>
      <c r="X45" s="994"/>
      <c r="Y45" s="994"/>
      <c r="Z45" s="994"/>
      <c r="AA45" s="994"/>
      <c r="AB45" s="994"/>
      <c r="AC45" s="994"/>
      <c r="AD45" s="995"/>
      <c r="AE45" s="287"/>
    </row>
    <row r="46" spans="1:31" ht="93.75" customHeight="1">
      <c r="A46" s="990" t="s">
        <v>794</v>
      </c>
      <c r="B46" s="982">
        <f>+$B$34/6</f>
        <v>0.09632098818902156</v>
      </c>
      <c r="C46" s="290" t="s">
        <v>9</v>
      </c>
      <c r="D46" s="407">
        <v>0.08333333333333334</v>
      </c>
      <c r="E46" s="407">
        <v>0.08333333333333334</v>
      </c>
      <c r="F46" s="407">
        <v>0.08333333333333334</v>
      </c>
      <c r="G46" s="407">
        <v>0.08333333333333334</v>
      </c>
      <c r="H46" s="407">
        <v>0.08333333333333334</v>
      </c>
      <c r="I46" s="407">
        <v>0.08333333333333334</v>
      </c>
      <c r="J46" s="407">
        <v>0.08333333333333334</v>
      </c>
      <c r="K46" s="407">
        <v>0.08333333333333334</v>
      </c>
      <c r="L46" s="407">
        <v>0.08333333333333334</v>
      </c>
      <c r="M46" s="407">
        <v>0.08333333333333334</v>
      </c>
      <c r="N46" s="407">
        <v>0.08333333333333334</v>
      </c>
      <c r="O46" s="407">
        <v>0.08333333333333334</v>
      </c>
      <c r="P46" s="333">
        <f>SUM(D46:O46)</f>
        <v>1.0000000000000002</v>
      </c>
      <c r="Q46" s="974" t="s">
        <v>867</v>
      </c>
      <c r="R46" s="975"/>
      <c r="S46" s="975"/>
      <c r="T46" s="975"/>
      <c r="U46" s="975"/>
      <c r="V46" s="975"/>
      <c r="W46" s="975"/>
      <c r="X46" s="975"/>
      <c r="Y46" s="975"/>
      <c r="Z46" s="975"/>
      <c r="AA46" s="975"/>
      <c r="AB46" s="975"/>
      <c r="AC46" s="975"/>
      <c r="AD46" s="976"/>
      <c r="AE46" s="287"/>
    </row>
    <row r="47" spans="1:31" ht="93.75" customHeight="1">
      <c r="A47" s="991"/>
      <c r="B47" s="992"/>
      <c r="C47" s="288" t="s">
        <v>10</v>
      </c>
      <c r="D47" s="410">
        <v>0.0833</v>
      </c>
      <c r="E47" s="410">
        <v>0.0833</v>
      </c>
      <c r="F47" s="410">
        <v>0.0833</v>
      </c>
      <c r="G47" s="410">
        <v>0.0833</v>
      </c>
      <c r="H47" s="410">
        <v>0.08333333333333334</v>
      </c>
      <c r="I47" s="493">
        <v>0.0833</v>
      </c>
      <c r="J47" s="104"/>
      <c r="K47" s="104"/>
      <c r="L47" s="104"/>
      <c r="M47" s="104"/>
      <c r="N47" s="104"/>
      <c r="O47" s="104"/>
      <c r="P47" s="333">
        <f>SUM(D47:O47)</f>
        <v>0.4998333333333333</v>
      </c>
      <c r="Q47" s="993"/>
      <c r="R47" s="994"/>
      <c r="S47" s="994"/>
      <c r="T47" s="994"/>
      <c r="U47" s="994"/>
      <c r="V47" s="994"/>
      <c r="W47" s="994"/>
      <c r="X47" s="994"/>
      <c r="Y47" s="994"/>
      <c r="Z47" s="994"/>
      <c r="AA47" s="994"/>
      <c r="AB47" s="994"/>
      <c r="AC47" s="994"/>
      <c r="AD47" s="995"/>
      <c r="AE47" s="287"/>
    </row>
    <row r="48" spans="1:41" ht="93.75" customHeight="1">
      <c r="A48" s="980" t="s">
        <v>628</v>
      </c>
      <c r="B48" s="982">
        <f>+$B$34/6</f>
        <v>0.09632098818902156</v>
      </c>
      <c r="C48" s="290" t="s">
        <v>9</v>
      </c>
      <c r="D48" s="329">
        <v>0.02</v>
      </c>
      <c r="E48" s="329">
        <v>0.08</v>
      </c>
      <c r="F48" s="329">
        <v>0.09</v>
      </c>
      <c r="G48" s="329">
        <v>0.09</v>
      </c>
      <c r="H48" s="329">
        <v>0.09</v>
      </c>
      <c r="I48" s="329">
        <v>0.09</v>
      </c>
      <c r="J48" s="329">
        <v>0.09</v>
      </c>
      <c r="K48" s="329">
        <v>0.09</v>
      </c>
      <c r="L48" s="329">
        <v>0.09</v>
      </c>
      <c r="M48" s="329">
        <v>0.09</v>
      </c>
      <c r="N48" s="329">
        <v>0.09</v>
      </c>
      <c r="O48" s="329">
        <v>0.09</v>
      </c>
      <c r="P48" s="333">
        <f>SUM(D48:O48)</f>
        <v>0.9999999999999998</v>
      </c>
      <c r="Q48" s="984" t="s">
        <v>885</v>
      </c>
      <c r="R48" s="985"/>
      <c r="S48" s="985"/>
      <c r="T48" s="985"/>
      <c r="U48" s="985"/>
      <c r="V48" s="985"/>
      <c r="W48" s="985"/>
      <c r="X48" s="985"/>
      <c r="Y48" s="985"/>
      <c r="Z48" s="985"/>
      <c r="AA48" s="985"/>
      <c r="AB48" s="985"/>
      <c r="AC48" s="985"/>
      <c r="AD48" s="986"/>
      <c r="AE48" s="287"/>
      <c r="AG48" s="102"/>
      <c r="AH48" s="102"/>
      <c r="AI48" s="102"/>
      <c r="AJ48" s="102"/>
      <c r="AK48" s="102"/>
      <c r="AL48" s="102"/>
      <c r="AM48" s="102"/>
      <c r="AN48" s="102"/>
      <c r="AO48" s="102"/>
    </row>
    <row r="49" spans="1:31" ht="93.75" customHeight="1" thickBot="1">
      <c r="A49" s="981"/>
      <c r="B49" s="983"/>
      <c r="C49" s="285" t="s">
        <v>10</v>
      </c>
      <c r="D49" s="110">
        <v>0.02</v>
      </c>
      <c r="E49" s="110">
        <v>0.08</v>
      </c>
      <c r="F49" s="110">
        <v>0.09</v>
      </c>
      <c r="G49" s="110">
        <v>0.09</v>
      </c>
      <c r="H49" s="110">
        <v>0.09</v>
      </c>
      <c r="I49" s="110">
        <v>0.09</v>
      </c>
      <c r="J49" s="110"/>
      <c r="K49" s="110"/>
      <c r="L49" s="110"/>
      <c r="M49" s="110"/>
      <c r="N49" s="110"/>
      <c r="O49" s="110"/>
      <c r="P49" s="433">
        <f>SUM(D49:O49)</f>
        <v>0.45999999999999996</v>
      </c>
      <c r="Q49" s="987"/>
      <c r="R49" s="988"/>
      <c r="S49" s="988"/>
      <c r="T49" s="988"/>
      <c r="U49" s="988"/>
      <c r="V49" s="988"/>
      <c r="W49" s="988"/>
      <c r="X49" s="988"/>
      <c r="Y49" s="988"/>
      <c r="Z49" s="988"/>
      <c r="AA49" s="988"/>
      <c r="AB49" s="988"/>
      <c r="AC49" s="988"/>
      <c r="AD49" s="989"/>
      <c r="AE49" s="287"/>
    </row>
  </sheetData>
  <sheetProtection/>
  <mergeCells count="8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8:A49"/>
    <mergeCell ref="B48:B49"/>
    <mergeCell ref="Q48:AD49"/>
    <mergeCell ref="A44:A45"/>
    <mergeCell ref="B44:B45"/>
    <mergeCell ref="Q44:AD45"/>
    <mergeCell ref="A46:A47"/>
    <mergeCell ref="B46:B47"/>
    <mergeCell ref="Q46:AD4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7 Q48 AA34 W34 T34 Q34">
      <formula1>2000</formula1>
    </dataValidation>
  </dataValidations>
  <printOptions/>
  <pageMargins left="0.25" right="0.25" top="0.75" bottom="0.75" header="0.3" footer="0.3"/>
  <pageSetup fitToHeight="1" fitToWidth="1" horizontalDpi="600" verticalDpi="600" orientation="landscape" scale="20"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O43"/>
  <sheetViews>
    <sheetView showGridLines="0" zoomScale="70" zoomScaleNormal="70" workbookViewId="0" topLeftCell="M30">
      <selection activeCell="T34" sqref="T34:V35"/>
    </sheetView>
  </sheetViews>
  <sheetFormatPr defaultColWidth="10.8515625" defaultRowHeight="15"/>
  <cols>
    <col min="1" max="1" width="38.42187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c r="A1" s="1031"/>
      <c r="B1" s="1034" t="s">
        <v>16</v>
      </c>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6"/>
      <c r="AB1" s="848" t="s">
        <v>18</v>
      </c>
      <c r="AC1" s="849"/>
      <c r="AD1" s="850"/>
    </row>
    <row r="2" spans="1:30" ht="30.75" customHeight="1">
      <c r="A2" s="1032"/>
      <c r="B2" s="1045" t="s">
        <v>17</v>
      </c>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7"/>
      <c r="AB2" s="851" t="s">
        <v>418</v>
      </c>
      <c r="AC2" s="852"/>
      <c r="AD2" s="853"/>
    </row>
    <row r="3" spans="1:30" ht="24" customHeight="1">
      <c r="A3" s="1032"/>
      <c r="B3" s="873" t="s">
        <v>295</v>
      </c>
      <c r="C3" s="874"/>
      <c r="D3" s="874"/>
      <c r="E3" s="874"/>
      <c r="F3" s="874"/>
      <c r="G3" s="874"/>
      <c r="H3" s="874"/>
      <c r="I3" s="874"/>
      <c r="J3" s="874"/>
      <c r="K3" s="874"/>
      <c r="L3" s="874"/>
      <c r="M3" s="874"/>
      <c r="N3" s="874"/>
      <c r="O3" s="874"/>
      <c r="P3" s="874"/>
      <c r="Q3" s="874"/>
      <c r="R3" s="874"/>
      <c r="S3" s="874"/>
      <c r="T3" s="874"/>
      <c r="U3" s="874"/>
      <c r="V3" s="874"/>
      <c r="W3" s="874"/>
      <c r="X3" s="874"/>
      <c r="Y3" s="874"/>
      <c r="Z3" s="874"/>
      <c r="AA3" s="875"/>
      <c r="AB3" s="851" t="s">
        <v>478</v>
      </c>
      <c r="AC3" s="852"/>
      <c r="AD3" s="853"/>
    </row>
    <row r="4" spans="1:30" ht="21.75" customHeight="1" thickBot="1">
      <c r="A4" s="1033"/>
      <c r="B4" s="876"/>
      <c r="C4" s="877"/>
      <c r="D4" s="877"/>
      <c r="E4" s="877"/>
      <c r="F4" s="877"/>
      <c r="G4" s="877"/>
      <c r="H4" s="877"/>
      <c r="I4" s="877"/>
      <c r="J4" s="877"/>
      <c r="K4" s="877"/>
      <c r="L4" s="877"/>
      <c r="M4" s="877"/>
      <c r="N4" s="877"/>
      <c r="O4" s="877"/>
      <c r="P4" s="877"/>
      <c r="Q4" s="877"/>
      <c r="R4" s="877"/>
      <c r="S4" s="877"/>
      <c r="T4" s="877"/>
      <c r="U4" s="877"/>
      <c r="V4" s="877"/>
      <c r="W4" s="877"/>
      <c r="X4" s="877"/>
      <c r="Y4" s="877"/>
      <c r="Z4" s="877"/>
      <c r="AA4" s="878"/>
      <c r="AB4" s="623" t="s">
        <v>779</v>
      </c>
      <c r="AC4" s="624"/>
      <c r="AD4" s="625"/>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26" t="s">
        <v>293</v>
      </c>
      <c r="B7" s="627"/>
      <c r="C7" s="879" t="s">
        <v>44</v>
      </c>
      <c r="D7" s="626" t="s">
        <v>71</v>
      </c>
      <c r="E7" s="632"/>
      <c r="F7" s="632"/>
      <c r="G7" s="632"/>
      <c r="H7" s="627"/>
      <c r="I7" s="834">
        <v>45117</v>
      </c>
      <c r="J7" s="835"/>
      <c r="K7" s="626" t="s">
        <v>67</v>
      </c>
      <c r="L7" s="627"/>
      <c r="M7" s="840" t="s">
        <v>70</v>
      </c>
      <c r="N7" s="841"/>
      <c r="O7" s="860"/>
      <c r="P7" s="861"/>
      <c r="Q7" s="252"/>
      <c r="R7" s="252"/>
      <c r="S7" s="252"/>
      <c r="T7" s="252"/>
      <c r="U7" s="252"/>
      <c r="V7" s="252"/>
      <c r="W7" s="252"/>
      <c r="X7" s="252"/>
      <c r="Y7" s="252"/>
      <c r="Z7" s="253"/>
      <c r="AA7" s="252"/>
      <c r="AB7" s="252"/>
      <c r="AC7" s="258"/>
      <c r="AD7" s="259"/>
    </row>
    <row r="8" spans="1:30" ht="15" customHeight="1">
      <c r="A8" s="628"/>
      <c r="B8" s="629"/>
      <c r="C8" s="880"/>
      <c r="D8" s="628"/>
      <c r="E8" s="882"/>
      <c r="F8" s="882"/>
      <c r="G8" s="882"/>
      <c r="H8" s="629"/>
      <c r="I8" s="836"/>
      <c r="J8" s="837"/>
      <c r="K8" s="628"/>
      <c r="L8" s="629"/>
      <c r="M8" s="862" t="s">
        <v>68</v>
      </c>
      <c r="N8" s="863"/>
      <c r="O8" s="864"/>
      <c r="P8" s="865"/>
      <c r="Q8" s="252"/>
      <c r="R8" s="252"/>
      <c r="S8" s="252"/>
      <c r="T8" s="252"/>
      <c r="U8" s="252"/>
      <c r="V8" s="252"/>
      <c r="W8" s="252"/>
      <c r="X8" s="252"/>
      <c r="Y8" s="252"/>
      <c r="Z8" s="253"/>
      <c r="AA8" s="252"/>
      <c r="AB8" s="252"/>
      <c r="AC8" s="258"/>
      <c r="AD8" s="259"/>
    </row>
    <row r="9" spans="1:30" ht="15.75" customHeight="1" thickBot="1">
      <c r="A9" s="630"/>
      <c r="B9" s="631"/>
      <c r="C9" s="881"/>
      <c r="D9" s="630"/>
      <c r="E9" s="634"/>
      <c r="F9" s="634"/>
      <c r="G9" s="634"/>
      <c r="H9" s="631"/>
      <c r="I9" s="838"/>
      <c r="J9" s="839"/>
      <c r="K9" s="630"/>
      <c r="L9" s="631"/>
      <c r="M9" s="866" t="s">
        <v>69</v>
      </c>
      <c r="N9" s="867"/>
      <c r="O9" s="868" t="s">
        <v>425</v>
      </c>
      <c r="P9" s="869"/>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26" t="s">
        <v>0</v>
      </c>
      <c r="B11" s="627"/>
      <c r="C11" s="870" t="s">
        <v>497</v>
      </c>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2"/>
    </row>
    <row r="12" spans="1:30" ht="15" customHeight="1">
      <c r="A12" s="628"/>
      <c r="B12" s="629"/>
      <c r="C12" s="873"/>
      <c r="D12" s="874"/>
      <c r="E12" s="874"/>
      <c r="F12" s="874"/>
      <c r="G12" s="874"/>
      <c r="H12" s="874"/>
      <c r="I12" s="874"/>
      <c r="J12" s="874"/>
      <c r="K12" s="874"/>
      <c r="L12" s="874"/>
      <c r="M12" s="874"/>
      <c r="N12" s="874"/>
      <c r="O12" s="874"/>
      <c r="P12" s="874"/>
      <c r="Q12" s="874"/>
      <c r="R12" s="874"/>
      <c r="S12" s="874"/>
      <c r="T12" s="874"/>
      <c r="U12" s="874"/>
      <c r="V12" s="874"/>
      <c r="W12" s="874"/>
      <c r="X12" s="874"/>
      <c r="Y12" s="874"/>
      <c r="Z12" s="874"/>
      <c r="AA12" s="874"/>
      <c r="AB12" s="874"/>
      <c r="AC12" s="874"/>
      <c r="AD12" s="875"/>
    </row>
    <row r="13" spans="1:30" ht="15" customHeight="1" thickBot="1">
      <c r="A13" s="630"/>
      <c r="B13" s="631"/>
      <c r="C13" s="876"/>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c r="AB13" s="877"/>
      <c r="AC13" s="877"/>
      <c r="AD13" s="878"/>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96" t="s">
        <v>77</v>
      </c>
      <c r="B15" s="597"/>
      <c r="C15" s="883" t="s">
        <v>426</v>
      </c>
      <c r="D15" s="884"/>
      <c r="E15" s="884"/>
      <c r="F15" s="884"/>
      <c r="G15" s="884"/>
      <c r="H15" s="884"/>
      <c r="I15" s="884"/>
      <c r="J15" s="884"/>
      <c r="K15" s="885"/>
      <c r="L15" s="590" t="s">
        <v>73</v>
      </c>
      <c r="M15" s="666"/>
      <c r="N15" s="666"/>
      <c r="O15" s="666"/>
      <c r="P15" s="666"/>
      <c r="Q15" s="591"/>
      <c r="R15" s="886" t="s">
        <v>622</v>
      </c>
      <c r="S15" s="887"/>
      <c r="T15" s="887"/>
      <c r="U15" s="887"/>
      <c r="V15" s="887"/>
      <c r="W15" s="887"/>
      <c r="X15" s="888"/>
      <c r="Y15" s="590" t="s">
        <v>72</v>
      </c>
      <c r="Z15" s="591"/>
      <c r="AA15" s="883" t="s">
        <v>623</v>
      </c>
      <c r="AB15" s="884"/>
      <c r="AC15" s="884"/>
      <c r="AD15" s="885"/>
    </row>
    <row r="16" spans="1:30" ht="9" customHeight="1" thickBot="1">
      <c r="A16" s="257"/>
      <c r="B16" s="252"/>
      <c r="C16" s="889"/>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271"/>
      <c r="AD16" s="272"/>
    </row>
    <row r="17" spans="1:30" s="273" customFormat="1" ht="37.5" customHeight="1" thickBot="1">
      <c r="A17" s="596" t="s">
        <v>79</v>
      </c>
      <c r="B17" s="597"/>
      <c r="C17" s="883" t="s">
        <v>498</v>
      </c>
      <c r="D17" s="884"/>
      <c r="E17" s="884"/>
      <c r="F17" s="884"/>
      <c r="G17" s="884"/>
      <c r="H17" s="884"/>
      <c r="I17" s="884"/>
      <c r="J17" s="884"/>
      <c r="K17" s="884"/>
      <c r="L17" s="884"/>
      <c r="M17" s="884"/>
      <c r="N17" s="884"/>
      <c r="O17" s="884"/>
      <c r="P17" s="884"/>
      <c r="Q17" s="885"/>
      <c r="R17" s="590" t="s">
        <v>374</v>
      </c>
      <c r="S17" s="666"/>
      <c r="T17" s="666"/>
      <c r="U17" s="666"/>
      <c r="V17" s="591"/>
      <c r="W17" s="592"/>
      <c r="X17" s="593"/>
      <c r="Y17" s="666" t="s">
        <v>15</v>
      </c>
      <c r="Z17" s="666"/>
      <c r="AA17" s="666"/>
      <c r="AB17" s="591"/>
      <c r="AC17" s="893">
        <f>+VIGENCIA!D8</f>
        <v>0.1314687069939176</v>
      </c>
      <c r="AD17" s="894"/>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0" t="s">
        <v>1</v>
      </c>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591"/>
      <c r="AE19" s="275"/>
      <c r="AF19" s="275"/>
    </row>
    <row r="20" spans="1:32" ht="31.5" customHeight="1" thickBot="1">
      <c r="A20" s="276"/>
      <c r="B20" s="258"/>
      <c r="C20" s="694" t="s">
        <v>376</v>
      </c>
      <c r="D20" s="742"/>
      <c r="E20" s="742"/>
      <c r="F20" s="742"/>
      <c r="G20" s="742"/>
      <c r="H20" s="742"/>
      <c r="I20" s="742"/>
      <c r="J20" s="742"/>
      <c r="K20" s="742"/>
      <c r="L20" s="742"/>
      <c r="M20" s="742"/>
      <c r="N20" s="742"/>
      <c r="O20" s="742"/>
      <c r="P20" s="695"/>
      <c r="Q20" s="692" t="s">
        <v>377</v>
      </c>
      <c r="R20" s="895"/>
      <c r="S20" s="895"/>
      <c r="T20" s="895"/>
      <c r="U20" s="895"/>
      <c r="V20" s="895"/>
      <c r="W20" s="895"/>
      <c r="X20" s="895"/>
      <c r="Y20" s="895"/>
      <c r="Z20" s="895"/>
      <c r="AA20" s="895"/>
      <c r="AB20" s="895"/>
      <c r="AC20" s="895"/>
      <c r="AD20" s="693"/>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96" t="s">
        <v>378</v>
      </c>
      <c r="B22" s="897"/>
      <c r="C22" s="197">
        <f>+RESERVA!C15</f>
        <v>49583934</v>
      </c>
      <c r="D22" s="195"/>
      <c r="E22" s="191"/>
      <c r="F22" s="191"/>
      <c r="G22" s="195"/>
      <c r="H22" s="195"/>
      <c r="I22" s="195"/>
      <c r="J22" s="195"/>
      <c r="K22" s="195"/>
      <c r="L22" s="195"/>
      <c r="M22" s="195"/>
      <c r="N22" s="195"/>
      <c r="O22" s="195"/>
      <c r="P22" s="198"/>
      <c r="Q22" s="197">
        <v>1523808689</v>
      </c>
      <c r="R22" s="195">
        <v>0</v>
      </c>
      <c r="S22" s="195">
        <v>0</v>
      </c>
      <c r="T22" s="195">
        <v>0</v>
      </c>
      <c r="U22" s="195">
        <v>0</v>
      </c>
      <c r="V22" s="195">
        <v>0</v>
      </c>
      <c r="W22" s="195">
        <v>0</v>
      </c>
      <c r="X22" s="195">
        <v>0</v>
      </c>
      <c r="Y22" s="195">
        <v>0</v>
      </c>
      <c r="Z22" s="195">
        <v>0</v>
      </c>
      <c r="AA22" s="195">
        <v>0</v>
      </c>
      <c r="AB22" s="195">
        <v>0</v>
      </c>
      <c r="AC22" s="195">
        <f>SUM(Q22:AB22)</f>
        <v>1523808689</v>
      </c>
      <c r="AD22" s="202"/>
      <c r="AE22" s="4"/>
      <c r="AF22" s="4"/>
    </row>
    <row r="23" spans="1:32" ht="31.5" customHeight="1">
      <c r="A23" s="898" t="s">
        <v>379</v>
      </c>
      <c r="B23" s="899"/>
      <c r="C23" s="192"/>
      <c r="D23" s="191"/>
      <c r="E23" s="191"/>
      <c r="F23" s="191"/>
      <c r="G23" s="191"/>
      <c r="H23" s="191"/>
      <c r="I23" s="191"/>
      <c r="J23" s="191"/>
      <c r="K23" s="191"/>
      <c r="L23" s="191"/>
      <c r="M23" s="191"/>
      <c r="N23" s="191"/>
      <c r="O23" s="191"/>
      <c r="P23" s="211"/>
      <c r="Q23" s="192">
        <f>+VIGENCIA!D17</f>
        <v>1112475156</v>
      </c>
      <c r="R23" s="191">
        <f>+VIGENCIA!F17</f>
        <v>308525999</v>
      </c>
      <c r="S23" s="191">
        <f>+VIGENCIA!H17</f>
        <v>79079044</v>
      </c>
      <c r="T23" s="191">
        <f>+VIGENCIA!J17</f>
        <v>-34477766</v>
      </c>
      <c r="U23" s="191">
        <f>+VIGENCIA!L17</f>
        <v>-20290999</v>
      </c>
      <c r="V23" s="191">
        <f>+VIGENCIA!N17</f>
        <v>26780000</v>
      </c>
      <c r="W23" s="191"/>
      <c r="X23" s="191"/>
      <c r="Y23" s="191"/>
      <c r="Z23" s="191"/>
      <c r="AA23" s="191"/>
      <c r="AB23" s="191"/>
      <c r="AC23" s="191">
        <f>SUM(Q23:AB23)</f>
        <v>1472091434</v>
      </c>
      <c r="AD23" s="456">
        <f>_xlfn.IFERROR(AC23/(SUMIF(Q23:AB23,"&gt;0",Q22:AB22))," ")</f>
        <v>0.966060532812725</v>
      </c>
      <c r="AE23" s="4"/>
      <c r="AF23" s="4"/>
    </row>
    <row r="24" spans="1:32" ht="31.5" customHeight="1">
      <c r="A24" s="898" t="s">
        <v>380</v>
      </c>
      <c r="B24" s="899"/>
      <c r="C24" s="192">
        <f>33674667-25434667</f>
        <v>8240000</v>
      </c>
      <c r="D24" s="191">
        <v>-12943667</v>
      </c>
      <c r="E24" s="191">
        <v>2965600</v>
      </c>
      <c r="F24" s="191">
        <v>12943667</v>
      </c>
      <c r="G24" s="191">
        <f>+RESERVA!L15</f>
        <v>0</v>
      </c>
      <c r="H24" s="191">
        <f>+RESERVA!N15</f>
        <v>0</v>
      </c>
      <c r="I24" s="191"/>
      <c r="J24" s="191"/>
      <c r="K24" s="191"/>
      <c r="L24" s="191"/>
      <c r="M24" s="191"/>
      <c r="N24" s="191"/>
      <c r="O24" s="191">
        <f>SUM(C24:N24)</f>
        <v>11205600</v>
      </c>
      <c r="P24" s="196"/>
      <c r="Q24" s="192"/>
      <c r="R24" s="191">
        <v>99026385</v>
      </c>
      <c r="S24" s="191">
        <v>129525664</v>
      </c>
      <c r="T24" s="191">
        <v>129525664</v>
      </c>
      <c r="U24" s="191">
        <v>129525664</v>
      </c>
      <c r="V24" s="191">
        <v>129525664</v>
      </c>
      <c r="W24" s="191">
        <v>129525664</v>
      </c>
      <c r="X24" s="191">
        <v>129525664</v>
      </c>
      <c r="Y24" s="191">
        <v>129525664</v>
      </c>
      <c r="Z24" s="191">
        <v>129525664</v>
      </c>
      <c r="AA24" s="191">
        <v>129525664</v>
      </c>
      <c r="AB24" s="191">
        <v>259051328</v>
      </c>
      <c r="AC24" s="191">
        <f>SUM(Q24:AB24)</f>
        <v>1523808689</v>
      </c>
      <c r="AD24" s="456"/>
      <c r="AE24" s="4"/>
      <c r="AF24" s="4"/>
    </row>
    <row r="25" spans="1:32" ht="31.5" customHeight="1" thickBot="1">
      <c r="A25" s="900" t="s">
        <v>381</v>
      </c>
      <c r="B25" s="901"/>
      <c r="C25" s="193">
        <f>+RESERVA!E15</f>
        <v>8240000</v>
      </c>
      <c r="D25" s="194">
        <f>+RESERVA!G15</f>
        <v>0</v>
      </c>
      <c r="E25" s="194">
        <f>+RESERVA!I15</f>
        <v>0</v>
      </c>
      <c r="F25" s="194"/>
      <c r="G25" s="194">
        <f>+RESERVA!M15</f>
        <v>0</v>
      </c>
      <c r="H25" s="194">
        <f>+RESERVA!O15</f>
        <v>0</v>
      </c>
      <c r="I25" s="194"/>
      <c r="J25" s="194"/>
      <c r="K25" s="194"/>
      <c r="L25" s="194"/>
      <c r="M25" s="194"/>
      <c r="N25" s="194"/>
      <c r="O25" s="194">
        <f>SUM(C25:N25)</f>
        <v>8240000</v>
      </c>
      <c r="P25" s="455">
        <f>+O25/O24</f>
        <v>0.7353466124080816</v>
      </c>
      <c r="Q25" s="193">
        <f>+VIGENCIA!E17</f>
        <v>0</v>
      </c>
      <c r="R25" s="194">
        <f>+VIGENCIA!G17</f>
        <v>45917998</v>
      </c>
      <c r="S25" s="194">
        <f>+VIGENCIA!I17</f>
        <v>110000397</v>
      </c>
      <c r="T25" s="194">
        <f>+VIGENCIA!K17</f>
        <v>124259997</v>
      </c>
      <c r="U25" s="194">
        <f>+VIGENCIA!M17</f>
        <v>130302664</v>
      </c>
      <c r="V25" s="194">
        <f>+VIGENCIA!O17</f>
        <v>130302664</v>
      </c>
      <c r="W25" s="194"/>
      <c r="X25" s="194"/>
      <c r="Y25" s="194"/>
      <c r="Z25" s="194"/>
      <c r="AA25" s="194"/>
      <c r="AB25" s="194"/>
      <c r="AC25" s="194">
        <f>SUM(Q25:AB25)</f>
        <v>540783720</v>
      </c>
      <c r="AD25" s="457">
        <f>_xlfn.IFERROR(AC25/(SUMIF(Q25:AB25,"&gt;0",Q24:AB24))," ")</f>
        <v>0.8762895343957732</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02" t="s">
        <v>76</v>
      </c>
      <c r="B27" s="903"/>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5"/>
    </row>
    <row r="28" spans="1:30" ht="15" customHeight="1">
      <c r="A28" s="906" t="s">
        <v>189</v>
      </c>
      <c r="B28" s="908" t="s">
        <v>6</v>
      </c>
      <c r="C28" s="909"/>
      <c r="D28" s="899" t="s">
        <v>398</v>
      </c>
      <c r="E28" s="912"/>
      <c r="F28" s="912"/>
      <c r="G28" s="912"/>
      <c r="H28" s="912"/>
      <c r="I28" s="912"/>
      <c r="J28" s="912"/>
      <c r="K28" s="912"/>
      <c r="L28" s="912"/>
      <c r="M28" s="912"/>
      <c r="N28" s="912"/>
      <c r="O28" s="913"/>
      <c r="P28" s="914" t="s">
        <v>8</v>
      </c>
      <c r="Q28" s="914" t="s">
        <v>84</v>
      </c>
      <c r="R28" s="914"/>
      <c r="S28" s="914"/>
      <c r="T28" s="914"/>
      <c r="U28" s="914"/>
      <c r="V28" s="914"/>
      <c r="W28" s="914"/>
      <c r="X28" s="914"/>
      <c r="Y28" s="914"/>
      <c r="Z28" s="914"/>
      <c r="AA28" s="914"/>
      <c r="AB28" s="914"/>
      <c r="AC28" s="914"/>
      <c r="AD28" s="915"/>
    </row>
    <row r="29" spans="1:30" ht="27" customHeight="1">
      <c r="A29" s="907"/>
      <c r="B29" s="910"/>
      <c r="C29" s="911"/>
      <c r="D29" s="281" t="s">
        <v>39</v>
      </c>
      <c r="E29" s="281" t="s">
        <v>40</v>
      </c>
      <c r="F29" s="281" t="s">
        <v>41</v>
      </c>
      <c r="G29" s="281" t="s">
        <v>42</v>
      </c>
      <c r="H29" s="281" t="s">
        <v>43</v>
      </c>
      <c r="I29" s="281" t="s">
        <v>44</v>
      </c>
      <c r="J29" s="281" t="s">
        <v>45</v>
      </c>
      <c r="K29" s="281" t="s">
        <v>46</v>
      </c>
      <c r="L29" s="281" t="s">
        <v>47</v>
      </c>
      <c r="M29" s="281" t="s">
        <v>48</v>
      </c>
      <c r="N29" s="281" t="s">
        <v>49</v>
      </c>
      <c r="O29" s="281" t="s">
        <v>50</v>
      </c>
      <c r="P29" s="913"/>
      <c r="Q29" s="914"/>
      <c r="R29" s="914"/>
      <c r="S29" s="914"/>
      <c r="T29" s="914"/>
      <c r="U29" s="914"/>
      <c r="V29" s="914"/>
      <c r="W29" s="914"/>
      <c r="X29" s="914"/>
      <c r="Y29" s="914"/>
      <c r="Z29" s="914"/>
      <c r="AA29" s="914"/>
      <c r="AB29" s="914"/>
      <c r="AC29" s="914"/>
      <c r="AD29" s="915"/>
    </row>
    <row r="30" spans="1:30" ht="57" customHeight="1" thickBot="1">
      <c r="A30" s="282" t="str">
        <f>C17</f>
        <v>Soportar al 100% la implementación de las políticas del Modelo Integrado de Planeación y Gestión</v>
      </c>
      <c r="B30" s="1008" t="s">
        <v>450</v>
      </c>
      <c r="C30" s="1009"/>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18"/>
      <c r="R30" s="918"/>
      <c r="S30" s="918"/>
      <c r="T30" s="918"/>
      <c r="U30" s="918"/>
      <c r="V30" s="918"/>
      <c r="W30" s="918"/>
      <c r="X30" s="918"/>
      <c r="Y30" s="918"/>
      <c r="Z30" s="918"/>
      <c r="AA30" s="918"/>
      <c r="AB30" s="918"/>
      <c r="AC30" s="918"/>
      <c r="AD30" s="919"/>
    </row>
    <row r="31" spans="1:30" ht="45" customHeight="1">
      <c r="A31" s="854" t="s">
        <v>292</v>
      </c>
      <c r="B31" s="855"/>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6"/>
    </row>
    <row r="32" spans="1:41" ht="22.5" customHeight="1">
      <c r="A32" s="898" t="s">
        <v>190</v>
      </c>
      <c r="B32" s="914" t="s">
        <v>62</v>
      </c>
      <c r="C32" s="914" t="s">
        <v>6</v>
      </c>
      <c r="D32" s="914" t="s">
        <v>60</v>
      </c>
      <c r="E32" s="914"/>
      <c r="F32" s="914"/>
      <c r="G32" s="914"/>
      <c r="H32" s="914"/>
      <c r="I32" s="914"/>
      <c r="J32" s="914"/>
      <c r="K32" s="914"/>
      <c r="L32" s="914"/>
      <c r="M32" s="914"/>
      <c r="N32" s="914"/>
      <c r="O32" s="914"/>
      <c r="P32" s="914"/>
      <c r="Q32" s="914" t="s">
        <v>85</v>
      </c>
      <c r="R32" s="914"/>
      <c r="S32" s="914"/>
      <c r="T32" s="914"/>
      <c r="U32" s="914"/>
      <c r="V32" s="914"/>
      <c r="W32" s="914"/>
      <c r="X32" s="914"/>
      <c r="Y32" s="914"/>
      <c r="Z32" s="914"/>
      <c r="AA32" s="914"/>
      <c r="AB32" s="914"/>
      <c r="AC32" s="914"/>
      <c r="AD32" s="915"/>
      <c r="AG32" s="90"/>
      <c r="AH32" s="90"/>
      <c r="AI32" s="90"/>
      <c r="AJ32" s="90"/>
      <c r="AK32" s="90"/>
      <c r="AL32" s="90"/>
      <c r="AM32" s="90"/>
      <c r="AN32" s="90"/>
      <c r="AO32" s="90"/>
    </row>
    <row r="33" spans="1:41" ht="27" customHeight="1">
      <c r="A33" s="898"/>
      <c r="B33" s="914"/>
      <c r="C33" s="920"/>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14" t="s">
        <v>403</v>
      </c>
      <c r="R33" s="914"/>
      <c r="S33" s="914"/>
      <c r="T33" s="914" t="s">
        <v>406</v>
      </c>
      <c r="U33" s="914"/>
      <c r="V33" s="914"/>
      <c r="W33" s="910" t="s">
        <v>81</v>
      </c>
      <c r="X33" s="921"/>
      <c r="Y33" s="921"/>
      <c r="Z33" s="911"/>
      <c r="AA33" s="910" t="s">
        <v>82</v>
      </c>
      <c r="AB33" s="921"/>
      <c r="AC33" s="921"/>
      <c r="AD33" s="922"/>
      <c r="AG33" s="90"/>
      <c r="AH33" s="90"/>
      <c r="AI33" s="90"/>
      <c r="AJ33" s="90"/>
      <c r="AK33" s="90"/>
      <c r="AL33" s="90"/>
      <c r="AM33" s="90"/>
      <c r="AN33" s="90"/>
      <c r="AO33" s="90"/>
    </row>
    <row r="34" spans="1:41" ht="92.25" customHeight="1">
      <c r="A34" s="923" t="s">
        <v>499</v>
      </c>
      <c r="B34" s="1027">
        <f>+AC17</f>
        <v>0.1314687069939176</v>
      </c>
      <c r="C34" s="284" t="s">
        <v>9</v>
      </c>
      <c r="D34" s="177">
        <f>((D38*($B$38/$B$34))+(D40*($B$40/$B$34))+(D42*($B$42/$B$34)))*$P$34</f>
        <v>0.05476588432814744</v>
      </c>
      <c r="E34" s="177">
        <f aca="true" t="shared" si="0" ref="E34:O34">((E38*($B$38/$B$34))+(E40*($B$40/$B$34))+(E42*($B$42/$B$34)))*$P$34</f>
        <v>0.10420730767994722</v>
      </c>
      <c r="F34" s="177">
        <f t="shared" si="0"/>
        <v>0.08443073833922732</v>
      </c>
      <c r="G34" s="177">
        <f t="shared" si="0"/>
        <v>0.08138818920988579</v>
      </c>
      <c r="H34" s="177">
        <f t="shared" si="0"/>
        <v>0.08595201290389808</v>
      </c>
      <c r="I34" s="177">
        <f t="shared" si="0"/>
        <v>0.0608509825868305</v>
      </c>
      <c r="J34" s="177">
        <f t="shared" si="0"/>
        <v>0.0927977484449165</v>
      </c>
      <c r="K34" s="177">
        <f>((K38*($B$38/$B$34))+(K40*($B$40/$B$34))+(K42*($B$42/$B$34)))*$P$34</f>
        <v>0.0889945620332396</v>
      </c>
      <c r="L34" s="177">
        <f t="shared" si="0"/>
        <v>0.06997862997485507</v>
      </c>
      <c r="M34" s="177">
        <f t="shared" si="0"/>
        <v>0.09431902300958726</v>
      </c>
      <c r="N34" s="177">
        <f t="shared" si="0"/>
        <v>0.08138818920988579</v>
      </c>
      <c r="O34" s="177">
        <f t="shared" si="0"/>
        <v>0.08975519931557498</v>
      </c>
      <c r="P34" s="177">
        <v>1</v>
      </c>
      <c r="Q34" s="939" t="s">
        <v>966</v>
      </c>
      <c r="R34" s="940"/>
      <c r="S34" s="941"/>
      <c r="T34" s="939" t="s">
        <v>967</v>
      </c>
      <c r="U34" s="940"/>
      <c r="V34" s="941"/>
      <c r="W34" s="939" t="s">
        <v>968</v>
      </c>
      <c r="X34" s="940"/>
      <c r="Y34" s="940"/>
      <c r="Z34" s="941"/>
      <c r="AA34" s="939" t="s">
        <v>969</v>
      </c>
      <c r="AB34" s="940"/>
      <c r="AC34" s="940"/>
      <c r="AD34" s="1029"/>
      <c r="AG34" s="90"/>
      <c r="AH34" s="90"/>
      <c r="AI34" s="90"/>
      <c r="AJ34" s="90"/>
      <c r="AK34" s="90"/>
      <c r="AL34" s="90"/>
      <c r="AM34" s="90"/>
      <c r="AN34" s="90"/>
      <c r="AO34" s="90"/>
    </row>
    <row r="35" spans="1:41" ht="92.25" customHeight="1" thickBot="1">
      <c r="A35" s="924"/>
      <c r="B35" s="1028"/>
      <c r="C35" s="285" t="s">
        <v>10</v>
      </c>
      <c r="D35" s="418">
        <f>((D39*($B$38/$B$34))+(D41*($B$40/$B$34))+(D43*($B$42/$B$34)))*$P$34</f>
        <v>0.06161161986916587</v>
      </c>
      <c r="E35" s="418">
        <f>((E39*($B$38/$B$34))+(E41*($B$40/$B$34))+(E43*($B$42/$B$34)))*$P$34</f>
        <v>0.09736157213892879</v>
      </c>
      <c r="F35" s="418">
        <f>((F39*($B$38/$B$34))+(F41*($B$40/$B$34))+(F43*($B$42/$B$34)))*$P$34</f>
        <v>0.07986691464521503</v>
      </c>
      <c r="G35" s="418">
        <f>((G39*($B$38/$B$34))+(G41*($B$40/$B$34))+(G43*($B$42/$B$34)))*$P$34</f>
        <v>0.07758500279820887</v>
      </c>
      <c r="H35" s="418">
        <f>((H39*($B$38/$B$34))+(H41*($B$40/$B$34))+(H43*($B$42/$B$34)))*$P$34</f>
        <v>0.08595201290389808</v>
      </c>
      <c r="I35" s="496">
        <f>((I39*($B$38/$B$34))+(I41*($B$40/$B$34))+(I43*($B$42/$B$34)))*$P$34</f>
        <v>0.07226054182186122</v>
      </c>
      <c r="J35" s="96"/>
      <c r="K35" s="96"/>
      <c r="L35" s="96"/>
      <c r="M35" s="96"/>
      <c r="N35" s="96"/>
      <c r="O35" s="96"/>
      <c r="P35" s="178">
        <f>SUM(D35:O35)</f>
        <v>0.4746376641772779</v>
      </c>
      <c r="Q35" s="942"/>
      <c r="R35" s="943"/>
      <c r="S35" s="944"/>
      <c r="T35" s="942"/>
      <c r="U35" s="943"/>
      <c r="V35" s="944"/>
      <c r="W35" s="942"/>
      <c r="X35" s="943"/>
      <c r="Y35" s="943"/>
      <c r="Z35" s="944"/>
      <c r="AA35" s="942"/>
      <c r="AB35" s="943"/>
      <c r="AC35" s="943"/>
      <c r="AD35" s="1030"/>
      <c r="AE35" s="50"/>
      <c r="AG35" s="90"/>
      <c r="AH35" s="90"/>
      <c r="AI35" s="90"/>
      <c r="AJ35" s="90"/>
      <c r="AK35" s="90"/>
      <c r="AL35" s="90"/>
      <c r="AM35" s="90"/>
      <c r="AN35" s="90"/>
      <c r="AO35" s="90"/>
    </row>
    <row r="36" spans="1:41" ht="25.5" customHeight="1">
      <c r="A36" s="896" t="s">
        <v>191</v>
      </c>
      <c r="B36" s="947" t="s">
        <v>61</v>
      </c>
      <c r="C36" s="949" t="s">
        <v>11</v>
      </c>
      <c r="D36" s="949"/>
      <c r="E36" s="949"/>
      <c r="F36" s="949"/>
      <c r="G36" s="949"/>
      <c r="H36" s="949"/>
      <c r="I36" s="949"/>
      <c r="J36" s="949"/>
      <c r="K36" s="949"/>
      <c r="L36" s="949"/>
      <c r="M36" s="949"/>
      <c r="N36" s="949"/>
      <c r="O36" s="949"/>
      <c r="P36" s="949"/>
      <c r="Q36" s="897" t="s">
        <v>78</v>
      </c>
      <c r="R36" s="950"/>
      <c r="S36" s="950"/>
      <c r="T36" s="950"/>
      <c r="U36" s="950"/>
      <c r="V36" s="950"/>
      <c r="W36" s="950"/>
      <c r="X36" s="950"/>
      <c r="Y36" s="950"/>
      <c r="Z36" s="950"/>
      <c r="AA36" s="950"/>
      <c r="AB36" s="950"/>
      <c r="AC36" s="950"/>
      <c r="AD36" s="951"/>
      <c r="AG36" s="90"/>
      <c r="AH36" s="90"/>
      <c r="AI36" s="90"/>
      <c r="AJ36" s="90"/>
      <c r="AK36" s="90"/>
      <c r="AL36" s="90"/>
      <c r="AM36" s="90"/>
      <c r="AN36" s="90"/>
      <c r="AO36" s="90"/>
    </row>
    <row r="37" spans="1:41" ht="51" customHeight="1">
      <c r="A37" s="898"/>
      <c r="B37" s="948"/>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99" t="s">
        <v>83</v>
      </c>
      <c r="R37" s="912"/>
      <c r="S37" s="912"/>
      <c r="T37" s="912"/>
      <c r="U37" s="912"/>
      <c r="V37" s="912"/>
      <c r="W37" s="912"/>
      <c r="X37" s="912"/>
      <c r="Y37" s="912"/>
      <c r="Z37" s="912"/>
      <c r="AA37" s="912"/>
      <c r="AB37" s="912"/>
      <c r="AC37" s="912"/>
      <c r="AD37" s="952"/>
      <c r="AG37" s="98"/>
      <c r="AH37" s="98"/>
      <c r="AI37" s="98"/>
      <c r="AJ37" s="98"/>
      <c r="AK37" s="98"/>
      <c r="AL37" s="98"/>
      <c r="AM37" s="98"/>
      <c r="AN37" s="98"/>
      <c r="AO37" s="98"/>
    </row>
    <row r="38" spans="1:41" ht="112.5" customHeight="1">
      <c r="A38" s="1020" t="s">
        <v>499</v>
      </c>
      <c r="B38" s="1022">
        <v>0.05</v>
      </c>
      <c r="C38" s="284" t="s">
        <v>9</v>
      </c>
      <c r="D38" s="331">
        <v>0.03</v>
      </c>
      <c r="E38" s="331">
        <v>0.08</v>
      </c>
      <c r="F38" s="331">
        <v>0.1</v>
      </c>
      <c r="G38" s="331">
        <v>0.1</v>
      </c>
      <c r="H38" s="331">
        <v>0.08</v>
      </c>
      <c r="I38" s="331">
        <v>0.08</v>
      </c>
      <c r="J38" s="331">
        <v>0.1</v>
      </c>
      <c r="K38" s="331">
        <v>0.1</v>
      </c>
      <c r="L38" s="331">
        <v>0.08</v>
      </c>
      <c r="M38" s="331">
        <v>0.08</v>
      </c>
      <c r="N38" s="331">
        <v>0.08</v>
      </c>
      <c r="O38" s="331">
        <v>0.09</v>
      </c>
      <c r="P38" s="286">
        <f aca="true" t="shared" si="1" ref="P38:P43">SUM(D38:O38)</f>
        <v>0.9999999999999999</v>
      </c>
      <c r="Q38" s="974" t="s">
        <v>965</v>
      </c>
      <c r="R38" s="985"/>
      <c r="S38" s="985"/>
      <c r="T38" s="985"/>
      <c r="U38" s="985"/>
      <c r="V38" s="985"/>
      <c r="W38" s="985"/>
      <c r="X38" s="985"/>
      <c r="Y38" s="985"/>
      <c r="Z38" s="985"/>
      <c r="AA38" s="985"/>
      <c r="AB38" s="985"/>
      <c r="AC38" s="985"/>
      <c r="AD38" s="986"/>
      <c r="AE38" s="287"/>
      <c r="AG38" s="102"/>
      <c r="AH38" s="102"/>
      <c r="AI38" s="102"/>
      <c r="AJ38" s="102"/>
      <c r="AK38" s="102"/>
      <c r="AL38" s="102"/>
      <c r="AM38" s="102"/>
      <c r="AN38" s="102"/>
      <c r="AO38" s="102"/>
    </row>
    <row r="39" spans="1:31" ht="112.5" customHeight="1">
      <c r="A39" s="1021"/>
      <c r="B39" s="1023"/>
      <c r="C39" s="288" t="s">
        <v>10</v>
      </c>
      <c r="D39" s="104">
        <v>0.03</v>
      </c>
      <c r="E39" s="104">
        <v>0.08</v>
      </c>
      <c r="F39" s="104">
        <v>0.1</v>
      </c>
      <c r="G39" s="104">
        <v>0.09</v>
      </c>
      <c r="H39" s="104">
        <v>0.08</v>
      </c>
      <c r="I39" s="104">
        <v>0.08</v>
      </c>
      <c r="J39" s="104"/>
      <c r="K39" s="104"/>
      <c r="L39" s="104"/>
      <c r="M39" s="104"/>
      <c r="N39" s="104"/>
      <c r="O39" s="104"/>
      <c r="P39" s="289">
        <f t="shared" si="1"/>
        <v>0.4600000000000001</v>
      </c>
      <c r="Q39" s="1024"/>
      <c r="R39" s="1025"/>
      <c r="S39" s="1025"/>
      <c r="T39" s="1025"/>
      <c r="U39" s="1025"/>
      <c r="V39" s="1025"/>
      <c r="W39" s="1025"/>
      <c r="X39" s="1025"/>
      <c r="Y39" s="1025"/>
      <c r="Z39" s="1025"/>
      <c r="AA39" s="1025"/>
      <c r="AB39" s="1025"/>
      <c r="AC39" s="1025"/>
      <c r="AD39" s="1026"/>
      <c r="AE39" s="287"/>
    </row>
    <row r="40" spans="1:31" ht="69" customHeight="1">
      <c r="A40" s="1037" t="s">
        <v>629</v>
      </c>
      <c r="B40" s="1038">
        <v>0.03</v>
      </c>
      <c r="C40" s="290" t="s">
        <v>9</v>
      </c>
      <c r="D40" s="332">
        <v>0.04</v>
      </c>
      <c r="E40" s="332">
        <v>0.19</v>
      </c>
      <c r="F40" s="332">
        <v>0.07</v>
      </c>
      <c r="G40" s="332">
        <v>0.04</v>
      </c>
      <c r="H40" s="332">
        <v>0.11</v>
      </c>
      <c r="I40" s="332">
        <v>0</v>
      </c>
      <c r="J40" s="332">
        <v>0.09</v>
      </c>
      <c r="K40" s="332">
        <v>0.09</v>
      </c>
      <c r="L40" s="332">
        <v>0.04</v>
      </c>
      <c r="M40" s="332">
        <v>0.13</v>
      </c>
      <c r="N40" s="332">
        <v>0.09</v>
      </c>
      <c r="O40" s="332">
        <v>0.11</v>
      </c>
      <c r="P40" s="289">
        <f t="shared" si="1"/>
        <v>1</v>
      </c>
      <c r="Q40" s="1039" t="s">
        <v>856</v>
      </c>
      <c r="R40" s="1040"/>
      <c r="S40" s="1040"/>
      <c r="T40" s="1040"/>
      <c r="U40" s="1040"/>
      <c r="V40" s="1040"/>
      <c r="W40" s="1040"/>
      <c r="X40" s="1040"/>
      <c r="Y40" s="1040"/>
      <c r="Z40" s="1040"/>
      <c r="AA40" s="1040"/>
      <c r="AB40" s="1040"/>
      <c r="AC40" s="1040"/>
      <c r="AD40" s="1041"/>
      <c r="AE40" s="287"/>
    </row>
    <row r="41" spans="1:31" ht="69" customHeight="1">
      <c r="A41" s="1020"/>
      <c r="B41" s="1023"/>
      <c r="C41" s="288" t="s">
        <v>10</v>
      </c>
      <c r="D41" s="104">
        <v>0.07</v>
      </c>
      <c r="E41" s="104">
        <v>0.16</v>
      </c>
      <c r="F41" s="104">
        <v>0.05</v>
      </c>
      <c r="G41" s="104">
        <v>0.04</v>
      </c>
      <c r="H41" s="104">
        <v>0.11</v>
      </c>
      <c r="I41" s="104">
        <v>0.05</v>
      </c>
      <c r="J41" s="104"/>
      <c r="K41" s="104"/>
      <c r="L41" s="108"/>
      <c r="M41" s="108"/>
      <c r="N41" s="108"/>
      <c r="O41" s="108"/>
      <c r="P41" s="289">
        <f t="shared" si="1"/>
        <v>0.48</v>
      </c>
      <c r="Q41" s="1042"/>
      <c r="R41" s="1043"/>
      <c r="S41" s="1043"/>
      <c r="T41" s="1043"/>
      <c r="U41" s="1043"/>
      <c r="V41" s="1043"/>
      <c r="W41" s="1043"/>
      <c r="X41" s="1043"/>
      <c r="Y41" s="1043"/>
      <c r="Z41" s="1043"/>
      <c r="AA41" s="1043"/>
      <c r="AB41" s="1043"/>
      <c r="AC41" s="1043"/>
      <c r="AD41" s="1044"/>
      <c r="AE41" s="287"/>
    </row>
    <row r="42" spans="1:31" ht="107.25" customHeight="1" thickBot="1">
      <c r="A42" s="1011" t="s">
        <v>630</v>
      </c>
      <c r="B42" s="1013">
        <v>0.05</v>
      </c>
      <c r="C42" s="290" t="s">
        <v>9</v>
      </c>
      <c r="D42" s="107">
        <v>0.09</v>
      </c>
      <c r="E42" s="107">
        <v>0.08</v>
      </c>
      <c r="F42" s="107">
        <v>0.08</v>
      </c>
      <c r="G42" s="107">
        <v>0.09</v>
      </c>
      <c r="H42" s="107">
        <v>0.08</v>
      </c>
      <c r="I42" s="107">
        <v>0.08</v>
      </c>
      <c r="J42" s="107">
        <v>0.09</v>
      </c>
      <c r="K42" s="107">
        <v>0.08</v>
      </c>
      <c r="L42" s="107">
        <v>0.08</v>
      </c>
      <c r="M42" s="107">
        <v>0.09</v>
      </c>
      <c r="N42" s="107">
        <v>0.08</v>
      </c>
      <c r="O42" s="107">
        <v>0.08</v>
      </c>
      <c r="P42" s="333">
        <f t="shared" si="1"/>
        <v>0.9999999999999998</v>
      </c>
      <c r="Q42" s="1014" t="s">
        <v>955</v>
      </c>
      <c r="R42" s="1015"/>
      <c r="S42" s="1015"/>
      <c r="T42" s="1015"/>
      <c r="U42" s="1015"/>
      <c r="V42" s="1015"/>
      <c r="W42" s="1015"/>
      <c r="X42" s="1015"/>
      <c r="Y42" s="1015"/>
      <c r="Z42" s="1015"/>
      <c r="AA42" s="1015"/>
      <c r="AB42" s="1015"/>
      <c r="AC42" s="1015"/>
      <c r="AD42" s="1016"/>
      <c r="AE42" s="287"/>
    </row>
    <row r="43" spans="1:31" ht="107.25" customHeight="1" thickBot="1">
      <c r="A43" s="1012"/>
      <c r="B43" s="973"/>
      <c r="C43" s="334" t="s">
        <v>10</v>
      </c>
      <c r="D43" s="335">
        <v>0.09</v>
      </c>
      <c r="E43" s="335">
        <v>0.08</v>
      </c>
      <c r="F43" s="335">
        <v>0.08</v>
      </c>
      <c r="G43" s="335">
        <v>0.09</v>
      </c>
      <c r="H43" s="335">
        <v>0.08</v>
      </c>
      <c r="I43" s="335">
        <v>0.08</v>
      </c>
      <c r="J43" s="335"/>
      <c r="K43" s="335"/>
      <c r="L43" s="336"/>
      <c r="M43" s="336"/>
      <c r="N43" s="336"/>
      <c r="O43" s="336"/>
      <c r="P43" s="337">
        <f t="shared" si="1"/>
        <v>0.5</v>
      </c>
      <c r="Q43" s="1017"/>
      <c r="R43" s="1018"/>
      <c r="S43" s="1018"/>
      <c r="T43" s="1018"/>
      <c r="U43" s="1018"/>
      <c r="V43" s="1018"/>
      <c r="W43" s="1018"/>
      <c r="X43" s="1018"/>
      <c r="Y43" s="1018"/>
      <c r="Z43" s="1018"/>
      <c r="AA43" s="1018"/>
      <c r="AB43" s="1018"/>
      <c r="AC43" s="1018"/>
      <c r="AD43" s="1019"/>
      <c r="AE43" s="287"/>
    </row>
  </sheetData>
  <sheetProtection/>
  <mergeCells count="79">
    <mergeCell ref="A1:A4"/>
    <mergeCell ref="B1:AA1"/>
    <mergeCell ref="AB1:AD1"/>
    <mergeCell ref="A40:A41"/>
    <mergeCell ref="B40:B41"/>
    <mergeCell ref="Q40:AD41"/>
    <mergeCell ref="I7:J9"/>
    <mergeCell ref="K7:L9"/>
    <mergeCell ref="M7:N7"/>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2:A43"/>
    <mergeCell ref="B42:B43"/>
    <mergeCell ref="Q42:AD43"/>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3 AA34 Q34 W34">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O50"/>
  <sheetViews>
    <sheetView showGridLines="0" zoomScale="70" zoomScaleNormal="70" workbookViewId="0" topLeftCell="R33">
      <selection activeCell="W34" sqref="W34:Z35"/>
    </sheetView>
  </sheetViews>
  <sheetFormatPr defaultColWidth="9.140625" defaultRowHeight="15"/>
  <cols>
    <col min="1" max="1" width="40.00390625" style="246" customWidth="1"/>
    <col min="2" max="2" width="15.421875" style="246" customWidth="1"/>
    <col min="3" max="14" width="20.7109375" style="246" customWidth="1"/>
    <col min="15" max="15" width="16.140625" style="246" customWidth="1"/>
    <col min="16" max="16" width="18.140625" style="246" customWidth="1"/>
    <col min="17" max="22" width="31.8515625" style="246" customWidth="1"/>
    <col min="23"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338" customWidth="1"/>
    <col min="33" max="33" width="18.421875" style="338"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9.140625" style="246" customWidth="1"/>
  </cols>
  <sheetData>
    <row r="1" spans="1:30" ht="32.25" customHeight="1">
      <c r="A1" s="1031"/>
      <c r="B1" s="1034" t="s">
        <v>16</v>
      </c>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6"/>
      <c r="AB1" s="1048" t="s">
        <v>18</v>
      </c>
      <c r="AC1" s="1049"/>
      <c r="AD1" s="1050"/>
    </row>
    <row r="2" spans="1:30" ht="30.75" customHeight="1">
      <c r="A2" s="1032"/>
      <c r="B2" s="1045" t="s">
        <v>17</v>
      </c>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7"/>
      <c r="AB2" s="1051" t="s">
        <v>631</v>
      </c>
      <c r="AC2" s="1052"/>
      <c r="AD2" s="1053"/>
    </row>
    <row r="3" spans="1:30" ht="24" customHeight="1">
      <c r="A3" s="1032"/>
      <c r="B3" s="873" t="s">
        <v>295</v>
      </c>
      <c r="C3" s="874"/>
      <c r="D3" s="874"/>
      <c r="E3" s="874"/>
      <c r="F3" s="874"/>
      <c r="G3" s="874"/>
      <c r="H3" s="874"/>
      <c r="I3" s="874"/>
      <c r="J3" s="874"/>
      <c r="K3" s="874"/>
      <c r="L3" s="874"/>
      <c r="M3" s="874"/>
      <c r="N3" s="874"/>
      <c r="O3" s="874"/>
      <c r="P3" s="874"/>
      <c r="Q3" s="874"/>
      <c r="R3" s="874"/>
      <c r="S3" s="874"/>
      <c r="T3" s="874"/>
      <c r="U3" s="874"/>
      <c r="V3" s="874"/>
      <c r="W3" s="874"/>
      <c r="X3" s="874"/>
      <c r="Y3" s="874"/>
      <c r="Z3" s="874"/>
      <c r="AA3" s="875"/>
      <c r="AB3" s="1051" t="s">
        <v>632</v>
      </c>
      <c r="AC3" s="1052"/>
      <c r="AD3" s="1053"/>
    </row>
    <row r="4" spans="1:30" ht="21.75" customHeight="1" thickBot="1">
      <c r="A4" s="1033"/>
      <c r="B4" s="876"/>
      <c r="C4" s="877"/>
      <c r="D4" s="877"/>
      <c r="E4" s="877"/>
      <c r="F4" s="877"/>
      <c r="G4" s="877"/>
      <c r="H4" s="877"/>
      <c r="I4" s="877"/>
      <c r="J4" s="877"/>
      <c r="K4" s="877"/>
      <c r="L4" s="877"/>
      <c r="M4" s="877"/>
      <c r="N4" s="877"/>
      <c r="O4" s="877"/>
      <c r="P4" s="877"/>
      <c r="Q4" s="877"/>
      <c r="R4" s="877"/>
      <c r="S4" s="877"/>
      <c r="T4" s="877"/>
      <c r="U4" s="877"/>
      <c r="V4" s="877"/>
      <c r="W4" s="877"/>
      <c r="X4" s="877"/>
      <c r="Y4" s="877"/>
      <c r="Z4" s="877"/>
      <c r="AA4" s="878"/>
      <c r="AB4" s="737" t="s">
        <v>780</v>
      </c>
      <c r="AC4" s="738"/>
      <c r="AD4" s="739"/>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26" t="s">
        <v>293</v>
      </c>
      <c r="B7" s="627"/>
      <c r="C7" s="879" t="s">
        <v>44</v>
      </c>
      <c r="D7" s="626" t="s">
        <v>71</v>
      </c>
      <c r="E7" s="632"/>
      <c r="F7" s="632"/>
      <c r="G7" s="632"/>
      <c r="H7" s="627"/>
      <c r="I7" s="834">
        <v>45117</v>
      </c>
      <c r="J7" s="835"/>
      <c r="K7" s="626" t="s">
        <v>67</v>
      </c>
      <c r="L7" s="627"/>
      <c r="M7" s="840" t="s">
        <v>70</v>
      </c>
      <c r="N7" s="841"/>
      <c r="O7" s="860"/>
      <c r="P7" s="861"/>
      <c r="Q7" s="252"/>
      <c r="R7" s="252"/>
      <c r="S7" s="252"/>
      <c r="T7" s="252"/>
      <c r="U7" s="252"/>
      <c r="V7" s="252"/>
      <c r="W7" s="252"/>
      <c r="X7" s="252"/>
      <c r="Y7" s="252"/>
      <c r="Z7" s="253"/>
      <c r="AA7" s="252"/>
      <c r="AB7" s="252"/>
      <c r="AC7" s="258"/>
      <c r="AD7" s="259"/>
    </row>
    <row r="8" spans="1:30" ht="15" customHeight="1">
      <c r="A8" s="628"/>
      <c r="B8" s="629"/>
      <c r="C8" s="880"/>
      <c r="D8" s="628"/>
      <c r="E8" s="882"/>
      <c r="F8" s="882"/>
      <c r="G8" s="882"/>
      <c r="H8" s="629"/>
      <c r="I8" s="836"/>
      <c r="J8" s="837"/>
      <c r="K8" s="628"/>
      <c r="L8" s="629"/>
      <c r="M8" s="862" t="s">
        <v>68</v>
      </c>
      <c r="N8" s="863"/>
      <c r="O8" s="864"/>
      <c r="P8" s="865"/>
      <c r="Q8" s="252"/>
      <c r="R8" s="252"/>
      <c r="S8" s="252"/>
      <c r="T8" s="252"/>
      <c r="U8" s="252"/>
      <c r="V8" s="252"/>
      <c r="W8" s="252"/>
      <c r="X8" s="252"/>
      <c r="Y8" s="252"/>
      <c r="Z8" s="253"/>
      <c r="AA8" s="252"/>
      <c r="AB8" s="252"/>
      <c r="AC8" s="258"/>
      <c r="AD8" s="259"/>
    </row>
    <row r="9" spans="1:30" ht="15.75" customHeight="1" thickBot="1">
      <c r="A9" s="630"/>
      <c r="B9" s="631"/>
      <c r="C9" s="881"/>
      <c r="D9" s="630"/>
      <c r="E9" s="634"/>
      <c r="F9" s="634"/>
      <c r="G9" s="634"/>
      <c r="H9" s="631"/>
      <c r="I9" s="838"/>
      <c r="J9" s="839"/>
      <c r="K9" s="630"/>
      <c r="L9" s="631"/>
      <c r="M9" s="866" t="s">
        <v>69</v>
      </c>
      <c r="N9" s="867"/>
      <c r="O9" s="868" t="s">
        <v>425</v>
      </c>
      <c r="P9" s="869"/>
      <c r="Q9" s="252"/>
      <c r="R9" s="252"/>
      <c r="S9" s="252"/>
      <c r="T9" s="252"/>
      <c r="U9" s="252"/>
      <c r="V9" s="252"/>
      <c r="W9" s="252"/>
      <c r="X9" s="252"/>
      <c r="Y9" s="252"/>
      <c r="Z9" s="253"/>
      <c r="AA9" s="252"/>
      <c r="AB9" s="252"/>
      <c r="AC9" s="258"/>
      <c r="AD9" s="259"/>
    </row>
    <row r="10" spans="1:33"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c r="AF10" s="339"/>
      <c r="AG10" s="339"/>
    </row>
    <row r="11" spans="1:30" ht="15" customHeight="1">
      <c r="A11" s="626" t="s">
        <v>0</v>
      </c>
      <c r="B11" s="627"/>
      <c r="C11" s="870" t="s">
        <v>497</v>
      </c>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2"/>
    </row>
    <row r="12" spans="1:30" ht="15" customHeight="1">
      <c r="A12" s="628"/>
      <c r="B12" s="629"/>
      <c r="C12" s="873"/>
      <c r="D12" s="874"/>
      <c r="E12" s="874"/>
      <c r="F12" s="874"/>
      <c r="G12" s="874"/>
      <c r="H12" s="874"/>
      <c r="I12" s="874"/>
      <c r="J12" s="874"/>
      <c r="K12" s="874"/>
      <c r="L12" s="874"/>
      <c r="M12" s="874"/>
      <c r="N12" s="874"/>
      <c r="O12" s="874"/>
      <c r="P12" s="874"/>
      <c r="Q12" s="874"/>
      <c r="R12" s="874"/>
      <c r="S12" s="874"/>
      <c r="T12" s="874"/>
      <c r="U12" s="874"/>
      <c r="V12" s="874"/>
      <c r="W12" s="874"/>
      <c r="X12" s="874"/>
      <c r="Y12" s="874"/>
      <c r="Z12" s="874"/>
      <c r="AA12" s="874"/>
      <c r="AB12" s="874"/>
      <c r="AC12" s="874"/>
      <c r="AD12" s="875"/>
    </row>
    <row r="13" spans="1:30" ht="15" customHeight="1" thickBot="1">
      <c r="A13" s="630"/>
      <c r="B13" s="631"/>
      <c r="C13" s="876"/>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c r="AB13" s="877"/>
      <c r="AC13" s="877"/>
      <c r="AD13" s="878"/>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96" t="s">
        <v>77</v>
      </c>
      <c r="B15" s="597"/>
      <c r="C15" s="883" t="s">
        <v>426</v>
      </c>
      <c r="D15" s="884"/>
      <c r="E15" s="884"/>
      <c r="F15" s="884"/>
      <c r="G15" s="884"/>
      <c r="H15" s="884"/>
      <c r="I15" s="884"/>
      <c r="J15" s="884"/>
      <c r="K15" s="885"/>
      <c r="L15" s="590" t="s">
        <v>73</v>
      </c>
      <c r="M15" s="666"/>
      <c r="N15" s="666"/>
      <c r="O15" s="666"/>
      <c r="P15" s="666"/>
      <c r="Q15" s="591"/>
      <c r="R15" s="883" t="s">
        <v>622</v>
      </c>
      <c r="S15" s="884"/>
      <c r="T15" s="884"/>
      <c r="U15" s="884"/>
      <c r="V15" s="884"/>
      <c r="W15" s="884"/>
      <c r="X15" s="885"/>
      <c r="Y15" s="590" t="s">
        <v>72</v>
      </c>
      <c r="Z15" s="591"/>
      <c r="AA15" s="883" t="s">
        <v>623</v>
      </c>
      <c r="AB15" s="884"/>
      <c r="AC15" s="884"/>
      <c r="AD15" s="885"/>
    </row>
    <row r="16" spans="1:30" ht="9" customHeight="1" thickBot="1">
      <c r="A16" s="257"/>
      <c r="B16" s="252"/>
      <c r="C16" s="889"/>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271"/>
      <c r="AD16" s="272"/>
    </row>
    <row r="17" spans="1:33" s="273" customFormat="1" ht="37.5" customHeight="1" thickBot="1">
      <c r="A17" s="596" t="s">
        <v>79</v>
      </c>
      <c r="B17" s="597"/>
      <c r="C17" s="890" t="s">
        <v>633</v>
      </c>
      <c r="D17" s="891"/>
      <c r="E17" s="891"/>
      <c r="F17" s="891"/>
      <c r="G17" s="891"/>
      <c r="H17" s="891"/>
      <c r="I17" s="891"/>
      <c r="J17" s="891"/>
      <c r="K17" s="891"/>
      <c r="L17" s="891"/>
      <c r="M17" s="891"/>
      <c r="N17" s="891"/>
      <c r="O17" s="891"/>
      <c r="P17" s="891"/>
      <c r="Q17" s="892"/>
      <c r="R17" s="590" t="s">
        <v>374</v>
      </c>
      <c r="S17" s="666"/>
      <c r="T17" s="666"/>
      <c r="U17" s="666"/>
      <c r="V17" s="591"/>
      <c r="W17" s="592">
        <v>0.6</v>
      </c>
      <c r="X17" s="593"/>
      <c r="Y17" s="666" t="s">
        <v>15</v>
      </c>
      <c r="Z17" s="666"/>
      <c r="AA17" s="666"/>
      <c r="AB17" s="591"/>
      <c r="AC17" s="893">
        <f>+VIGENCIA!D9</f>
        <v>0.08090862027924733</v>
      </c>
      <c r="AD17" s="894"/>
      <c r="AF17" s="340"/>
      <c r="AG17" s="34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0" t="s">
        <v>1</v>
      </c>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591"/>
      <c r="AE19" s="275"/>
      <c r="AF19" s="341"/>
    </row>
    <row r="20" spans="1:32" ht="31.5" customHeight="1" thickBot="1">
      <c r="A20" s="276"/>
      <c r="B20" s="258"/>
      <c r="C20" s="694" t="s">
        <v>376</v>
      </c>
      <c r="D20" s="742"/>
      <c r="E20" s="742"/>
      <c r="F20" s="742"/>
      <c r="G20" s="742"/>
      <c r="H20" s="742"/>
      <c r="I20" s="742"/>
      <c r="J20" s="742"/>
      <c r="K20" s="742"/>
      <c r="L20" s="742"/>
      <c r="M20" s="742"/>
      <c r="N20" s="742"/>
      <c r="O20" s="742"/>
      <c r="P20" s="695"/>
      <c r="Q20" s="692" t="s">
        <v>377</v>
      </c>
      <c r="R20" s="895"/>
      <c r="S20" s="895"/>
      <c r="T20" s="895"/>
      <c r="U20" s="895"/>
      <c r="V20" s="895"/>
      <c r="W20" s="895"/>
      <c r="X20" s="895"/>
      <c r="Y20" s="895"/>
      <c r="Z20" s="895"/>
      <c r="AA20" s="895"/>
      <c r="AB20" s="895"/>
      <c r="AC20" s="895"/>
      <c r="AD20" s="693"/>
      <c r="AE20" s="275"/>
      <c r="AF20" s="341"/>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341"/>
    </row>
    <row r="22" spans="1:33" ht="31.5" customHeight="1">
      <c r="A22" s="896" t="s">
        <v>378</v>
      </c>
      <c r="B22" s="897"/>
      <c r="C22" s="197">
        <f>+RESERVA!C8</f>
        <v>20783308</v>
      </c>
      <c r="D22" s="195"/>
      <c r="E22" s="195"/>
      <c r="F22" s="195"/>
      <c r="G22" s="195"/>
      <c r="H22" s="195"/>
      <c r="I22" s="195"/>
      <c r="J22" s="195"/>
      <c r="K22" s="195"/>
      <c r="L22" s="195"/>
      <c r="M22" s="195"/>
      <c r="N22" s="195"/>
      <c r="O22" s="195"/>
      <c r="P22" s="198"/>
      <c r="Q22" s="197">
        <v>803360566</v>
      </c>
      <c r="R22" s="195"/>
      <c r="S22" s="195">
        <v>77423500</v>
      </c>
      <c r="T22" s="195">
        <v>32000000</v>
      </c>
      <c r="U22" s="195"/>
      <c r="V22" s="195">
        <v>15000000</v>
      </c>
      <c r="W22" s="195"/>
      <c r="X22" s="195">
        <v>10000000</v>
      </c>
      <c r="Y22" s="195"/>
      <c r="Z22" s="195"/>
      <c r="AA22" s="195"/>
      <c r="AB22" s="342"/>
      <c r="AC22" s="195">
        <f>SUM(Q22:AB22)</f>
        <v>937784066</v>
      </c>
      <c r="AD22" s="202"/>
      <c r="AE22" s="4"/>
      <c r="AF22" s="339"/>
      <c r="AG22" s="343"/>
    </row>
    <row r="23" spans="1:32" ht="31.5" customHeight="1">
      <c r="A23" s="898" t="s">
        <v>379</v>
      </c>
      <c r="B23" s="899"/>
      <c r="C23" s="192"/>
      <c r="D23" s="191"/>
      <c r="E23" s="191"/>
      <c r="F23" s="191"/>
      <c r="G23" s="191"/>
      <c r="H23" s="191"/>
      <c r="I23" s="191"/>
      <c r="J23" s="191"/>
      <c r="K23" s="191"/>
      <c r="L23" s="191"/>
      <c r="M23" s="191"/>
      <c r="N23" s="191"/>
      <c r="O23" s="191"/>
      <c r="P23" s="211"/>
      <c r="Q23" s="192">
        <f>+VIGENCIA!D18</f>
        <v>582044581</v>
      </c>
      <c r="R23" s="344">
        <f>+VIGENCIA!F18</f>
        <v>67850000</v>
      </c>
      <c r="S23" s="344">
        <f>+VIGENCIA!H18</f>
        <v>65899202</v>
      </c>
      <c r="T23" s="191">
        <f>+VIGENCIA!J18</f>
        <v>-4080000</v>
      </c>
      <c r="U23" s="191">
        <f>+VIGENCIA!L18</f>
        <v>-15686667</v>
      </c>
      <c r="V23" s="344">
        <f>+VIGENCIA!N18</f>
        <v>73360000</v>
      </c>
      <c r="W23" s="191"/>
      <c r="X23" s="191"/>
      <c r="Y23" s="191"/>
      <c r="Z23" s="191"/>
      <c r="AA23" s="191"/>
      <c r="AB23" s="344"/>
      <c r="AC23" s="195">
        <f>SUM(Q23:AB23)</f>
        <v>769387116</v>
      </c>
      <c r="AD23" s="200">
        <f>+AC23/AC22</f>
        <v>0.8204309967450438</v>
      </c>
      <c r="AE23" s="4"/>
      <c r="AF23" s="341"/>
    </row>
    <row r="24" spans="1:32" ht="31.5" customHeight="1">
      <c r="A24" s="898" t="s">
        <v>380</v>
      </c>
      <c r="B24" s="899"/>
      <c r="C24" s="192">
        <v>10423312</v>
      </c>
      <c r="D24" s="191">
        <f>8615673-22323</f>
        <v>8593350</v>
      </c>
      <c r="E24" s="191">
        <v>1744323</v>
      </c>
      <c r="F24" s="191">
        <v>0</v>
      </c>
      <c r="G24" s="191"/>
      <c r="H24" s="191">
        <f>-RESERVA!N16</f>
        <v>-1722000</v>
      </c>
      <c r="I24" s="191"/>
      <c r="J24" s="191"/>
      <c r="K24" s="191"/>
      <c r="L24" s="191"/>
      <c r="M24" s="191"/>
      <c r="N24" s="191"/>
      <c r="O24" s="191">
        <f>SUM(C24:N24)</f>
        <v>19038985</v>
      </c>
      <c r="P24" s="196"/>
      <c r="Q24" s="192"/>
      <c r="R24" s="191">
        <v>52840622</v>
      </c>
      <c r="S24" s="191">
        <v>71883977</v>
      </c>
      <c r="T24" s="191">
        <v>71883977</v>
      </c>
      <c r="U24" s="191">
        <v>106883978</v>
      </c>
      <c r="V24" s="344">
        <v>71883979</v>
      </c>
      <c r="W24" s="191">
        <v>92883980</v>
      </c>
      <c r="X24" s="191">
        <v>71883981</v>
      </c>
      <c r="Y24" s="191">
        <v>71883981</v>
      </c>
      <c r="Z24" s="191">
        <v>71883981</v>
      </c>
      <c r="AA24" s="191">
        <v>71883981</v>
      </c>
      <c r="AB24" s="344">
        <v>181987629</v>
      </c>
      <c r="AC24" s="195">
        <f>SUM(Q24:AB24)</f>
        <v>937784066</v>
      </c>
      <c r="AD24" s="200"/>
      <c r="AE24" s="4"/>
      <c r="AF24" s="341"/>
    </row>
    <row r="25" spans="1:32" ht="31.5" customHeight="1" thickBot="1">
      <c r="A25" s="900" t="s">
        <v>381</v>
      </c>
      <c r="B25" s="901"/>
      <c r="C25" s="193">
        <f>+RESERVA!E16</f>
        <v>10423312</v>
      </c>
      <c r="D25" s="194">
        <f>+RESERVA!G16</f>
        <v>0</v>
      </c>
      <c r="E25" s="194">
        <f>+RESERVA!I16</f>
        <v>0</v>
      </c>
      <c r="F25" s="194">
        <v>0</v>
      </c>
      <c r="G25" s="194">
        <f>+RESERVA!M16</f>
        <v>6489000</v>
      </c>
      <c r="H25" s="194">
        <f>+RESERVA!O16</f>
        <v>0</v>
      </c>
      <c r="I25" s="194"/>
      <c r="J25" s="194"/>
      <c r="K25" s="194"/>
      <c r="L25" s="194"/>
      <c r="M25" s="194"/>
      <c r="N25" s="194"/>
      <c r="O25" s="194">
        <f>SUM(C25:N25)</f>
        <v>16912312</v>
      </c>
      <c r="P25" s="455">
        <f>+O25/O24</f>
        <v>0.888299034848759</v>
      </c>
      <c r="Q25" s="193">
        <f>+VIGENCIA!E18</f>
        <v>0</v>
      </c>
      <c r="R25" s="345">
        <f>+VIGENCIA!G18</f>
        <v>24978180</v>
      </c>
      <c r="S25" s="345">
        <f>+VIGENCIA!I18</f>
        <v>60172312</v>
      </c>
      <c r="T25" s="194">
        <f>+VIGENCIA!K18</f>
        <v>65752312</v>
      </c>
      <c r="U25" s="194">
        <f>+VIGENCIA!M18</f>
        <v>70632312</v>
      </c>
      <c r="V25" s="345">
        <f>+VIGENCIA!O18</f>
        <v>67789000</v>
      </c>
      <c r="W25" s="194"/>
      <c r="X25" s="194"/>
      <c r="Y25" s="194"/>
      <c r="Z25" s="194"/>
      <c r="AA25" s="194"/>
      <c r="AB25" s="345"/>
      <c r="AC25" s="194">
        <f>SUM(Q25:AB25)</f>
        <v>289324116</v>
      </c>
      <c r="AD25" s="201">
        <f>+AC25/AC24</f>
        <v>0.3085189080190663</v>
      </c>
      <c r="AE25" s="4"/>
      <c r="AF25" s="341"/>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02" t="s">
        <v>76</v>
      </c>
      <c r="B27" s="903"/>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5"/>
    </row>
    <row r="28" spans="1:30" ht="15" customHeight="1">
      <c r="A28" s="906" t="s">
        <v>189</v>
      </c>
      <c r="B28" s="908" t="s">
        <v>6</v>
      </c>
      <c r="C28" s="909"/>
      <c r="D28" s="899" t="s">
        <v>398</v>
      </c>
      <c r="E28" s="912"/>
      <c r="F28" s="912"/>
      <c r="G28" s="912"/>
      <c r="H28" s="912"/>
      <c r="I28" s="912"/>
      <c r="J28" s="912"/>
      <c r="K28" s="912"/>
      <c r="L28" s="912"/>
      <c r="M28" s="912"/>
      <c r="N28" s="912"/>
      <c r="O28" s="913"/>
      <c r="P28" s="914" t="s">
        <v>8</v>
      </c>
      <c r="Q28" s="914" t="s">
        <v>84</v>
      </c>
      <c r="R28" s="914"/>
      <c r="S28" s="914"/>
      <c r="T28" s="914"/>
      <c r="U28" s="914"/>
      <c r="V28" s="914"/>
      <c r="W28" s="914"/>
      <c r="X28" s="914"/>
      <c r="Y28" s="914"/>
      <c r="Z28" s="914"/>
      <c r="AA28" s="914"/>
      <c r="AB28" s="914"/>
      <c r="AC28" s="914"/>
      <c r="AD28" s="915"/>
    </row>
    <row r="29" spans="1:30" ht="27" customHeight="1">
      <c r="A29" s="907"/>
      <c r="B29" s="910"/>
      <c r="C29" s="911"/>
      <c r="D29" s="281" t="s">
        <v>39</v>
      </c>
      <c r="E29" s="281" t="s">
        <v>40</v>
      </c>
      <c r="F29" s="281" t="s">
        <v>41</v>
      </c>
      <c r="G29" s="281" t="s">
        <v>42</v>
      </c>
      <c r="H29" s="281" t="s">
        <v>43</v>
      </c>
      <c r="I29" s="281" t="s">
        <v>44</v>
      </c>
      <c r="J29" s="281" t="s">
        <v>45</v>
      </c>
      <c r="K29" s="281" t="s">
        <v>46</v>
      </c>
      <c r="L29" s="281" t="s">
        <v>47</v>
      </c>
      <c r="M29" s="281" t="s">
        <v>48</v>
      </c>
      <c r="N29" s="281" t="s">
        <v>49</v>
      </c>
      <c r="O29" s="281" t="s">
        <v>50</v>
      </c>
      <c r="P29" s="913"/>
      <c r="Q29" s="914"/>
      <c r="R29" s="914"/>
      <c r="S29" s="914"/>
      <c r="T29" s="914"/>
      <c r="U29" s="914"/>
      <c r="V29" s="914"/>
      <c r="W29" s="914"/>
      <c r="X29" s="914"/>
      <c r="Y29" s="914"/>
      <c r="Z29" s="914"/>
      <c r="AA29" s="914"/>
      <c r="AB29" s="914"/>
      <c r="AC29" s="914"/>
      <c r="AD29" s="915"/>
    </row>
    <row r="30" spans="1:30" ht="61.5" customHeight="1" thickBot="1">
      <c r="A30" s="330" t="str">
        <f>C17</f>
        <v>Ejecutar al 90% la implementación de la Política de Gestión Documental institucional</v>
      </c>
      <c r="B30" s="916" t="s">
        <v>450</v>
      </c>
      <c r="C30" s="917"/>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18"/>
      <c r="R30" s="918"/>
      <c r="S30" s="918"/>
      <c r="T30" s="918"/>
      <c r="U30" s="918"/>
      <c r="V30" s="918"/>
      <c r="W30" s="918"/>
      <c r="X30" s="918"/>
      <c r="Y30" s="918"/>
      <c r="Z30" s="918"/>
      <c r="AA30" s="918"/>
      <c r="AB30" s="918"/>
      <c r="AC30" s="918"/>
      <c r="AD30" s="919"/>
    </row>
    <row r="31" spans="1:30" ht="45" customHeight="1">
      <c r="A31" s="854" t="s">
        <v>292</v>
      </c>
      <c r="B31" s="855"/>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6"/>
    </row>
    <row r="32" spans="1:41" ht="22.5" customHeight="1">
      <c r="A32" s="898" t="s">
        <v>190</v>
      </c>
      <c r="B32" s="914" t="s">
        <v>62</v>
      </c>
      <c r="C32" s="914" t="s">
        <v>6</v>
      </c>
      <c r="D32" s="914" t="s">
        <v>60</v>
      </c>
      <c r="E32" s="914"/>
      <c r="F32" s="914"/>
      <c r="G32" s="914"/>
      <c r="H32" s="914"/>
      <c r="I32" s="914"/>
      <c r="J32" s="914"/>
      <c r="K32" s="914"/>
      <c r="L32" s="914"/>
      <c r="M32" s="914"/>
      <c r="N32" s="914"/>
      <c r="O32" s="914"/>
      <c r="P32" s="914"/>
      <c r="Q32" s="914" t="s">
        <v>85</v>
      </c>
      <c r="R32" s="914"/>
      <c r="S32" s="914"/>
      <c r="T32" s="914"/>
      <c r="U32" s="914"/>
      <c r="V32" s="914"/>
      <c r="W32" s="914"/>
      <c r="X32" s="914"/>
      <c r="Y32" s="914"/>
      <c r="Z32" s="914"/>
      <c r="AA32" s="914"/>
      <c r="AB32" s="914"/>
      <c r="AC32" s="914"/>
      <c r="AD32" s="915"/>
      <c r="AH32" s="90"/>
      <c r="AI32" s="90"/>
      <c r="AJ32" s="90"/>
      <c r="AK32" s="90"/>
      <c r="AL32" s="90"/>
      <c r="AM32" s="90"/>
      <c r="AN32" s="90"/>
      <c r="AO32" s="90"/>
    </row>
    <row r="33" spans="1:41" ht="35.25" customHeight="1">
      <c r="A33" s="898"/>
      <c r="B33" s="914"/>
      <c r="C33" s="920"/>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99" t="s">
        <v>80</v>
      </c>
      <c r="R33" s="912"/>
      <c r="S33" s="913"/>
      <c r="T33" s="914" t="s">
        <v>406</v>
      </c>
      <c r="U33" s="914"/>
      <c r="V33" s="914"/>
      <c r="W33" s="910" t="s">
        <v>81</v>
      </c>
      <c r="X33" s="921"/>
      <c r="Y33" s="921"/>
      <c r="Z33" s="911"/>
      <c r="AA33" s="910" t="s">
        <v>82</v>
      </c>
      <c r="AB33" s="921"/>
      <c r="AC33" s="921"/>
      <c r="AD33" s="922"/>
      <c r="AH33" s="90"/>
      <c r="AI33" s="90"/>
      <c r="AJ33" s="90"/>
      <c r="AK33" s="90"/>
      <c r="AL33" s="90"/>
      <c r="AM33" s="90"/>
      <c r="AN33" s="90"/>
      <c r="AO33" s="90"/>
    </row>
    <row r="34" spans="1:41" ht="271.5" customHeight="1">
      <c r="A34" s="923" t="str">
        <f>A30</f>
        <v>Ejecutar al 90% la implementación de la Política de Gestión Documental institucional</v>
      </c>
      <c r="B34" s="1000">
        <f>+AC17</f>
        <v>0.08090862027924733</v>
      </c>
      <c r="C34" s="284" t="s">
        <v>9</v>
      </c>
      <c r="D34" s="177">
        <v>0.6</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(((L38*($B$38/$B$34))+(L40*($B$40/$B$34))+(L42*($B$42/$B$34))+(L44*($B$44/$B$34))+(L46*($B$46/$B$34))))*($P$34-$D$34)</f>
        <v>0.0275</v>
      </c>
      <c r="M34" s="177">
        <f t="shared" si="0"/>
        <v>0.025</v>
      </c>
      <c r="N34" s="177">
        <f t="shared" si="0"/>
        <v>0.022500000000000003</v>
      </c>
      <c r="O34" s="177">
        <f t="shared" si="0"/>
        <v>0.0125</v>
      </c>
      <c r="P34" s="177">
        <v>0.85</v>
      </c>
      <c r="Q34" s="1137" t="s">
        <v>959</v>
      </c>
      <c r="R34" s="1138"/>
      <c r="S34" s="1139"/>
      <c r="T34" s="1140" t="s">
        <v>956</v>
      </c>
      <c r="U34" s="1141"/>
      <c r="V34" s="1142"/>
      <c r="W34" s="1143" t="s">
        <v>957</v>
      </c>
      <c r="X34" s="1144"/>
      <c r="Y34" s="1144"/>
      <c r="Z34" s="1145"/>
      <c r="AA34" s="1146" t="s">
        <v>958</v>
      </c>
      <c r="AB34" s="1138"/>
      <c r="AC34" s="1138"/>
      <c r="AD34" s="1147"/>
      <c r="AE34" s="346"/>
      <c r="AH34" s="90"/>
      <c r="AI34" s="90"/>
      <c r="AJ34" s="90"/>
      <c r="AK34" s="90"/>
      <c r="AL34" s="90"/>
      <c r="AM34" s="90"/>
      <c r="AN34" s="90"/>
      <c r="AO34" s="90"/>
    </row>
    <row r="35" spans="1:41" ht="271.5" customHeight="1" thickBot="1">
      <c r="A35" s="924"/>
      <c r="B35" s="1001"/>
      <c r="C35" s="285" t="s">
        <v>10</v>
      </c>
      <c r="D35" s="347">
        <v>0.6</v>
      </c>
      <c r="E35" s="347">
        <f>(((E39*($B$38/$B$34))+(E41*($B$40/$B$34))+(E43*($B$42/$B$34))+(E45*($B$44/$B$34))+(E47*($B$46/$B$34))))*($P$34-$D$35)</f>
        <v>0.0125</v>
      </c>
      <c r="F35" s="347">
        <f>(((F39*($B$38/$B$34))+(F41*($B$40/$B$34))+(F43*($B$42/$B$34))+(F45*($B$44/$B$34))+(F47*($B$46/$B$34))))*($P$34-$D$35)</f>
        <v>0.0205</v>
      </c>
      <c r="G35" s="347">
        <f>(((G39*($B$38/$B$34))+(G41*($B$40/$B$34))+(G43*($B$42/$B$34))+(G45*($B$44/$B$34))+(G47*($B$46/$B$34))))*($P$34-$D$35)</f>
        <v>0.025</v>
      </c>
      <c r="H35" s="347">
        <f>(((H39*($B$38/$B$34))+(H41*($B$40/$B$34))+(H43*($B$42/$B$34))+(H45*($B$44/$B$34))+(H47*($B$46/$B$34))))*($P$34-$D$35)</f>
        <v>0.029500000000000002</v>
      </c>
      <c r="I35" s="347">
        <f>(((I39*($B$38/$B$34))+(I41*($B$40/$B$34))+(I43*($B$42/$B$34))+(I45*($B$44/$B$34))+(I47*($B$46/$B$34))))*($P$34-$D$35)</f>
        <v>0.025</v>
      </c>
      <c r="J35" s="347"/>
      <c r="K35" s="347"/>
      <c r="L35" s="347"/>
      <c r="M35" s="347"/>
      <c r="N35" s="347"/>
      <c r="O35" s="347"/>
      <c r="P35" s="178">
        <f>SUM(D35:O35)</f>
        <v>0.7124999999999999</v>
      </c>
      <c r="Q35" s="1148"/>
      <c r="R35" s="1149"/>
      <c r="S35" s="1150"/>
      <c r="T35" s="1151"/>
      <c r="U35" s="1152"/>
      <c r="V35" s="1153"/>
      <c r="W35" s="1154"/>
      <c r="X35" s="1155"/>
      <c r="Y35" s="1155"/>
      <c r="Z35" s="1156"/>
      <c r="AA35" s="1157"/>
      <c r="AB35" s="1149"/>
      <c r="AC35" s="1149"/>
      <c r="AD35" s="1158"/>
      <c r="AE35" s="348"/>
      <c r="AF35" s="343"/>
      <c r="AH35" s="90"/>
      <c r="AI35" s="90"/>
      <c r="AJ35" s="90"/>
      <c r="AK35" s="90"/>
      <c r="AL35" s="90"/>
      <c r="AM35" s="90"/>
      <c r="AN35" s="90"/>
      <c r="AO35" s="90"/>
    </row>
    <row r="36" spans="1:41" ht="25.5" customHeight="1">
      <c r="A36" s="896" t="s">
        <v>191</v>
      </c>
      <c r="B36" s="947" t="s">
        <v>61</v>
      </c>
      <c r="C36" s="949" t="s">
        <v>11</v>
      </c>
      <c r="D36" s="949"/>
      <c r="E36" s="949"/>
      <c r="F36" s="949"/>
      <c r="G36" s="949"/>
      <c r="H36" s="949"/>
      <c r="I36" s="949"/>
      <c r="J36" s="949"/>
      <c r="K36" s="949"/>
      <c r="L36" s="949"/>
      <c r="M36" s="949"/>
      <c r="N36" s="949"/>
      <c r="O36" s="949"/>
      <c r="P36" s="949"/>
      <c r="Q36" s="897" t="s">
        <v>78</v>
      </c>
      <c r="R36" s="950"/>
      <c r="S36" s="950"/>
      <c r="T36" s="950"/>
      <c r="U36" s="950"/>
      <c r="V36" s="950"/>
      <c r="W36" s="950"/>
      <c r="X36" s="950"/>
      <c r="Y36" s="950"/>
      <c r="Z36" s="950"/>
      <c r="AA36" s="950"/>
      <c r="AB36" s="950"/>
      <c r="AC36" s="950"/>
      <c r="AD36" s="951"/>
      <c r="AH36" s="90"/>
      <c r="AI36" s="90"/>
      <c r="AJ36" s="90"/>
      <c r="AK36" s="90"/>
      <c r="AL36" s="90"/>
      <c r="AM36" s="90"/>
      <c r="AN36" s="90"/>
      <c r="AO36" s="90"/>
    </row>
    <row r="37" spans="1:41" ht="25.5" customHeight="1">
      <c r="A37" s="898"/>
      <c r="B37" s="948"/>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99" t="s">
        <v>83</v>
      </c>
      <c r="R37" s="912"/>
      <c r="S37" s="912"/>
      <c r="T37" s="912"/>
      <c r="U37" s="912"/>
      <c r="V37" s="912"/>
      <c r="W37" s="912"/>
      <c r="X37" s="912"/>
      <c r="Y37" s="912"/>
      <c r="Z37" s="912"/>
      <c r="AA37" s="912"/>
      <c r="AB37" s="912"/>
      <c r="AC37" s="912"/>
      <c r="AD37" s="952"/>
      <c r="AG37" s="349"/>
      <c r="AH37" s="98"/>
      <c r="AI37" s="98"/>
      <c r="AJ37" s="98"/>
      <c r="AK37" s="98"/>
      <c r="AL37" s="98"/>
      <c r="AM37" s="98"/>
      <c r="AN37" s="98"/>
      <c r="AO37" s="98"/>
    </row>
    <row r="38" spans="1:41" ht="48" customHeight="1">
      <c r="A38" s="1020" t="s">
        <v>646</v>
      </c>
      <c r="B38" s="1054">
        <f>+$B$34/5</f>
        <v>0.016181724055849465</v>
      </c>
      <c r="C38" s="284" t="s">
        <v>9</v>
      </c>
      <c r="D38" s="357">
        <v>0</v>
      </c>
      <c r="E38" s="357">
        <v>0.05</v>
      </c>
      <c r="F38" s="357">
        <v>0.1</v>
      </c>
      <c r="G38" s="357">
        <v>0.1</v>
      </c>
      <c r="H38" s="357">
        <v>0.1</v>
      </c>
      <c r="I38" s="357">
        <v>0.1</v>
      </c>
      <c r="J38" s="357">
        <v>0.1</v>
      </c>
      <c r="K38" s="357">
        <v>0.1</v>
      </c>
      <c r="L38" s="357">
        <v>0.1</v>
      </c>
      <c r="M38" s="357">
        <v>0.1</v>
      </c>
      <c r="N38" s="357">
        <v>0.1</v>
      </c>
      <c r="O38" s="357">
        <v>0.05</v>
      </c>
      <c r="P38" s="286">
        <f aca="true" t="shared" si="1" ref="P38:P47">SUM(D38:O38)</f>
        <v>0.9999999999999999</v>
      </c>
      <c r="Q38" s="1159" t="s">
        <v>960</v>
      </c>
      <c r="R38" s="1160"/>
      <c r="S38" s="1160"/>
      <c r="T38" s="1160"/>
      <c r="U38" s="1160"/>
      <c r="V38" s="1160"/>
      <c r="W38" s="1160"/>
      <c r="X38" s="1160"/>
      <c r="Y38" s="1160"/>
      <c r="Z38" s="1160"/>
      <c r="AA38" s="1160"/>
      <c r="AB38" s="1160"/>
      <c r="AC38" s="1160"/>
      <c r="AD38" s="1161"/>
      <c r="AE38" s="287"/>
      <c r="AG38" s="349"/>
      <c r="AH38" s="102"/>
      <c r="AI38" s="102"/>
      <c r="AJ38" s="102"/>
      <c r="AK38" s="102"/>
      <c r="AL38" s="102"/>
      <c r="AM38" s="102"/>
      <c r="AN38" s="102"/>
      <c r="AO38" s="102"/>
    </row>
    <row r="39" spans="1:31" ht="48" customHeight="1">
      <c r="A39" s="1021"/>
      <c r="B39" s="1055"/>
      <c r="C39" s="288" t="s">
        <v>10</v>
      </c>
      <c r="D39" s="104">
        <v>0</v>
      </c>
      <c r="E39" s="104">
        <v>0.05</v>
      </c>
      <c r="F39" s="104">
        <v>0.01</v>
      </c>
      <c r="G39" s="104">
        <v>0.1</v>
      </c>
      <c r="H39" s="104">
        <v>0.19</v>
      </c>
      <c r="I39" s="104">
        <v>0.1</v>
      </c>
      <c r="J39" s="104"/>
      <c r="K39" s="104"/>
      <c r="L39" s="104"/>
      <c r="M39" s="104"/>
      <c r="N39" s="104"/>
      <c r="O39" s="104"/>
      <c r="P39" s="289">
        <f t="shared" si="1"/>
        <v>0.44999999999999996</v>
      </c>
      <c r="Q39" s="1162"/>
      <c r="R39" s="1163"/>
      <c r="S39" s="1163"/>
      <c r="T39" s="1163"/>
      <c r="U39" s="1163"/>
      <c r="V39" s="1163"/>
      <c r="W39" s="1163"/>
      <c r="X39" s="1163"/>
      <c r="Y39" s="1163"/>
      <c r="Z39" s="1163"/>
      <c r="AA39" s="1163"/>
      <c r="AB39" s="1163"/>
      <c r="AC39" s="1163"/>
      <c r="AD39" s="1164"/>
      <c r="AE39" s="287"/>
    </row>
    <row r="40" spans="1:31" ht="48" customHeight="1">
      <c r="A40" s="1021" t="s">
        <v>634</v>
      </c>
      <c r="B40" s="1054">
        <f>+$B$34/5</f>
        <v>0.016181724055849465</v>
      </c>
      <c r="C40" s="290" t="s">
        <v>9</v>
      </c>
      <c r="D40" s="357">
        <v>0</v>
      </c>
      <c r="E40" s="357">
        <v>0.05</v>
      </c>
      <c r="F40" s="357">
        <v>0.1</v>
      </c>
      <c r="G40" s="357">
        <v>0.1</v>
      </c>
      <c r="H40" s="357">
        <v>0.1</v>
      </c>
      <c r="I40" s="357">
        <v>0.1</v>
      </c>
      <c r="J40" s="357">
        <v>0.1</v>
      </c>
      <c r="K40" s="357">
        <v>0.1</v>
      </c>
      <c r="L40" s="357">
        <v>0.15</v>
      </c>
      <c r="M40" s="357">
        <v>0.1</v>
      </c>
      <c r="N40" s="357">
        <v>0.05</v>
      </c>
      <c r="O40" s="357">
        <v>0.05</v>
      </c>
      <c r="P40" s="289">
        <f t="shared" si="1"/>
        <v>1</v>
      </c>
      <c r="Q40" s="1159" t="s">
        <v>961</v>
      </c>
      <c r="R40" s="1160"/>
      <c r="S40" s="1160"/>
      <c r="T40" s="1160"/>
      <c r="U40" s="1160"/>
      <c r="V40" s="1160"/>
      <c r="W40" s="1160"/>
      <c r="X40" s="1160"/>
      <c r="Y40" s="1160"/>
      <c r="Z40" s="1160"/>
      <c r="AA40" s="1160"/>
      <c r="AB40" s="1160"/>
      <c r="AC40" s="1160"/>
      <c r="AD40" s="1161"/>
      <c r="AE40" s="287"/>
    </row>
    <row r="41" spans="1:31" ht="48" customHeight="1">
      <c r="A41" s="1021"/>
      <c r="B41" s="1055"/>
      <c r="C41" s="288" t="s">
        <v>10</v>
      </c>
      <c r="D41" s="104">
        <v>0</v>
      </c>
      <c r="E41" s="104">
        <v>0.05</v>
      </c>
      <c r="F41" s="104">
        <v>0.1</v>
      </c>
      <c r="G41" s="104">
        <v>0.1</v>
      </c>
      <c r="H41" s="104">
        <v>0.1</v>
      </c>
      <c r="I41" s="104">
        <v>0.1</v>
      </c>
      <c r="J41" s="104"/>
      <c r="K41" s="104"/>
      <c r="L41" s="104"/>
      <c r="M41" s="108"/>
      <c r="N41" s="108"/>
      <c r="O41" s="108"/>
      <c r="P41" s="289">
        <f t="shared" si="1"/>
        <v>0.44999999999999996</v>
      </c>
      <c r="Q41" s="1162"/>
      <c r="R41" s="1163"/>
      <c r="S41" s="1163"/>
      <c r="T41" s="1163"/>
      <c r="U41" s="1163"/>
      <c r="V41" s="1163"/>
      <c r="W41" s="1163"/>
      <c r="X41" s="1163"/>
      <c r="Y41" s="1163"/>
      <c r="Z41" s="1163"/>
      <c r="AA41" s="1163"/>
      <c r="AB41" s="1163"/>
      <c r="AC41" s="1163"/>
      <c r="AD41" s="1164"/>
      <c r="AE41" s="287"/>
    </row>
    <row r="42" spans="1:31" ht="48" customHeight="1">
      <c r="A42" s="1037" t="s">
        <v>635</v>
      </c>
      <c r="B42" s="1054">
        <f>+$B$34/5</f>
        <v>0.016181724055849465</v>
      </c>
      <c r="C42" s="290" t="s">
        <v>9</v>
      </c>
      <c r="D42" s="357">
        <v>0</v>
      </c>
      <c r="E42" s="357">
        <v>0.05</v>
      </c>
      <c r="F42" s="357">
        <v>0.1</v>
      </c>
      <c r="G42" s="357">
        <v>0.1</v>
      </c>
      <c r="H42" s="357">
        <v>0.1</v>
      </c>
      <c r="I42" s="357">
        <v>0.1</v>
      </c>
      <c r="J42" s="357">
        <v>0.1</v>
      </c>
      <c r="K42" s="357">
        <v>0.1</v>
      </c>
      <c r="L42" s="357">
        <v>0.1</v>
      </c>
      <c r="M42" s="357">
        <v>0.1</v>
      </c>
      <c r="N42" s="357">
        <v>0.1</v>
      </c>
      <c r="O42" s="357">
        <v>0.05</v>
      </c>
      <c r="P42" s="289">
        <f>SUM(D42:O42)</f>
        <v>0.9999999999999999</v>
      </c>
      <c r="Q42" s="1159" t="s">
        <v>962</v>
      </c>
      <c r="R42" s="1160"/>
      <c r="S42" s="1160"/>
      <c r="T42" s="1160"/>
      <c r="U42" s="1160"/>
      <c r="V42" s="1160"/>
      <c r="W42" s="1160"/>
      <c r="X42" s="1160"/>
      <c r="Y42" s="1160"/>
      <c r="Z42" s="1160"/>
      <c r="AA42" s="1160"/>
      <c r="AB42" s="1160"/>
      <c r="AC42" s="1160"/>
      <c r="AD42" s="1161"/>
      <c r="AE42" s="287"/>
    </row>
    <row r="43" spans="1:31" ht="48" customHeight="1">
      <c r="A43" s="1020"/>
      <c r="B43" s="1055"/>
      <c r="C43" s="288" t="s">
        <v>10</v>
      </c>
      <c r="D43" s="104">
        <v>0</v>
      </c>
      <c r="E43" s="104">
        <v>0.05</v>
      </c>
      <c r="F43" s="104">
        <v>0.1</v>
      </c>
      <c r="G43" s="104">
        <v>0.1</v>
      </c>
      <c r="H43" s="104">
        <v>0.1</v>
      </c>
      <c r="I43" s="104">
        <v>0.1</v>
      </c>
      <c r="J43" s="104"/>
      <c r="K43" s="104"/>
      <c r="L43" s="104"/>
      <c r="M43" s="108"/>
      <c r="N43" s="108"/>
      <c r="O43" s="108"/>
      <c r="P43" s="289">
        <f>SUM(D43:O43)</f>
        <v>0.44999999999999996</v>
      </c>
      <c r="Q43" s="1162"/>
      <c r="R43" s="1163"/>
      <c r="S43" s="1163"/>
      <c r="T43" s="1163"/>
      <c r="U43" s="1163"/>
      <c r="V43" s="1163"/>
      <c r="W43" s="1163"/>
      <c r="X43" s="1163"/>
      <c r="Y43" s="1163"/>
      <c r="Z43" s="1163"/>
      <c r="AA43" s="1163"/>
      <c r="AB43" s="1163"/>
      <c r="AC43" s="1163"/>
      <c r="AD43" s="1164"/>
      <c r="AE43" s="287"/>
    </row>
    <row r="44" spans="1:31" ht="48" customHeight="1">
      <c r="A44" s="1037" t="s">
        <v>636</v>
      </c>
      <c r="B44" s="1054">
        <f>+$B$34/5</f>
        <v>0.016181724055849465</v>
      </c>
      <c r="C44" s="290" t="s">
        <v>9</v>
      </c>
      <c r="D44" s="357">
        <v>0</v>
      </c>
      <c r="E44" s="357">
        <v>0.05</v>
      </c>
      <c r="F44" s="357">
        <v>0.1</v>
      </c>
      <c r="G44" s="357">
        <v>0.1</v>
      </c>
      <c r="H44" s="357">
        <v>0.1</v>
      </c>
      <c r="I44" s="357">
        <v>0.1</v>
      </c>
      <c r="J44" s="357">
        <v>0.1</v>
      </c>
      <c r="K44" s="357">
        <v>0.1</v>
      </c>
      <c r="L44" s="357">
        <v>0.1</v>
      </c>
      <c r="M44" s="357">
        <v>0.1</v>
      </c>
      <c r="N44" s="357">
        <v>0.1</v>
      </c>
      <c r="O44" s="357">
        <v>0.05</v>
      </c>
      <c r="P44" s="289">
        <f t="shared" si="1"/>
        <v>0.9999999999999999</v>
      </c>
      <c r="Q44" s="1165" t="s">
        <v>963</v>
      </c>
      <c r="R44" s="1166"/>
      <c r="S44" s="1166"/>
      <c r="T44" s="1166"/>
      <c r="U44" s="1166"/>
      <c r="V44" s="1166"/>
      <c r="W44" s="1166"/>
      <c r="X44" s="1166"/>
      <c r="Y44" s="1166"/>
      <c r="Z44" s="1166"/>
      <c r="AA44" s="1166"/>
      <c r="AB44" s="1166"/>
      <c r="AC44" s="1166"/>
      <c r="AD44" s="1167"/>
      <c r="AE44" s="287"/>
    </row>
    <row r="45" spans="1:31" ht="48" customHeight="1">
      <c r="A45" s="1056"/>
      <c r="B45" s="1055"/>
      <c r="C45" s="288" t="s">
        <v>10</v>
      </c>
      <c r="D45" s="104">
        <v>0</v>
      </c>
      <c r="E45" s="104">
        <v>0.05</v>
      </c>
      <c r="F45" s="104">
        <v>0.1</v>
      </c>
      <c r="G45" s="104">
        <v>0.1</v>
      </c>
      <c r="H45" s="104">
        <v>0.1</v>
      </c>
      <c r="I45" s="104">
        <v>0.1</v>
      </c>
      <c r="J45" s="104"/>
      <c r="K45" s="104"/>
      <c r="L45" s="104"/>
      <c r="M45" s="108"/>
      <c r="N45" s="108"/>
      <c r="O45" s="104"/>
      <c r="P45" s="289">
        <f t="shared" si="1"/>
        <v>0.44999999999999996</v>
      </c>
      <c r="Q45" s="1168"/>
      <c r="R45" s="1169"/>
      <c r="S45" s="1169"/>
      <c r="T45" s="1169"/>
      <c r="U45" s="1169"/>
      <c r="V45" s="1169"/>
      <c r="W45" s="1169"/>
      <c r="X45" s="1169"/>
      <c r="Y45" s="1169"/>
      <c r="Z45" s="1169"/>
      <c r="AA45" s="1169"/>
      <c r="AB45" s="1169"/>
      <c r="AC45" s="1169"/>
      <c r="AD45" s="1170"/>
      <c r="AE45" s="287"/>
    </row>
    <row r="46" spans="1:31" ht="48" customHeight="1">
      <c r="A46" s="1057" t="s">
        <v>637</v>
      </c>
      <c r="B46" s="1059">
        <f>+$B$34/5</f>
        <v>0.016181724055849465</v>
      </c>
      <c r="C46" s="290" t="s">
        <v>9</v>
      </c>
      <c r="D46" s="357">
        <v>0</v>
      </c>
      <c r="E46" s="357">
        <v>0.05</v>
      </c>
      <c r="F46" s="357">
        <v>0.1</v>
      </c>
      <c r="G46" s="357">
        <v>0.1</v>
      </c>
      <c r="H46" s="357">
        <v>0.1</v>
      </c>
      <c r="I46" s="357">
        <v>0.1</v>
      </c>
      <c r="J46" s="357">
        <v>0.1</v>
      </c>
      <c r="K46" s="357">
        <v>0.1</v>
      </c>
      <c r="L46" s="357">
        <v>0.1</v>
      </c>
      <c r="M46" s="357">
        <v>0.1</v>
      </c>
      <c r="N46" s="357">
        <v>0.1</v>
      </c>
      <c r="O46" s="357">
        <v>0.05</v>
      </c>
      <c r="P46" s="289">
        <f t="shared" si="1"/>
        <v>0.9999999999999999</v>
      </c>
      <c r="Q46" s="1159" t="s">
        <v>964</v>
      </c>
      <c r="R46" s="1160"/>
      <c r="S46" s="1160"/>
      <c r="T46" s="1160"/>
      <c r="U46" s="1160"/>
      <c r="V46" s="1160"/>
      <c r="W46" s="1160"/>
      <c r="X46" s="1160"/>
      <c r="Y46" s="1160"/>
      <c r="Z46" s="1160"/>
      <c r="AA46" s="1160"/>
      <c r="AB46" s="1160"/>
      <c r="AC46" s="1160"/>
      <c r="AD46" s="1161"/>
      <c r="AE46" s="287"/>
    </row>
    <row r="47" spans="1:31" ht="48" customHeight="1" thickBot="1">
      <c r="A47" s="1058"/>
      <c r="B47" s="1060"/>
      <c r="C47" s="285" t="s">
        <v>10</v>
      </c>
      <c r="D47" s="110">
        <v>0</v>
      </c>
      <c r="E47" s="110">
        <v>0.05</v>
      </c>
      <c r="F47" s="110">
        <v>0.1</v>
      </c>
      <c r="G47" s="110">
        <v>0.1</v>
      </c>
      <c r="H47" s="110">
        <v>0.1</v>
      </c>
      <c r="I47" s="110">
        <v>0.1</v>
      </c>
      <c r="J47" s="110"/>
      <c r="K47" s="110"/>
      <c r="L47" s="110"/>
      <c r="M47" s="111"/>
      <c r="N47" s="111"/>
      <c r="O47" s="111"/>
      <c r="P47" s="291">
        <f t="shared" si="1"/>
        <v>0.44999999999999996</v>
      </c>
      <c r="Q47" s="1171"/>
      <c r="R47" s="1172"/>
      <c r="S47" s="1172"/>
      <c r="T47" s="1172"/>
      <c r="U47" s="1172"/>
      <c r="V47" s="1172"/>
      <c r="W47" s="1172"/>
      <c r="X47" s="1172"/>
      <c r="Y47" s="1172"/>
      <c r="Z47" s="1172"/>
      <c r="AA47" s="1172"/>
      <c r="AB47" s="1172"/>
      <c r="AC47" s="1172"/>
      <c r="AD47" s="1173"/>
      <c r="AE47" s="287"/>
    </row>
    <row r="48" spans="1:33" s="355" customFormat="1" ht="45.75" customHeight="1">
      <c r="A48" s="870" t="s">
        <v>64</v>
      </c>
      <c r="B48" s="871"/>
      <c r="C48" s="350" t="s">
        <v>638</v>
      </c>
      <c r="D48" s="351"/>
      <c r="E48" s="351"/>
      <c r="F48" s="351"/>
      <c r="G48" s="351"/>
      <c r="H48" s="352"/>
      <c r="I48" s="353"/>
      <c r="J48" s="1061" t="s">
        <v>639</v>
      </c>
      <c r="K48" s="1062"/>
      <c r="L48" s="1063"/>
      <c r="M48" s="350" t="s">
        <v>640</v>
      </c>
      <c r="N48" s="351"/>
      <c r="O48" s="351"/>
      <c r="P48" s="351"/>
      <c r="Q48" s="351"/>
      <c r="R48" s="352"/>
      <c r="S48" s="353"/>
      <c r="T48" s="1070" t="s">
        <v>641</v>
      </c>
      <c r="U48" s="1070"/>
      <c r="V48" s="1070"/>
      <c r="W48" s="1070"/>
      <c r="X48" s="350" t="s">
        <v>642</v>
      </c>
      <c r="Y48" s="351"/>
      <c r="Z48" s="351"/>
      <c r="AA48" s="351"/>
      <c r="AB48" s="351"/>
      <c r="AC48" s="352"/>
      <c r="AD48" s="354"/>
      <c r="AF48" s="356"/>
      <c r="AG48" s="356"/>
    </row>
    <row r="49" spans="1:33" s="355" customFormat="1" ht="22.5" customHeight="1">
      <c r="A49" s="873"/>
      <c r="B49" s="874"/>
      <c r="C49" s="1073" t="s">
        <v>643</v>
      </c>
      <c r="D49" s="1074"/>
      <c r="E49" s="1074"/>
      <c r="F49" s="1074"/>
      <c r="G49" s="1074"/>
      <c r="H49" s="1074"/>
      <c r="I49" s="1075"/>
      <c r="J49" s="1064"/>
      <c r="K49" s="1065"/>
      <c r="L49" s="1066"/>
      <c r="M49" s="1073" t="s">
        <v>771</v>
      </c>
      <c r="N49" s="1074"/>
      <c r="O49" s="1074"/>
      <c r="P49" s="1074"/>
      <c r="Q49" s="1074"/>
      <c r="R49" s="1074"/>
      <c r="S49" s="1075"/>
      <c r="T49" s="1071"/>
      <c r="U49" s="1071"/>
      <c r="V49" s="1071"/>
      <c r="W49" s="1071"/>
      <c r="X49" s="1073" t="s">
        <v>771</v>
      </c>
      <c r="Y49" s="1074"/>
      <c r="Z49" s="1074"/>
      <c r="AA49" s="1074"/>
      <c r="AB49" s="1074"/>
      <c r="AC49" s="1074"/>
      <c r="AD49" s="1076"/>
      <c r="AF49" s="356"/>
      <c r="AG49" s="356"/>
    </row>
    <row r="50" spans="1:33" s="355" customFormat="1" ht="22.5" customHeight="1" thickBot="1">
      <c r="A50" s="876"/>
      <c r="B50" s="877"/>
      <c r="C50" s="1077" t="s">
        <v>644</v>
      </c>
      <c r="D50" s="1078"/>
      <c r="E50" s="1078"/>
      <c r="F50" s="1078"/>
      <c r="G50" s="1078"/>
      <c r="H50" s="1078"/>
      <c r="I50" s="1079"/>
      <c r="J50" s="1067"/>
      <c r="K50" s="1068"/>
      <c r="L50" s="1069"/>
      <c r="M50" s="1077" t="s">
        <v>645</v>
      </c>
      <c r="N50" s="1078"/>
      <c r="O50" s="1078"/>
      <c r="P50" s="1078"/>
      <c r="Q50" s="1078"/>
      <c r="R50" s="1078"/>
      <c r="S50" s="1079"/>
      <c r="T50" s="1072"/>
      <c r="U50" s="1072"/>
      <c r="V50" s="1072"/>
      <c r="W50" s="1072"/>
      <c r="X50" s="1077" t="s">
        <v>75</v>
      </c>
      <c r="Y50" s="1078"/>
      <c r="Z50" s="1078"/>
      <c r="AA50" s="1078"/>
      <c r="AB50" s="1078"/>
      <c r="AC50" s="1078"/>
      <c r="AD50" s="1080"/>
      <c r="AF50" s="356"/>
      <c r="AG50" s="356"/>
    </row>
  </sheetData>
  <sheetProtection/>
  <mergeCells count="94">
    <mergeCell ref="A48:B50"/>
    <mergeCell ref="J48:L50"/>
    <mergeCell ref="T48:W50"/>
    <mergeCell ref="C49:I49"/>
    <mergeCell ref="M49:S49"/>
    <mergeCell ref="X49:AD49"/>
    <mergeCell ref="C50:I50"/>
    <mergeCell ref="M50:S50"/>
    <mergeCell ref="X50:AD50"/>
    <mergeCell ref="A44:A45"/>
    <mergeCell ref="B44:B45"/>
    <mergeCell ref="Q44:AD45"/>
    <mergeCell ref="A46:A47"/>
    <mergeCell ref="B46:B47"/>
    <mergeCell ref="Q46:AD4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Q33:S33"/>
    <mergeCell ref="T33:V33"/>
    <mergeCell ref="T34:V35"/>
    <mergeCell ref="B30:C30"/>
    <mergeCell ref="Q30:AD30"/>
    <mergeCell ref="A31:AD31"/>
    <mergeCell ref="A32:A33"/>
    <mergeCell ref="B32:B33"/>
    <mergeCell ref="C32:C33"/>
    <mergeCell ref="D32:P32"/>
    <mergeCell ref="Q32:AD32"/>
    <mergeCell ref="W33:Z33"/>
    <mergeCell ref="AA33:AD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R38:AD47 Q38:Q41 Q44:Q47">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19" r:id="rId4"/>
  <drawing r:id="rId3"/>
  <legacyDrawing r:id="rId2"/>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AY20"/>
  <sheetViews>
    <sheetView zoomScale="48" zoomScaleNormal="48" zoomScalePageLayoutView="0" workbookViewId="0" topLeftCell="T15">
      <selection activeCell="AD17" sqref="AD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4.8515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8" width="38.140625" style="113" customWidth="1"/>
    <col min="49" max="49" width="59.00390625" style="113" customWidth="1"/>
    <col min="50" max="51" width="38.14062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705" t="s">
        <v>423</v>
      </c>
      <c r="AY1" s="706"/>
    </row>
    <row r="2" spans="1:51"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7"/>
      <c r="AX2" s="753" t="s">
        <v>418</v>
      </c>
      <c r="AY2" s="754"/>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753" t="s">
        <v>424</v>
      </c>
      <c r="AY3" s="754"/>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781</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1081">
        <v>45117</v>
      </c>
      <c r="E6" s="794"/>
      <c r="F6" s="784" t="s">
        <v>67</v>
      </c>
      <c r="G6" s="786"/>
      <c r="H6" s="783" t="s">
        <v>70</v>
      </c>
      <c r="I6" s="783"/>
      <c r="J6" s="128"/>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788"/>
      <c r="AJ6" s="788"/>
      <c r="AK6" s="788"/>
      <c r="AL6" s="788"/>
      <c r="AM6" s="788"/>
      <c r="AN6" s="788"/>
      <c r="AO6" s="788"/>
      <c r="AP6" s="788"/>
      <c r="AQ6" s="788"/>
      <c r="AR6" s="788"/>
      <c r="AS6" s="788"/>
      <c r="AT6" s="788"/>
      <c r="AU6" s="789"/>
      <c r="AV6" s="782"/>
      <c r="AW6" s="782"/>
      <c r="AX6" s="782"/>
      <c r="AY6" s="782"/>
    </row>
    <row r="7" spans="1:51" ht="15" customHeight="1">
      <c r="A7" s="793"/>
      <c r="B7" s="793"/>
      <c r="C7" s="793"/>
      <c r="D7" s="794"/>
      <c r="E7" s="794"/>
      <c r="F7" s="787"/>
      <c r="G7" s="789"/>
      <c r="H7" s="783" t="s">
        <v>68</v>
      </c>
      <c r="I7" s="783"/>
      <c r="J7" s="128"/>
      <c r="K7" s="787"/>
      <c r="L7" s="788"/>
      <c r="M7" s="788"/>
      <c r="N7" s="788"/>
      <c r="O7" s="788"/>
      <c r="P7" s="788"/>
      <c r="Q7" s="788"/>
      <c r="R7" s="788"/>
      <c r="S7" s="788"/>
      <c r="T7" s="788"/>
      <c r="U7" s="788"/>
      <c r="V7" s="116"/>
      <c r="W7" s="116"/>
      <c r="X7" s="116"/>
      <c r="Y7" s="116"/>
      <c r="Z7" s="116"/>
      <c r="AA7" s="116"/>
      <c r="AB7" s="116"/>
      <c r="AC7" s="116"/>
      <c r="AD7" s="116"/>
      <c r="AE7" s="116"/>
      <c r="AF7" s="116"/>
      <c r="AG7" s="117"/>
      <c r="AH7" s="787"/>
      <c r="AI7" s="788"/>
      <c r="AJ7" s="788"/>
      <c r="AK7" s="788"/>
      <c r="AL7" s="788"/>
      <c r="AM7" s="788"/>
      <c r="AN7" s="788"/>
      <c r="AO7" s="788"/>
      <c r="AP7" s="788"/>
      <c r="AQ7" s="788"/>
      <c r="AR7" s="788"/>
      <c r="AS7" s="788"/>
      <c r="AT7" s="788"/>
      <c r="AU7" s="789"/>
      <c r="AV7" s="782"/>
      <c r="AW7" s="782"/>
      <c r="AX7" s="782"/>
      <c r="AY7" s="782"/>
    </row>
    <row r="8" spans="1:51" ht="15" customHeight="1">
      <c r="A8" s="793"/>
      <c r="B8" s="793"/>
      <c r="C8" s="793"/>
      <c r="D8" s="794"/>
      <c r="E8" s="794"/>
      <c r="F8" s="790"/>
      <c r="G8" s="792"/>
      <c r="H8" s="783" t="s">
        <v>69</v>
      </c>
      <c r="I8" s="783"/>
      <c r="J8" s="128"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788"/>
      <c r="AJ8" s="788"/>
      <c r="AK8" s="788"/>
      <c r="AL8" s="788"/>
      <c r="AM8" s="788"/>
      <c r="AN8" s="788"/>
      <c r="AO8" s="788"/>
      <c r="AP8" s="788"/>
      <c r="AQ8" s="788"/>
      <c r="AR8" s="788"/>
      <c r="AS8" s="788"/>
      <c r="AT8" s="788"/>
      <c r="AU8" s="789"/>
      <c r="AV8" s="782"/>
      <c r="AW8" s="782"/>
      <c r="AX8" s="782"/>
      <c r="AY8" s="782"/>
    </row>
    <row r="9" spans="1:51" ht="15" customHeight="1">
      <c r="A9" s="762" t="s">
        <v>399</v>
      </c>
      <c r="B9" s="763"/>
      <c r="C9" s="764"/>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788"/>
      <c r="AJ9" s="788"/>
      <c r="AK9" s="788"/>
      <c r="AL9" s="788"/>
      <c r="AM9" s="788"/>
      <c r="AN9" s="788"/>
      <c r="AO9" s="788"/>
      <c r="AP9" s="788"/>
      <c r="AQ9" s="788"/>
      <c r="AR9" s="788"/>
      <c r="AS9" s="788"/>
      <c r="AT9" s="788"/>
      <c r="AU9" s="789"/>
      <c r="AV9" s="782"/>
      <c r="AW9" s="782"/>
      <c r="AX9" s="782"/>
      <c r="AY9" s="782"/>
    </row>
    <row r="10" spans="1:51" ht="15" customHeight="1">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292" t="s">
        <v>169</v>
      </c>
      <c r="B12" s="292" t="s">
        <v>170</v>
      </c>
      <c r="C12" s="292" t="s">
        <v>171</v>
      </c>
      <c r="D12" s="292" t="s">
        <v>178</v>
      </c>
      <c r="E12" s="292" t="s">
        <v>185</v>
      </c>
      <c r="F12" s="292" t="s">
        <v>186</v>
      </c>
      <c r="G12" s="292" t="s">
        <v>277</v>
      </c>
      <c r="H12" s="292" t="s">
        <v>184</v>
      </c>
      <c r="I12" s="775"/>
      <c r="J12" s="775"/>
      <c r="K12" s="775"/>
      <c r="L12" s="775"/>
      <c r="M12" s="775"/>
      <c r="N12" s="775"/>
      <c r="O12" s="292">
        <v>2020</v>
      </c>
      <c r="P12" s="292">
        <v>2021</v>
      </c>
      <c r="Q12" s="292">
        <v>2022</v>
      </c>
      <c r="R12" s="292">
        <v>2023</v>
      </c>
      <c r="S12" s="292">
        <v>2024</v>
      </c>
      <c r="T12" s="775"/>
      <c r="U12" s="775"/>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75"/>
      <c r="AW12" s="775"/>
      <c r="AX12" s="775"/>
      <c r="AY12" s="775"/>
    </row>
    <row r="13" spans="1:51" ht="392.25" customHeight="1">
      <c r="A13" s="121">
        <v>518</v>
      </c>
      <c r="B13" s="121"/>
      <c r="C13" s="121"/>
      <c r="D13" s="121"/>
      <c r="E13" s="121"/>
      <c r="F13" s="121"/>
      <c r="G13" s="122"/>
      <c r="H13" s="121"/>
      <c r="I13" s="152" t="s">
        <v>647</v>
      </c>
      <c r="J13" s="152" t="s">
        <v>648</v>
      </c>
      <c r="K13" s="396" t="s">
        <v>430</v>
      </c>
      <c r="L13" s="121">
        <v>3</v>
      </c>
      <c r="M13" s="122" t="s">
        <v>649</v>
      </c>
      <c r="N13" s="122" t="s">
        <v>650</v>
      </c>
      <c r="O13" s="238"/>
      <c r="P13" s="238"/>
      <c r="Q13" s="238"/>
      <c r="R13" s="238">
        <v>3</v>
      </c>
      <c r="S13" s="238"/>
      <c r="T13" s="235" t="s">
        <v>433</v>
      </c>
      <c r="U13" s="235" t="s">
        <v>651</v>
      </c>
      <c r="V13" s="358"/>
      <c r="W13" s="358"/>
      <c r="X13" s="359">
        <f>(('[1]Meta 1'!D34+'[1]Meta 1'!E34+'[1]Meta 1'!F34)/'[1]Meta 1'!P34)+(('[1]Meta 2'!D34+'[1]Meta 2'!E34+'[1]Meta 2'!F34)/'[1]Meta 2'!P34)+(('[1]Meta 3'!D34+'[1]Meta 3'!E34+'[1]Meta 3'!F34)/'[1]Meta 3'!P34)</f>
        <v>0.7846666666666667</v>
      </c>
      <c r="Y13" s="358"/>
      <c r="Z13" s="360"/>
      <c r="AA13" s="359">
        <f>+(('[1]Meta 1'!G34+'[1]Meta 1'!H34+'[1]Meta 1'!I34)/'[1]Meta 1'!P34)+(('[1]Meta 2'!G34+'[1]Meta 2'!H34+'[1]Meta 2'!I34)/'[1]Meta 2'!P34)+(('[1]Meta 3'!G34+'[1]Meta 3'!H34+'[1]Meta 3'!I34)/'[1]Meta 3'!P34)</f>
        <v>0.7361666666666666</v>
      </c>
      <c r="AB13" s="358"/>
      <c r="AC13" s="358"/>
      <c r="AD13" s="359">
        <f>(('[1]Meta 1'!J34+'[1]Meta 1'!K34+'[1]Meta 1'!L34)/'[1]Meta 1'!P34)+(('[1]Meta 2'!J34+'[1]Meta 2'!K34+'[1]Meta 2'!L34)/'[1]Meta 2'!P34)+(('[1]Meta 3'!J34+'[1]Meta 3'!K34+'[1]Meta 3'!L34)/'[1]Meta 3'!P34)</f>
        <v>0.7475</v>
      </c>
      <c r="AE13" s="358"/>
      <c r="AF13" s="358"/>
      <c r="AG13" s="359">
        <f>(('[1]Meta 1'!M34+'[1]Meta 1'!N34+'[1]Meta 1'!O34)/'[1]Meta 1'!P34)+(('[1]Meta 2'!M34+'[1]Meta 2'!N34+'[1]Meta 2'!O34)/'[1]Meta 2'!P34)+(('[1]Meta 3'!M34+'[1]Meta 3'!N34+'[1]Meta 3'!O34)/'[1]Meta 3'!P34)</f>
        <v>0.7316666666666667</v>
      </c>
      <c r="AH13" s="447"/>
      <c r="AI13" s="447"/>
      <c r="AJ13" s="124">
        <v>0.78</v>
      </c>
      <c r="AK13" s="447"/>
      <c r="AL13" s="447"/>
      <c r="AM13" s="124"/>
      <c r="AN13" s="124"/>
      <c r="AO13" s="124"/>
      <c r="AP13" s="124"/>
      <c r="AQ13" s="124"/>
      <c r="AR13" s="124"/>
      <c r="AS13" s="124"/>
      <c r="AT13" s="447">
        <f>SUM(AH13:AS13)</f>
        <v>0.78</v>
      </c>
      <c r="AU13" s="127">
        <f>+AT13/R13</f>
        <v>0.26</v>
      </c>
      <c r="AV13" s="1174"/>
      <c r="AW13" s="1174"/>
      <c r="AX13" s="421"/>
      <c r="AY13" s="1175"/>
    </row>
    <row r="14" spans="1:51" ht="237.75" customHeight="1">
      <c r="A14" s="121"/>
      <c r="B14" s="121"/>
      <c r="C14" s="121"/>
      <c r="D14" s="121"/>
      <c r="E14" s="121" t="s">
        <v>425</v>
      </c>
      <c r="F14" s="121"/>
      <c r="G14" s="122" t="s">
        <v>652</v>
      </c>
      <c r="H14" s="121"/>
      <c r="I14" s="152" t="s">
        <v>653</v>
      </c>
      <c r="J14" s="152" t="s">
        <v>654</v>
      </c>
      <c r="K14" s="122" t="s">
        <v>430</v>
      </c>
      <c r="L14" s="121"/>
      <c r="M14" s="122" t="s">
        <v>437</v>
      </c>
      <c r="N14" s="122" t="s">
        <v>655</v>
      </c>
      <c r="O14" s="238"/>
      <c r="P14" s="238"/>
      <c r="Q14" s="238"/>
      <c r="R14" s="238">
        <v>11</v>
      </c>
      <c r="S14" s="238"/>
      <c r="T14" s="235" t="s">
        <v>439</v>
      </c>
      <c r="U14" s="235" t="s">
        <v>656</v>
      </c>
      <c r="V14" s="358"/>
      <c r="W14" s="358"/>
      <c r="X14" s="361">
        <v>11</v>
      </c>
      <c r="Y14" s="358"/>
      <c r="Z14" s="360"/>
      <c r="AA14" s="359"/>
      <c r="AB14" s="358"/>
      <c r="AC14" s="358"/>
      <c r="AD14" s="359"/>
      <c r="AE14" s="358"/>
      <c r="AF14" s="358"/>
      <c r="AG14" s="359"/>
      <c r="AH14" s="124"/>
      <c r="AI14" s="124"/>
      <c r="AJ14" s="124"/>
      <c r="AK14" s="124"/>
      <c r="AL14" s="124"/>
      <c r="AM14" s="124"/>
      <c r="AN14" s="124"/>
      <c r="AO14" s="124"/>
      <c r="AP14" s="124"/>
      <c r="AQ14" s="124"/>
      <c r="AR14" s="124"/>
      <c r="AS14" s="124"/>
      <c r="AT14" s="124">
        <f>SUM(AH14:AS14)</f>
        <v>0</v>
      </c>
      <c r="AU14" s="127">
        <f>+AT14/R14</f>
        <v>0</v>
      </c>
      <c r="AV14" s="1176"/>
      <c r="AW14" s="1176"/>
      <c r="AX14" s="453"/>
      <c r="AY14" s="453"/>
    </row>
    <row r="15" spans="1:51" ht="242.25" customHeight="1">
      <c r="A15" s="121"/>
      <c r="B15" s="121"/>
      <c r="C15" s="121"/>
      <c r="D15" s="121"/>
      <c r="E15" s="121" t="s">
        <v>425</v>
      </c>
      <c r="F15" s="121"/>
      <c r="G15" s="122" t="s">
        <v>652</v>
      </c>
      <c r="H15" s="121"/>
      <c r="I15" s="362" t="s">
        <v>657</v>
      </c>
      <c r="J15" s="362" t="s">
        <v>658</v>
      </c>
      <c r="K15" s="363" t="s">
        <v>430</v>
      </c>
      <c r="L15" s="121"/>
      <c r="M15" s="363" t="s">
        <v>437</v>
      </c>
      <c r="N15" s="122" t="s">
        <v>659</v>
      </c>
      <c r="O15" s="238"/>
      <c r="P15" s="238"/>
      <c r="Q15" s="238"/>
      <c r="R15" s="238">
        <v>132</v>
      </c>
      <c r="S15" s="238"/>
      <c r="T15" s="235" t="s">
        <v>460</v>
      </c>
      <c r="U15" s="235" t="s">
        <v>660</v>
      </c>
      <c r="V15" s="424">
        <v>11</v>
      </c>
      <c r="W15" s="424">
        <v>11</v>
      </c>
      <c r="X15" s="424">
        <v>11</v>
      </c>
      <c r="Y15" s="424">
        <v>11</v>
      </c>
      <c r="Z15" s="424">
        <v>11</v>
      </c>
      <c r="AA15" s="424">
        <v>11</v>
      </c>
      <c r="AB15" s="424">
        <v>11</v>
      </c>
      <c r="AC15" s="424">
        <v>11</v>
      </c>
      <c r="AD15" s="424">
        <v>11</v>
      </c>
      <c r="AE15" s="424">
        <v>11</v>
      </c>
      <c r="AF15" s="424">
        <v>11</v>
      </c>
      <c r="AG15" s="424">
        <v>11</v>
      </c>
      <c r="AH15" s="121">
        <v>11</v>
      </c>
      <c r="AI15" s="124">
        <v>11</v>
      </c>
      <c r="AJ15" s="124">
        <v>11</v>
      </c>
      <c r="AK15" s="124">
        <v>11</v>
      </c>
      <c r="AL15" s="124">
        <v>11</v>
      </c>
      <c r="AM15" s="124"/>
      <c r="AN15" s="124"/>
      <c r="AO15" s="124"/>
      <c r="AP15" s="124"/>
      <c r="AQ15" s="124"/>
      <c r="AR15" s="124"/>
      <c r="AS15" s="124"/>
      <c r="AT15" s="124">
        <f>SUM(AH15:AS15)</f>
        <v>55</v>
      </c>
      <c r="AU15" s="127">
        <f>+AT15/R15</f>
        <v>0.4166666666666667</v>
      </c>
      <c r="AV15" s="1176"/>
      <c r="AW15" s="1176"/>
      <c r="AX15" s="453"/>
      <c r="AY15" s="453"/>
    </row>
    <row r="16" spans="1:51" ht="184.5" customHeight="1">
      <c r="A16" s="121"/>
      <c r="B16" s="121"/>
      <c r="C16" s="121"/>
      <c r="D16" s="121"/>
      <c r="E16" s="121" t="s">
        <v>425</v>
      </c>
      <c r="F16" s="121"/>
      <c r="G16" s="122" t="s">
        <v>652</v>
      </c>
      <c r="H16" s="121"/>
      <c r="I16" s="152" t="s">
        <v>661</v>
      </c>
      <c r="J16" s="152" t="s">
        <v>662</v>
      </c>
      <c r="K16" s="122" t="s">
        <v>430</v>
      </c>
      <c r="L16" s="121"/>
      <c r="M16" s="122" t="s">
        <v>437</v>
      </c>
      <c r="N16" s="122" t="s">
        <v>819</v>
      </c>
      <c r="O16" s="238"/>
      <c r="P16" s="238"/>
      <c r="Q16" s="238"/>
      <c r="R16" s="238">
        <v>2</v>
      </c>
      <c r="S16" s="238"/>
      <c r="T16" s="235" t="s">
        <v>455</v>
      </c>
      <c r="U16" s="235" t="s">
        <v>663</v>
      </c>
      <c r="V16" s="424">
        <v>1</v>
      </c>
      <c r="W16" s="424"/>
      <c r="X16" s="424"/>
      <c r="Y16" s="424"/>
      <c r="Z16" s="424"/>
      <c r="AA16" s="424"/>
      <c r="AB16" s="424">
        <v>1</v>
      </c>
      <c r="AC16" s="425"/>
      <c r="AD16" s="426"/>
      <c r="AE16" s="425"/>
      <c r="AF16" s="425"/>
      <c r="AG16" s="426"/>
      <c r="AH16" s="121">
        <v>1</v>
      </c>
      <c r="AI16" s="124"/>
      <c r="AJ16" s="124"/>
      <c r="AK16" s="124"/>
      <c r="AL16" s="124"/>
      <c r="AM16" s="124"/>
      <c r="AN16" s="124"/>
      <c r="AO16" s="124"/>
      <c r="AP16" s="124"/>
      <c r="AQ16" s="124"/>
      <c r="AR16" s="124"/>
      <c r="AS16" s="124"/>
      <c r="AT16" s="124">
        <f>SUM(AH16:AS16)</f>
        <v>1</v>
      </c>
      <c r="AU16" s="127">
        <f>+AT16/R16</f>
        <v>0.5</v>
      </c>
      <c r="AV16" s="412"/>
      <c r="AW16" s="413"/>
      <c r="AX16" s="417"/>
      <c r="AY16" s="417"/>
    </row>
    <row r="17" spans="1:51" ht="128.25" customHeight="1">
      <c r="A17" s="121"/>
      <c r="B17" s="121"/>
      <c r="C17" s="121"/>
      <c r="D17" s="121"/>
      <c r="E17" s="121" t="s">
        <v>425</v>
      </c>
      <c r="F17" s="121"/>
      <c r="G17" s="122" t="s">
        <v>652</v>
      </c>
      <c r="H17" s="121"/>
      <c r="I17" s="152" t="s">
        <v>664</v>
      </c>
      <c r="J17" s="152" t="s">
        <v>665</v>
      </c>
      <c r="K17" s="122" t="s">
        <v>430</v>
      </c>
      <c r="L17" s="121"/>
      <c r="M17" s="122" t="s">
        <v>437</v>
      </c>
      <c r="N17" s="122" t="s">
        <v>666</v>
      </c>
      <c r="O17" s="238"/>
      <c r="P17" s="238"/>
      <c r="Q17" s="238"/>
      <c r="R17" s="238">
        <v>1</v>
      </c>
      <c r="S17" s="238"/>
      <c r="T17" s="235" t="s">
        <v>439</v>
      </c>
      <c r="U17" s="235" t="s">
        <v>667</v>
      </c>
      <c r="V17" s="358"/>
      <c r="W17" s="358"/>
      <c r="X17" s="359"/>
      <c r="Y17" s="358"/>
      <c r="Z17" s="360"/>
      <c r="AA17" s="359"/>
      <c r="AB17" s="358"/>
      <c r="AC17" s="358"/>
      <c r="AD17" s="361">
        <v>1</v>
      </c>
      <c r="AE17" s="358"/>
      <c r="AF17" s="358"/>
      <c r="AG17" s="359"/>
      <c r="AH17" s="124"/>
      <c r="AI17" s="124"/>
      <c r="AJ17" s="124"/>
      <c r="AK17" s="124"/>
      <c r="AL17" s="124"/>
      <c r="AM17" s="124"/>
      <c r="AN17" s="124"/>
      <c r="AO17" s="124"/>
      <c r="AP17" s="124"/>
      <c r="AQ17" s="124"/>
      <c r="AR17" s="124"/>
      <c r="AS17" s="124"/>
      <c r="AT17" s="124">
        <f>SUM(AH17:AS17)</f>
        <v>0</v>
      </c>
      <c r="AU17" s="127">
        <f>+AT17/R17</f>
        <v>0</v>
      </c>
      <c r="AV17" s="412"/>
      <c r="AW17" s="412"/>
      <c r="AX17" s="417"/>
      <c r="AY17" s="417"/>
    </row>
    <row r="18" spans="1:51" ht="54" customHeight="1">
      <c r="A18" s="777" t="s">
        <v>64</v>
      </c>
      <c r="B18" s="777"/>
      <c r="C18" s="777"/>
      <c r="D18" s="773" t="s">
        <v>640</v>
      </c>
      <c r="E18" s="773"/>
      <c r="F18" s="773"/>
      <c r="G18" s="773"/>
      <c r="H18" s="773"/>
      <c r="I18" s="773"/>
      <c r="J18" s="778" t="s">
        <v>300</v>
      </c>
      <c r="K18" s="778"/>
      <c r="L18" s="778"/>
      <c r="M18" s="778"/>
      <c r="N18" s="778"/>
      <c r="O18" s="778"/>
      <c r="P18" s="773" t="s">
        <v>66</v>
      </c>
      <c r="Q18" s="773"/>
      <c r="R18" s="773"/>
      <c r="S18" s="773"/>
      <c r="T18" s="773"/>
      <c r="U18" s="773"/>
      <c r="V18" s="773" t="s">
        <v>66</v>
      </c>
      <c r="W18" s="773"/>
      <c r="X18" s="773"/>
      <c r="Y18" s="773"/>
      <c r="Z18" s="773"/>
      <c r="AA18" s="773"/>
      <c r="AB18" s="773"/>
      <c r="AC18" s="773"/>
      <c r="AD18" s="773" t="s">
        <v>66</v>
      </c>
      <c r="AE18" s="773"/>
      <c r="AF18" s="773"/>
      <c r="AG18" s="773"/>
      <c r="AH18" s="773"/>
      <c r="AI18" s="773"/>
      <c r="AJ18" s="773"/>
      <c r="AK18" s="773"/>
      <c r="AL18" s="773"/>
      <c r="AM18" s="773"/>
      <c r="AN18" s="773"/>
      <c r="AO18" s="773"/>
      <c r="AP18" s="778" t="s">
        <v>318</v>
      </c>
      <c r="AQ18" s="778"/>
      <c r="AR18" s="778"/>
      <c r="AS18" s="778"/>
      <c r="AT18" s="773" t="s">
        <v>13</v>
      </c>
      <c r="AU18" s="773"/>
      <c r="AV18" s="773"/>
      <c r="AW18" s="773"/>
      <c r="AX18" s="773"/>
      <c r="AY18" s="773"/>
    </row>
    <row r="19" spans="1:51" ht="30" customHeight="1">
      <c r="A19" s="777"/>
      <c r="B19" s="777"/>
      <c r="C19" s="777"/>
      <c r="D19" s="773" t="s">
        <v>847</v>
      </c>
      <c r="E19" s="773"/>
      <c r="F19" s="773"/>
      <c r="G19" s="773"/>
      <c r="H19" s="773"/>
      <c r="I19" s="773"/>
      <c r="J19" s="778"/>
      <c r="K19" s="778"/>
      <c r="L19" s="778"/>
      <c r="M19" s="778"/>
      <c r="N19" s="778"/>
      <c r="O19" s="778"/>
      <c r="P19" s="773" t="s">
        <v>643</v>
      </c>
      <c r="Q19" s="773"/>
      <c r="R19" s="773"/>
      <c r="S19" s="773"/>
      <c r="T19" s="773"/>
      <c r="U19" s="773"/>
      <c r="V19" s="773" t="s">
        <v>771</v>
      </c>
      <c r="W19" s="773"/>
      <c r="X19" s="773"/>
      <c r="Y19" s="773"/>
      <c r="Z19" s="773"/>
      <c r="AA19" s="773"/>
      <c r="AB19" s="773"/>
      <c r="AC19" s="773"/>
      <c r="AD19" s="773" t="s">
        <v>65</v>
      </c>
      <c r="AE19" s="773"/>
      <c r="AF19" s="773"/>
      <c r="AG19" s="773"/>
      <c r="AH19" s="773"/>
      <c r="AI19" s="773"/>
      <c r="AJ19" s="773"/>
      <c r="AK19" s="773"/>
      <c r="AL19" s="773"/>
      <c r="AM19" s="773"/>
      <c r="AN19" s="773"/>
      <c r="AO19" s="773"/>
      <c r="AP19" s="778"/>
      <c r="AQ19" s="778"/>
      <c r="AR19" s="778"/>
      <c r="AS19" s="778"/>
      <c r="AT19" s="773" t="s">
        <v>771</v>
      </c>
      <c r="AU19" s="773"/>
      <c r="AV19" s="773"/>
      <c r="AW19" s="773"/>
      <c r="AX19" s="773"/>
      <c r="AY19" s="773"/>
    </row>
    <row r="20" spans="1:51" ht="30" customHeight="1">
      <c r="A20" s="777"/>
      <c r="B20" s="777"/>
      <c r="C20" s="777"/>
      <c r="D20" s="773" t="s">
        <v>772</v>
      </c>
      <c r="E20" s="773"/>
      <c r="F20" s="773"/>
      <c r="G20" s="773"/>
      <c r="H20" s="773"/>
      <c r="I20" s="773"/>
      <c r="J20" s="778"/>
      <c r="K20" s="778"/>
      <c r="L20" s="778"/>
      <c r="M20" s="778"/>
      <c r="N20" s="778"/>
      <c r="O20" s="778"/>
      <c r="P20" s="773" t="s">
        <v>775</v>
      </c>
      <c r="Q20" s="773"/>
      <c r="R20" s="773"/>
      <c r="S20" s="773"/>
      <c r="T20" s="773"/>
      <c r="U20" s="773"/>
      <c r="V20" s="773" t="s">
        <v>645</v>
      </c>
      <c r="W20" s="773"/>
      <c r="X20" s="773"/>
      <c r="Y20" s="773"/>
      <c r="Z20" s="773"/>
      <c r="AA20" s="773"/>
      <c r="AB20" s="773"/>
      <c r="AC20" s="773"/>
      <c r="AD20" s="773" t="s">
        <v>297</v>
      </c>
      <c r="AE20" s="773"/>
      <c r="AF20" s="773"/>
      <c r="AG20" s="773"/>
      <c r="AH20" s="773"/>
      <c r="AI20" s="773"/>
      <c r="AJ20" s="773"/>
      <c r="AK20" s="773"/>
      <c r="AL20" s="773"/>
      <c r="AM20" s="773"/>
      <c r="AN20" s="773"/>
      <c r="AO20" s="773"/>
      <c r="AP20" s="778"/>
      <c r="AQ20" s="778"/>
      <c r="AR20" s="778"/>
      <c r="AS20" s="778"/>
      <c r="AT20" s="773" t="s">
        <v>75</v>
      </c>
      <c r="AU20" s="773"/>
      <c r="AV20" s="773"/>
      <c r="AW20" s="773"/>
      <c r="AX20" s="773"/>
      <c r="AY20" s="773"/>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4"/>
  <drawing r:id="rId3"/>
  <legacyDrawing r:id="rId2"/>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AY23"/>
  <sheetViews>
    <sheetView zoomScale="61" zoomScaleNormal="61" zoomScalePageLayoutView="0" workbookViewId="0" topLeftCell="T10">
      <selection activeCell="AE16" sqref="AE16"/>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3.57421875" style="113" customWidth="1"/>
    <col min="15" max="19" width="8.7109375" style="113" customWidth="1"/>
    <col min="20" max="20" width="22.28125" style="113" customWidth="1"/>
    <col min="21" max="21" width="17.00390625" style="113" customWidth="1"/>
    <col min="22" max="45" width="7.421875" style="113" customWidth="1"/>
    <col min="46" max="46" width="17.140625" style="113" customWidth="1"/>
    <col min="47" max="47" width="15.8515625" style="217" customWidth="1"/>
    <col min="48" max="48" width="63.57421875" style="113" customWidth="1"/>
    <col min="49" max="49" width="73.00390625" style="113" customWidth="1"/>
    <col min="50" max="51" width="42.5742187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1048" t="s">
        <v>423</v>
      </c>
      <c r="AY1" s="1049"/>
    </row>
    <row r="2" spans="1:51" ht="15.75" customHeight="1">
      <c r="A2" s="1105" t="s">
        <v>17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7"/>
      <c r="AX2" s="1104" t="s">
        <v>418</v>
      </c>
      <c r="AY2" s="1051"/>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1104" t="s">
        <v>424</v>
      </c>
      <c r="AY3" s="1051"/>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1102" t="s">
        <v>782</v>
      </c>
      <c r="AY4" s="1103"/>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84" t="s">
        <v>71</v>
      </c>
      <c r="B6" s="785"/>
      <c r="C6" s="786"/>
      <c r="D6" s="1081">
        <v>45117</v>
      </c>
      <c r="E6" s="794"/>
      <c r="F6" s="784" t="s">
        <v>67</v>
      </c>
      <c r="G6" s="786"/>
      <c r="H6" s="1082" t="s">
        <v>70</v>
      </c>
      <c r="I6" s="1083"/>
      <c r="J6" s="121"/>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788"/>
      <c r="AJ6" s="788"/>
      <c r="AK6" s="788"/>
      <c r="AL6" s="788"/>
      <c r="AM6" s="788"/>
      <c r="AN6" s="788"/>
      <c r="AO6" s="788"/>
      <c r="AP6" s="788"/>
      <c r="AQ6" s="788"/>
      <c r="AR6" s="788"/>
      <c r="AS6" s="788"/>
      <c r="AT6" s="788"/>
      <c r="AU6" s="789"/>
      <c r="AV6" s="782"/>
      <c r="AW6" s="782"/>
      <c r="AX6" s="782"/>
      <c r="AY6" s="782"/>
    </row>
    <row r="7" spans="1:51" ht="15" customHeight="1">
      <c r="A7" s="787"/>
      <c r="B7" s="788"/>
      <c r="C7" s="789"/>
      <c r="D7" s="794"/>
      <c r="E7" s="794"/>
      <c r="F7" s="787"/>
      <c r="G7" s="789"/>
      <c r="H7" s="1082" t="s">
        <v>68</v>
      </c>
      <c r="I7" s="1083"/>
      <c r="J7" s="121"/>
      <c r="K7" s="787"/>
      <c r="L7" s="788"/>
      <c r="M7" s="788"/>
      <c r="N7" s="788"/>
      <c r="O7" s="788"/>
      <c r="P7" s="788"/>
      <c r="Q7" s="788"/>
      <c r="R7" s="788"/>
      <c r="S7" s="788"/>
      <c r="T7" s="788"/>
      <c r="U7" s="788"/>
      <c r="V7" s="231"/>
      <c r="W7" s="231"/>
      <c r="X7" s="231"/>
      <c r="Y7" s="231"/>
      <c r="Z7" s="231"/>
      <c r="AA7" s="231"/>
      <c r="AB7" s="231"/>
      <c r="AC7" s="231"/>
      <c r="AD7" s="231"/>
      <c r="AE7" s="231"/>
      <c r="AF7" s="231"/>
      <c r="AG7" s="117"/>
      <c r="AH7" s="787"/>
      <c r="AI7" s="788"/>
      <c r="AJ7" s="788"/>
      <c r="AK7" s="788"/>
      <c r="AL7" s="788"/>
      <c r="AM7" s="788"/>
      <c r="AN7" s="788"/>
      <c r="AO7" s="788"/>
      <c r="AP7" s="788"/>
      <c r="AQ7" s="788"/>
      <c r="AR7" s="788"/>
      <c r="AS7" s="788"/>
      <c r="AT7" s="788"/>
      <c r="AU7" s="789"/>
      <c r="AV7" s="782"/>
      <c r="AW7" s="782"/>
      <c r="AX7" s="782"/>
      <c r="AY7" s="782"/>
    </row>
    <row r="8" spans="1:51" ht="15" customHeight="1">
      <c r="A8" s="790"/>
      <c r="B8" s="791"/>
      <c r="C8" s="792"/>
      <c r="D8" s="794"/>
      <c r="E8" s="794"/>
      <c r="F8" s="790"/>
      <c r="G8" s="792"/>
      <c r="H8" s="1082" t="s">
        <v>69</v>
      </c>
      <c r="I8" s="1083"/>
      <c r="J8" s="121"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788"/>
      <c r="AJ8" s="788"/>
      <c r="AK8" s="788"/>
      <c r="AL8" s="788"/>
      <c r="AM8" s="788"/>
      <c r="AN8" s="788"/>
      <c r="AO8" s="788"/>
      <c r="AP8" s="788"/>
      <c r="AQ8" s="788"/>
      <c r="AR8" s="788"/>
      <c r="AS8" s="788"/>
      <c r="AT8" s="788"/>
      <c r="AU8" s="789"/>
      <c r="AV8" s="782"/>
      <c r="AW8" s="782"/>
      <c r="AX8" s="782"/>
      <c r="AY8" s="782"/>
    </row>
    <row r="9" spans="1:51" ht="15" customHeight="1">
      <c r="A9" s="795" t="s">
        <v>399</v>
      </c>
      <c r="B9" s="796"/>
      <c r="C9" s="797"/>
      <c r="D9" s="802"/>
      <c r="E9" s="800"/>
      <c r="F9" s="800"/>
      <c r="G9" s="800"/>
      <c r="H9" s="800"/>
      <c r="I9" s="800"/>
      <c r="J9" s="800"/>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788"/>
      <c r="AJ9" s="788"/>
      <c r="AK9" s="788"/>
      <c r="AL9" s="788"/>
      <c r="AM9" s="788"/>
      <c r="AN9" s="788"/>
      <c r="AO9" s="788"/>
      <c r="AP9" s="788"/>
      <c r="AQ9" s="788"/>
      <c r="AR9" s="788"/>
      <c r="AS9" s="788"/>
      <c r="AT9" s="788"/>
      <c r="AU9" s="789"/>
      <c r="AV9" s="782"/>
      <c r="AW9" s="782"/>
      <c r="AX9" s="782"/>
      <c r="AY9" s="782"/>
    </row>
    <row r="10" spans="1:51" ht="15" customHeight="1">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70.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409" t="s">
        <v>169</v>
      </c>
      <c r="B12" s="409" t="s">
        <v>170</v>
      </c>
      <c r="C12" s="409" t="s">
        <v>171</v>
      </c>
      <c r="D12" s="409" t="s">
        <v>178</v>
      </c>
      <c r="E12" s="409" t="s">
        <v>185</v>
      </c>
      <c r="F12" s="409" t="s">
        <v>186</v>
      </c>
      <c r="G12" s="409" t="s">
        <v>277</v>
      </c>
      <c r="H12" s="409" t="s">
        <v>184</v>
      </c>
      <c r="I12" s="775"/>
      <c r="J12" s="775"/>
      <c r="K12" s="775"/>
      <c r="L12" s="775"/>
      <c r="M12" s="775"/>
      <c r="N12" s="775"/>
      <c r="O12" s="409">
        <v>2020</v>
      </c>
      <c r="P12" s="409">
        <v>2021</v>
      </c>
      <c r="Q12" s="409">
        <v>2022</v>
      </c>
      <c r="R12" s="409">
        <v>2023</v>
      </c>
      <c r="S12" s="409">
        <v>2024</v>
      </c>
      <c r="T12" s="775"/>
      <c r="U12" s="775"/>
      <c r="V12" s="408" t="s">
        <v>39</v>
      </c>
      <c r="W12" s="408" t="s">
        <v>40</v>
      </c>
      <c r="X12" s="408" t="s">
        <v>41</v>
      </c>
      <c r="Y12" s="408" t="s">
        <v>42</v>
      </c>
      <c r="Z12" s="408" t="s">
        <v>43</v>
      </c>
      <c r="AA12" s="408" t="s">
        <v>44</v>
      </c>
      <c r="AB12" s="408" t="s">
        <v>45</v>
      </c>
      <c r="AC12" s="408" t="s">
        <v>46</v>
      </c>
      <c r="AD12" s="408" t="s">
        <v>47</v>
      </c>
      <c r="AE12" s="408" t="s">
        <v>48</v>
      </c>
      <c r="AF12" s="408" t="s">
        <v>49</v>
      </c>
      <c r="AG12" s="408" t="s">
        <v>50</v>
      </c>
      <c r="AH12" s="408" t="s">
        <v>39</v>
      </c>
      <c r="AI12" s="408" t="s">
        <v>40</v>
      </c>
      <c r="AJ12" s="408" t="s">
        <v>41</v>
      </c>
      <c r="AK12" s="408" t="s">
        <v>42</v>
      </c>
      <c r="AL12" s="408" t="s">
        <v>43</v>
      </c>
      <c r="AM12" s="408" t="s">
        <v>44</v>
      </c>
      <c r="AN12" s="408" t="s">
        <v>45</v>
      </c>
      <c r="AO12" s="408" t="s">
        <v>46</v>
      </c>
      <c r="AP12" s="408" t="s">
        <v>47</v>
      </c>
      <c r="AQ12" s="408" t="s">
        <v>48</v>
      </c>
      <c r="AR12" s="408" t="s">
        <v>49</v>
      </c>
      <c r="AS12" s="408" t="s">
        <v>50</v>
      </c>
      <c r="AT12" s="409" t="s">
        <v>413</v>
      </c>
      <c r="AU12" s="216" t="s">
        <v>88</v>
      </c>
      <c r="AV12" s="775"/>
      <c r="AW12" s="775"/>
      <c r="AX12" s="775"/>
      <c r="AY12" s="775"/>
    </row>
    <row r="13" spans="1:51" ht="168.75" customHeight="1">
      <c r="A13" s="121"/>
      <c r="B13" s="121"/>
      <c r="C13" s="121"/>
      <c r="D13" s="121"/>
      <c r="E13" s="121" t="s">
        <v>425</v>
      </c>
      <c r="F13" s="121"/>
      <c r="G13" s="122" t="s">
        <v>668</v>
      </c>
      <c r="H13" s="122" t="s">
        <v>841</v>
      </c>
      <c r="I13" s="364" t="s">
        <v>669</v>
      </c>
      <c r="J13" s="152" t="s">
        <v>670</v>
      </c>
      <c r="K13" s="122" t="s">
        <v>430</v>
      </c>
      <c r="L13" s="122"/>
      <c r="M13" s="122" t="s">
        <v>431</v>
      </c>
      <c r="N13" s="122" t="s">
        <v>671</v>
      </c>
      <c r="O13" s="123"/>
      <c r="P13" s="123"/>
      <c r="Q13" s="123"/>
      <c r="R13" s="293">
        <v>0.85</v>
      </c>
      <c r="S13" s="123"/>
      <c r="T13" s="235" t="s">
        <v>433</v>
      </c>
      <c r="U13" s="235" t="s">
        <v>672</v>
      </c>
      <c r="V13" s="124"/>
      <c r="W13" s="124"/>
      <c r="X13" s="358">
        <v>0.2</v>
      </c>
      <c r="Y13" s="358"/>
      <c r="Z13" s="358"/>
      <c r="AA13" s="358">
        <v>0.2</v>
      </c>
      <c r="AB13" s="358"/>
      <c r="AC13" s="358"/>
      <c r="AD13" s="358">
        <v>0.2</v>
      </c>
      <c r="AE13" s="358"/>
      <c r="AF13" s="358"/>
      <c r="AG13" s="358">
        <v>0.25</v>
      </c>
      <c r="AH13" s="124"/>
      <c r="AI13" s="124"/>
      <c r="AJ13" s="127">
        <v>0</v>
      </c>
      <c r="AK13" s="124"/>
      <c r="AL13" s="124"/>
      <c r="AM13" s="124"/>
      <c r="AN13" s="124"/>
      <c r="AO13" s="124"/>
      <c r="AP13" s="124"/>
      <c r="AQ13" s="124"/>
      <c r="AR13" s="124"/>
      <c r="AS13" s="124"/>
      <c r="AT13" s="124">
        <f>SUM(AH13:AS13)</f>
        <v>0</v>
      </c>
      <c r="AU13" s="127">
        <f>+AT13/R13</f>
        <v>0</v>
      </c>
      <c r="AV13" s="412"/>
      <c r="AW13" s="412"/>
      <c r="AX13" s="417"/>
      <c r="AY13" s="417"/>
    </row>
    <row r="14" spans="1:51" ht="168.75" customHeight="1">
      <c r="A14" s="121"/>
      <c r="B14" s="121"/>
      <c r="C14" s="121"/>
      <c r="D14" s="121"/>
      <c r="E14" s="459" t="s">
        <v>425</v>
      </c>
      <c r="F14" s="121"/>
      <c r="G14" s="122" t="s">
        <v>668</v>
      </c>
      <c r="H14" s="122" t="s">
        <v>842</v>
      </c>
      <c r="I14" s="364" t="s">
        <v>669</v>
      </c>
      <c r="J14" s="152" t="s">
        <v>673</v>
      </c>
      <c r="K14" s="122" t="s">
        <v>430</v>
      </c>
      <c r="L14" s="124"/>
      <c r="M14" s="122" t="s">
        <v>431</v>
      </c>
      <c r="N14" s="122" t="s">
        <v>674</v>
      </c>
      <c r="O14" s="124"/>
      <c r="P14" s="124"/>
      <c r="Q14" s="124"/>
      <c r="R14" s="293">
        <v>0.85</v>
      </c>
      <c r="S14" s="124"/>
      <c r="T14" s="235" t="s">
        <v>455</v>
      </c>
      <c r="U14" s="235" t="s">
        <v>675</v>
      </c>
      <c r="V14" s="124"/>
      <c r="W14" s="124"/>
      <c r="X14" s="124"/>
      <c r="Y14" s="124"/>
      <c r="Z14" s="124"/>
      <c r="AA14" s="358">
        <v>0.4</v>
      </c>
      <c r="AB14" s="358"/>
      <c r="AC14" s="358"/>
      <c r="AD14" s="358"/>
      <c r="AE14" s="358"/>
      <c r="AF14" s="358"/>
      <c r="AG14" s="358">
        <v>0.45</v>
      </c>
      <c r="AH14" s="124"/>
      <c r="AI14" s="124"/>
      <c r="AJ14" s="124"/>
      <c r="AK14" s="124"/>
      <c r="AL14" s="124"/>
      <c r="AM14" s="124"/>
      <c r="AN14" s="124"/>
      <c r="AO14" s="124"/>
      <c r="AP14" s="124"/>
      <c r="AQ14" s="124"/>
      <c r="AR14" s="124"/>
      <c r="AS14" s="124"/>
      <c r="AT14" s="124">
        <f aca="true" t="shared" si="0" ref="AT14:AT20">SUM(AH14:AS14)</f>
        <v>0</v>
      </c>
      <c r="AU14" s="127">
        <f aca="true" t="shared" si="1" ref="AU14:AU20">+AT14/R14</f>
        <v>0</v>
      </c>
      <c r="AV14" s="412"/>
      <c r="AW14" s="412"/>
      <c r="AX14" s="417"/>
      <c r="AY14" s="417"/>
    </row>
    <row r="15" spans="1:51" ht="168.75" customHeight="1">
      <c r="A15" s="121"/>
      <c r="B15" s="121"/>
      <c r="C15" s="121"/>
      <c r="D15" s="121"/>
      <c r="E15" s="459" t="s">
        <v>425</v>
      </c>
      <c r="F15" s="121"/>
      <c r="G15" s="122" t="s">
        <v>668</v>
      </c>
      <c r="H15" s="122" t="s">
        <v>841</v>
      </c>
      <c r="I15" s="308" t="s">
        <v>676</v>
      </c>
      <c r="J15" s="308" t="s">
        <v>677</v>
      </c>
      <c r="K15" s="122" t="s">
        <v>453</v>
      </c>
      <c r="L15" s="124"/>
      <c r="M15" s="122" t="s">
        <v>431</v>
      </c>
      <c r="N15" s="122" t="s">
        <v>678</v>
      </c>
      <c r="O15" s="124"/>
      <c r="P15" s="124"/>
      <c r="Q15" s="124"/>
      <c r="R15" s="244">
        <v>1</v>
      </c>
      <c r="S15" s="124"/>
      <c r="T15" s="235" t="s">
        <v>433</v>
      </c>
      <c r="U15" s="122" t="s">
        <v>679</v>
      </c>
      <c r="V15" s="358"/>
      <c r="W15" s="358"/>
      <c r="X15" s="358">
        <v>1</v>
      </c>
      <c r="Y15" s="358"/>
      <c r="Z15" s="358"/>
      <c r="AA15" s="358">
        <v>1</v>
      </c>
      <c r="AB15" s="358"/>
      <c r="AC15" s="358"/>
      <c r="AD15" s="358">
        <v>1</v>
      </c>
      <c r="AE15" s="358"/>
      <c r="AF15" s="358"/>
      <c r="AG15" s="358">
        <v>1</v>
      </c>
      <c r="AH15" s="124"/>
      <c r="AI15" s="124"/>
      <c r="AJ15" s="127">
        <v>1</v>
      </c>
      <c r="AK15" s="124"/>
      <c r="AL15" s="124"/>
      <c r="AM15" s="124"/>
      <c r="AN15" s="124"/>
      <c r="AO15" s="124"/>
      <c r="AP15" s="124"/>
      <c r="AQ15" s="124"/>
      <c r="AR15" s="124"/>
      <c r="AS15" s="124"/>
      <c r="AT15" s="127">
        <f>SUM(AH15:AS15)</f>
        <v>1</v>
      </c>
      <c r="AU15" s="127">
        <f>+(SUM(AH15:AS15)/+SUM(V15:AG15))</f>
        <v>0.25</v>
      </c>
      <c r="AV15" s="412"/>
      <c r="AW15" s="414"/>
      <c r="AX15" s="417"/>
      <c r="AY15" s="417"/>
    </row>
    <row r="16" spans="1:51" ht="105">
      <c r="A16" s="121"/>
      <c r="B16" s="121"/>
      <c r="C16" s="121"/>
      <c r="D16" s="121"/>
      <c r="E16" s="459" t="s">
        <v>425</v>
      </c>
      <c r="F16" s="121"/>
      <c r="G16" s="122" t="s">
        <v>668</v>
      </c>
      <c r="H16" s="122" t="s">
        <v>841</v>
      </c>
      <c r="I16" s="308" t="s">
        <v>680</v>
      </c>
      <c r="J16" s="308" t="s">
        <v>681</v>
      </c>
      <c r="K16" s="121" t="s">
        <v>430</v>
      </c>
      <c r="L16" s="124"/>
      <c r="M16" s="122" t="s">
        <v>431</v>
      </c>
      <c r="N16" s="122" t="s">
        <v>682</v>
      </c>
      <c r="O16" s="124"/>
      <c r="P16" s="124"/>
      <c r="Q16" s="124"/>
      <c r="R16" s="244">
        <v>1</v>
      </c>
      <c r="S16" s="124"/>
      <c r="T16" s="235" t="s">
        <v>433</v>
      </c>
      <c r="U16" s="122" t="s">
        <v>683</v>
      </c>
      <c r="V16" s="358"/>
      <c r="W16" s="358"/>
      <c r="X16" s="358">
        <v>0.25</v>
      </c>
      <c r="Y16" s="358"/>
      <c r="Z16" s="358"/>
      <c r="AA16" s="358">
        <v>0.25</v>
      </c>
      <c r="AB16" s="358"/>
      <c r="AC16" s="358"/>
      <c r="AD16" s="358">
        <v>0.25</v>
      </c>
      <c r="AE16" s="358"/>
      <c r="AF16" s="358"/>
      <c r="AG16" s="358">
        <v>0.25</v>
      </c>
      <c r="AH16" s="124"/>
      <c r="AI16" s="124"/>
      <c r="AJ16" s="127">
        <v>0.25</v>
      </c>
      <c r="AK16" s="124"/>
      <c r="AL16" s="124"/>
      <c r="AM16" s="124"/>
      <c r="AN16" s="124"/>
      <c r="AO16" s="124"/>
      <c r="AP16" s="124"/>
      <c r="AQ16" s="124"/>
      <c r="AR16" s="124"/>
      <c r="AS16" s="124"/>
      <c r="AT16" s="127">
        <f t="shared" si="0"/>
        <v>0.25</v>
      </c>
      <c r="AU16" s="127">
        <f>+AT16/R16</f>
        <v>0.25</v>
      </c>
      <c r="AV16" s="412"/>
      <c r="AW16" s="472"/>
      <c r="AX16" s="417"/>
      <c r="AY16" s="417"/>
    </row>
    <row r="17" spans="1:51" ht="168.75" customHeight="1">
      <c r="A17" s="121"/>
      <c r="B17" s="121"/>
      <c r="C17" s="121"/>
      <c r="D17" s="121"/>
      <c r="E17" s="459" t="s">
        <v>425</v>
      </c>
      <c r="F17" s="121"/>
      <c r="G17" s="122" t="s">
        <v>668</v>
      </c>
      <c r="H17" s="122" t="s">
        <v>841</v>
      </c>
      <c r="I17" s="308" t="s">
        <v>684</v>
      </c>
      <c r="J17" s="308" t="s">
        <v>685</v>
      </c>
      <c r="K17" s="121" t="s">
        <v>453</v>
      </c>
      <c r="L17" s="124"/>
      <c r="M17" s="122" t="s">
        <v>431</v>
      </c>
      <c r="N17" s="308" t="s">
        <v>686</v>
      </c>
      <c r="O17" s="124"/>
      <c r="P17" s="124"/>
      <c r="Q17" s="124"/>
      <c r="R17" s="244">
        <v>1</v>
      </c>
      <c r="S17" s="124"/>
      <c r="T17" s="235" t="s">
        <v>460</v>
      </c>
      <c r="U17" s="122" t="s">
        <v>687</v>
      </c>
      <c r="V17" s="358">
        <f>(100/100)*100%</f>
        <v>1</v>
      </c>
      <c r="W17" s="358">
        <f aca="true" t="shared" si="2" ref="W17:AG17">(100/100)*100%</f>
        <v>1</v>
      </c>
      <c r="X17" s="358">
        <f t="shared" si="2"/>
        <v>1</v>
      </c>
      <c r="Y17" s="358">
        <f t="shared" si="2"/>
        <v>1</v>
      </c>
      <c r="Z17" s="358">
        <f t="shared" si="2"/>
        <v>1</v>
      </c>
      <c r="AA17" s="358">
        <f t="shared" si="2"/>
        <v>1</v>
      </c>
      <c r="AB17" s="358">
        <f t="shared" si="2"/>
        <v>1</v>
      </c>
      <c r="AC17" s="358">
        <f t="shared" si="2"/>
        <v>1</v>
      </c>
      <c r="AD17" s="358">
        <f t="shared" si="2"/>
        <v>1</v>
      </c>
      <c r="AE17" s="358">
        <f t="shared" si="2"/>
        <v>1</v>
      </c>
      <c r="AF17" s="358">
        <f t="shared" si="2"/>
        <v>1</v>
      </c>
      <c r="AG17" s="358">
        <f t="shared" si="2"/>
        <v>1</v>
      </c>
      <c r="AH17" s="127">
        <v>0.71</v>
      </c>
      <c r="AI17" s="127">
        <f>533/649</f>
        <v>0.8212634822804314</v>
      </c>
      <c r="AJ17" s="127">
        <f>718/872</f>
        <v>0.823394495412844</v>
      </c>
      <c r="AK17" s="127">
        <v>0.84</v>
      </c>
      <c r="AL17" s="127">
        <f>536/696</f>
        <v>0.7701149425287356</v>
      </c>
      <c r="AM17" s="124"/>
      <c r="AN17" s="124"/>
      <c r="AO17" s="124"/>
      <c r="AP17" s="124"/>
      <c r="AQ17" s="124"/>
      <c r="AR17" s="124"/>
      <c r="AS17" s="124"/>
      <c r="AT17" s="127">
        <f>AVERAGE(AH17:AS17)</f>
        <v>0.7929545840444021</v>
      </c>
      <c r="AU17" s="127">
        <f>+(SUM(AH17:AS17)/+SUM(V17:AG17))</f>
        <v>0.3303977433518342</v>
      </c>
      <c r="AV17" s="413"/>
      <c r="AW17" s="414"/>
      <c r="AX17" s="415"/>
      <c r="AY17" s="416"/>
    </row>
    <row r="18" spans="1:51" ht="168.75" customHeight="1">
      <c r="A18" s="121"/>
      <c r="B18" s="121"/>
      <c r="C18" s="121"/>
      <c r="D18" s="121"/>
      <c r="E18" s="459" t="s">
        <v>425</v>
      </c>
      <c r="F18" s="121"/>
      <c r="G18" s="122" t="s">
        <v>668</v>
      </c>
      <c r="H18" s="122" t="s">
        <v>841</v>
      </c>
      <c r="I18" s="308" t="s">
        <v>688</v>
      </c>
      <c r="J18" s="308" t="s">
        <v>689</v>
      </c>
      <c r="K18" s="121" t="s">
        <v>430</v>
      </c>
      <c r="L18" s="124"/>
      <c r="M18" s="122" t="s">
        <v>431</v>
      </c>
      <c r="N18" s="308" t="s">
        <v>690</v>
      </c>
      <c r="O18" s="124"/>
      <c r="P18" s="124"/>
      <c r="Q18" s="124"/>
      <c r="R18" s="244">
        <v>1</v>
      </c>
      <c r="S18" s="124"/>
      <c r="T18" s="235" t="s">
        <v>455</v>
      </c>
      <c r="U18" s="122" t="s">
        <v>691</v>
      </c>
      <c r="V18" s="358"/>
      <c r="W18" s="358"/>
      <c r="X18" s="358"/>
      <c r="Y18" s="358"/>
      <c r="Z18" s="358"/>
      <c r="AA18" s="358">
        <v>0.5</v>
      </c>
      <c r="AB18" s="358"/>
      <c r="AC18" s="358"/>
      <c r="AD18" s="358"/>
      <c r="AE18" s="358"/>
      <c r="AF18" s="358"/>
      <c r="AG18" s="358">
        <v>0.5</v>
      </c>
      <c r="AH18" s="124"/>
      <c r="AI18" s="124"/>
      <c r="AJ18" s="124"/>
      <c r="AK18" s="124"/>
      <c r="AL18" s="124"/>
      <c r="AM18" s="124"/>
      <c r="AN18" s="124"/>
      <c r="AO18" s="124"/>
      <c r="AP18" s="124"/>
      <c r="AQ18" s="124"/>
      <c r="AR18" s="124"/>
      <c r="AS18" s="124"/>
      <c r="AT18" s="124">
        <f t="shared" si="0"/>
        <v>0</v>
      </c>
      <c r="AU18" s="127">
        <f t="shared" si="1"/>
        <v>0</v>
      </c>
      <c r="AV18" s="412"/>
      <c r="AW18" s="412"/>
      <c r="AX18" s="417"/>
      <c r="AY18" s="417"/>
    </row>
    <row r="19" spans="1:51" ht="168.75" customHeight="1">
      <c r="A19" s="121"/>
      <c r="B19" s="121"/>
      <c r="C19" s="121"/>
      <c r="D19" s="121"/>
      <c r="E19" s="459" t="s">
        <v>425</v>
      </c>
      <c r="F19" s="121"/>
      <c r="G19" s="122" t="s">
        <v>668</v>
      </c>
      <c r="H19" s="122" t="s">
        <v>841</v>
      </c>
      <c r="I19" s="308" t="s">
        <v>692</v>
      </c>
      <c r="J19" s="308" t="s">
        <v>693</v>
      </c>
      <c r="K19" s="121" t="s">
        <v>430</v>
      </c>
      <c r="L19" s="124"/>
      <c r="M19" s="122" t="s">
        <v>431</v>
      </c>
      <c r="N19" s="308" t="s">
        <v>690</v>
      </c>
      <c r="O19" s="124"/>
      <c r="P19" s="124"/>
      <c r="Q19" s="124"/>
      <c r="R19" s="244">
        <v>1</v>
      </c>
      <c r="S19" s="124"/>
      <c r="T19" s="235" t="s">
        <v>455</v>
      </c>
      <c r="U19" s="122" t="s">
        <v>694</v>
      </c>
      <c r="V19" s="358"/>
      <c r="W19" s="358"/>
      <c r="X19" s="358"/>
      <c r="Y19" s="358"/>
      <c r="Z19" s="358"/>
      <c r="AA19" s="358">
        <v>0.5</v>
      </c>
      <c r="AB19" s="358"/>
      <c r="AC19" s="358"/>
      <c r="AD19" s="358"/>
      <c r="AE19" s="358"/>
      <c r="AF19" s="358"/>
      <c r="AG19" s="358">
        <v>0.5</v>
      </c>
      <c r="AH19" s="124"/>
      <c r="AI19" s="124"/>
      <c r="AJ19" s="124"/>
      <c r="AK19" s="124"/>
      <c r="AL19" s="124"/>
      <c r="AM19" s="124"/>
      <c r="AN19" s="124"/>
      <c r="AO19" s="124"/>
      <c r="AP19" s="124"/>
      <c r="AQ19" s="124"/>
      <c r="AR19" s="124"/>
      <c r="AS19" s="124"/>
      <c r="AT19" s="124">
        <f t="shared" si="0"/>
        <v>0</v>
      </c>
      <c r="AU19" s="127">
        <f t="shared" si="1"/>
        <v>0</v>
      </c>
      <c r="AV19" s="412"/>
      <c r="AW19" s="412"/>
      <c r="AX19" s="417"/>
      <c r="AY19" s="417"/>
    </row>
    <row r="20" spans="1:51" ht="168.75" customHeight="1">
      <c r="A20" s="121"/>
      <c r="B20" s="121"/>
      <c r="C20" s="121"/>
      <c r="D20" s="121"/>
      <c r="E20" s="459" t="s">
        <v>425</v>
      </c>
      <c r="F20" s="121"/>
      <c r="G20" s="122" t="s">
        <v>668</v>
      </c>
      <c r="H20" s="122" t="s">
        <v>841</v>
      </c>
      <c r="I20" s="308" t="s">
        <v>695</v>
      </c>
      <c r="J20" s="308" t="s">
        <v>696</v>
      </c>
      <c r="K20" s="121" t="s">
        <v>453</v>
      </c>
      <c r="L20" s="124"/>
      <c r="M20" s="122" t="s">
        <v>431</v>
      </c>
      <c r="N20" s="365" t="s">
        <v>697</v>
      </c>
      <c r="O20" s="124"/>
      <c r="P20" s="124"/>
      <c r="Q20" s="124"/>
      <c r="R20" s="244">
        <v>1</v>
      </c>
      <c r="S20" s="124"/>
      <c r="T20" s="235" t="s">
        <v>455</v>
      </c>
      <c r="U20" s="122" t="s">
        <v>698</v>
      </c>
      <c r="V20" s="358"/>
      <c r="W20" s="358"/>
      <c r="X20" s="358"/>
      <c r="Y20" s="358"/>
      <c r="Z20" s="358"/>
      <c r="AA20" s="358">
        <v>1</v>
      </c>
      <c r="AB20" s="358"/>
      <c r="AC20" s="358"/>
      <c r="AD20" s="358"/>
      <c r="AE20" s="358"/>
      <c r="AF20" s="358"/>
      <c r="AG20" s="358">
        <v>1</v>
      </c>
      <c r="AH20" s="124"/>
      <c r="AI20" s="124"/>
      <c r="AJ20" s="124"/>
      <c r="AK20" s="124"/>
      <c r="AL20" s="124"/>
      <c r="AM20" s="124"/>
      <c r="AN20" s="124"/>
      <c r="AO20" s="124"/>
      <c r="AP20" s="124"/>
      <c r="AQ20" s="124"/>
      <c r="AR20" s="124"/>
      <c r="AS20" s="124"/>
      <c r="AT20" s="124">
        <f t="shared" si="0"/>
        <v>0</v>
      </c>
      <c r="AU20" s="127">
        <f t="shared" si="1"/>
        <v>0</v>
      </c>
      <c r="AV20" s="412"/>
      <c r="AW20" s="412"/>
      <c r="AX20" s="417"/>
      <c r="AY20" s="417"/>
    </row>
    <row r="21" spans="1:51" ht="54" customHeight="1">
      <c r="A21" s="1084" t="s">
        <v>64</v>
      </c>
      <c r="B21" s="1085"/>
      <c r="C21" s="1086"/>
      <c r="D21" s="1073" t="s">
        <v>66</v>
      </c>
      <c r="E21" s="1074"/>
      <c r="F21" s="1074"/>
      <c r="G21" s="1074"/>
      <c r="H21" s="1074"/>
      <c r="I21" s="1075"/>
      <c r="J21" s="1093" t="s">
        <v>300</v>
      </c>
      <c r="K21" s="1094"/>
      <c r="L21" s="1094"/>
      <c r="M21" s="1094"/>
      <c r="N21" s="1094"/>
      <c r="O21" s="1095"/>
      <c r="P21" s="1073" t="s">
        <v>66</v>
      </c>
      <c r="Q21" s="1074"/>
      <c r="R21" s="1074"/>
      <c r="S21" s="1074"/>
      <c r="T21" s="1074"/>
      <c r="U21" s="1075"/>
      <c r="V21" s="1073" t="s">
        <v>66</v>
      </c>
      <c r="W21" s="1074"/>
      <c r="X21" s="1074"/>
      <c r="Y21" s="1074"/>
      <c r="Z21" s="1074"/>
      <c r="AA21" s="1074"/>
      <c r="AB21" s="1074"/>
      <c r="AC21" s="1075"/>
      <c r="AD21" s="1073" t="s">
        <v>66</v>
      </c>
      <c r="AE21" s="1074"/>
      <c r="AF21" s="1074"/>
      <c r="AG21" s="1074"/>
      <c r="AH21" s="1074"/>
      <c r="AI21" s="1074"/>
      <c r="AJ21" s="1074"/>
      <c r="AK21" s="1074"/>
      <c r="AL21" s="1074"/>
      <c r="AM21" s="1074"/>
      <c r="AN21" s="1074"/>
      <c r="AO21" s="1075"/>
      <c r="AP21" s="1093" t="s">
        <v>318</v>
      </c>
      <c r="AQ21" s="1094"/>
      <c r="AR21" s="1094"/>
      <c r="AS21" s="1095"/>
      <c r="AT21" s="1073" t="s">
        <v>13</v>
      </c>
      <c r="AU21" s="1074"/>
      <c r="AV21" s="1074"/>
      <c r="AW21" s="1074"/>
      <c r="AX21" s="1074"/>
      <c r="AY21" s="1075"/>
    </row>
    <row r="22" spans="1:51" ht="30" customHeight="1">
      <c r="A22" s="1087"/>
      <c r="B22" s="1088"/>
      <c r="C22" s="1089"/>
      <c r="D22" s="1073" t="s">
        <v>773</v>
      </c>
      <c r="E22" s="1074"/>
      <c r="F22" s="1074"/>
      <c r="G22" s="1074"/>
      <c r="H22" s="1074"/>
      <c r="I22" s="1075"/>
      <c r="J22" s="1096"/>
      <c r="K22" s="1097"/>
      <c r="L22" s="1097"/>
      <c r="M22" s="1097"/>
      <c r="N22" s="1097"/>
      <c r="O22" s="1098"/>
      <c r="P22" s="1073" t="s">
        <v>771</v>
      </c>
      <c r="Q22" s="1074"/>
      <c r="R22" s="1074"/>
      <c r="S22" s="1074"/>
      <c r="T22" s="1074"/>
      <c r="U22" s="1075"/>
      <c r="V22" s="1073" t="s">
        <v>65</v>
      </c>
      <c r="W22" s="1074"/>
      <c r="X22" s="1074"/>
      <c r="Y22" s="1074"/>
      <c r="Z22" s="1074"/>
      <c r="AA22" s="1074"/>
      <c r="AB22" s="1074"/>
      <c r="AC22" s="1075"/>
      <c r="AD22" s="1073" t="s">
        <v>65</v>
      </c>
      <c r="AE22" s="1074"/>
      <c r="AF22" s="1074"/>
      <c r="AG22" s="1074"/>
      <c r="AH22" s="1074"/>
      <c r="AI22" s="1074"/>
      <c r="AJ22" s="1074"/>
      <c r="AK22" s="1074"/>
      <c r="AL22" s="1074"/>
      <c r="AM22" s="1074"/>
      <c r="AN22" s="1074"/>
      <c r="AO22" s="1075"/>
      <c r="AP22" s="1096"/>
      <c r="AQ22" s="1097"/>
      <c r="AR22" s="1097"/>
      <c r="AS22" s="1098"/>
      <c r="AT22" s="1073" t="s">
        <v>771</v>
      </c>
      <c r="AU22" s="1074"/>
      <c r="AV22" s="1074"/>
      <c r="AW22" s="1074"/>
      <c r="AX22" s="1074"/>
      <c r="AY22" s="1075"/>
    </row>
    <row r="23" spans="1:51" ht="30" customHeight="1">
      <c r="A23" s="1090"/>
      <c r="B23" s="1091"/>
      <c r="C23" s="1092"/>
      <c r="D23" s="1073" t="s">
        <v>774</v>
      </c>
      <c r="E23" s="1074"/>
      <c r="F23" s="1074"/>
      <c r="G23" s="1074"/>
      <c r="H23" s="1074"/>
      <c r="I23" s="1075"/>
      <c r="J23" s="1099"/>
      <c r="K23" s="1100"/>
      <c r="L23" s="1100"/>
      <c r="M23" s="1100"/>
      <c r="N23" s="1100"/>
      <c r="O23" s="1101"/>
      <c r="P23" s="1073" t="s">
        <v>776</v>
      </c>
      <c r="Q23" s="1074"/>
      <c r="R23" s="1074"/>
      <c r="S23" s="1074"/>
      <c r="T23" s="1074"/>
      <c r="U23" s="1075"/>
      <c r="V23" s="1073" t="s">
        <v>297</v>
      </c>
      <c r="W23" s="1074"/>
      <c r="X23" s="1074"/>
      <c r="Y23" s="1074"/>
      <c r="Z23" s="1074"/>
      <c r="AA23" s="1074"/>
      <c r="AB23" s="1074"/>
      <c r="AC23" s="1075"/>
      <c r="AD23" s="1073" t="s">
        <v>297</v>
      </c>
      <c r="AE23" s="1074"/>
      <c r="AF23" s="1074"/>
      <c r="AG23" s="1074"/>
      <c r="AH23" s="1074"/>
      <c r="AI23" s="1074"/>
      <c r="AJ23" s="1074"/>
      <c r="AK23" s="1074"/>
      <c r="AL23" s="1074"/>
      <c r="AM23" s="1074"/>
      <c r="AN23" s="1074"/>
      <c r="AO23" s="1075"/>
      <c r="AP23" s="1099"/>
      <c r="AQ23" s="1100"/>
      <c r="AR23" s="1100"/>
      <c r="AS23" s="1101"/>
      <c r="AT23" s="1073" t="s">
        <v>75</v>
      </c>
      <c r="AU23" s="1074"/>
      <c r="AV23" s="1074"/>
      <c r="AW23" s="1074"/>
      <c r="AX23" s="1074"/>
      <c r="AY23" s="1075"/>
    </row>
  </sheetData>
  <sheetProtection/>
  <mergeCells count="56">
    <mergeCell ref="AX4:AY4"/>
    <mergeCell ref="AX3:AY3"/>
    <mergeCell ref="A3:AW4"/>
    <mergeCell ref="AX2:AY2"/>
    <mergeCell ref="A2:AW2"/>
    <mergeCell ref="D23:I23"/>
    <mergeCell ref="P23:U23"/>
    <mergeCell ref="V23:AC23"/>
    <mergeCell ref="AD23:AO23"/>
    <mergeCell ref="AT23:AY23"/>
    <mergeCell ref="AT21:AY21"/>
    <mergeCell ref="D22:I22"/>
    <mergeCell ref="P22:U22"/>
    <mergeCell ref="V22:AC22"/>
    <mergeCell ref="AD22:AO22"/>
    <mergeCell ref="AT22:AY22"/>
    <mergeCell ref="AH11:AS11"/>
    <mergeCell ref="AT11:AU11"/>
    <mergeCell ref="A21:C23"/>
    <mergeCell ref="D21:I21"/>
    <mergeCell ref="J21:O23"/>
    <mergeCell ref="P21:U21"/>
    <mergeCell ref="V21:AC21"/>
    <mergeCell ref="AD21:AO21"/>
    <mergeCell ref="AP21:AS23"/>
    <mergeCell ref="M11:M12"/>
    <mergeCell ref="A9:C9"/>
    <mergeCell ref="D9:AG9"/>
    <mergeCell ref="A10:C10"/>
    <mergeCell ref="D10:AG10"/>
    <mergeCell ref="N11:N12"/>
    <mergeCell ref="O11:S11"/>
    <mergeCell ref="T11:T12"/>
    <mergeCell ref="U11:U12"/>
    <mergeCell ref="V11:AG11"/>
    <mergeCell ref="A11:F11"/>
    <mergeCell ref="F6:G8"/>
    <mergeCell ref="H6:I6"/>
    <mergeCell ref="L11:L12"/>
    <mergeCell ref="K6:U8"/>
    <mergeCell ref="H7:I7"/>
    <mergeCell ref="H8:I8"/>
    <mergeCell ref="G11:H11"/>
    <mergeCell ref="I11:I12"/>
    <mergeCell ref="J11:J12"/>
    <mergeCell ref="K11:K12"/>
    <mergeCell ref="A1:AW1"/>
    <mergeCell ref="AX1:AY1"/>
    <mergeCell ref="A5:AG5"/>
    <mergeCell ref="AH5:AU10"/>
    <mergeCell ref="AV5:AV12"/>
    <mergeCell ref="AW5:AW12"/>
    <mergeCell ref="AX5:AX12"/>
    <mergeCell ref="AY5:AY12"/>
    <mergeCell ref="A6:C8"/>
    <mergeCell ref="D6:E8"/>
  </mergeCells>
  <printOptions/>
  <pageMargins left="0.7" right="0.7" top="0.75" bottom="0.75" header="0.3" footer="0.3"/>
  <pageSetup fitToHeight="1" fitToWidth="1" horizontalDpi="600" verticalDpi="600" orientation="landscape" scale="16" r:id="rId4"/>
  <drawing r:id="rId3"/>
  <legacyDrawing r:id="rId2"/>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AY21"/>
  <sheetViews>
    <sheetView zoomScale="55" zoomScaleNormal="55" zoomScalePageLayoutView="0" workbookViewId="0" topLeftCell="AI16">
      <selection activeCell="AV16" sqref="AV16:AV17"/>
    </sheetView>
  </sheetViews>
  <sheetFormatPr defaultColWidth="10.8515625" defaultRowHeight="15"/>
  <cols>
    <col min="1" max="1" width="10.7109375" style="113" customWidth="1"/>
    <col min="2" max="2" width="11.421875" style="113" customWidth="1"/>
    <col min="3" max="3" width="17.28125" style="113" customWidth="1"/>
    <col min="4" max="4" width="8.28125" style="113" customWidth="1"/>
    <col min="5" max="5" width="11.7109375" style="113" customWidth="1"/>
    <col min="6" max="6" width="8.28125" style="113" customWidth="1"/>
    <col min="7" max="7" width="14.7109375" style="113" customWidth="1"/>
    <col min="8" max="8" width="15.57421875" style="113" customWidth="1"/>
    <col min="9" max="9" width="29.28125" style="113" customWidth="1"/>
    <col min="10" max="10" width="26.28125" style="113" customWidth="1"/>
    <col min="11" max="11" width="18.57421875" style="113" customWidth="1"/>
    <col min="12" max="12" width="16.57421875" style="113" customWidth="1"/>
    <col min="13" max="13" width="15.28125" style="113" customWidth="1"/>
    <col min="14" max="14" width="24.7109375" style="113" customWidth="1"/>
    <col min="15" max="19" width="8.7109375" style="113" customWidth="1"/>
    <col min="20" max="20" width="22.28125" style="113" customWidth="1"/>
    <col min="21" max="21" width="26.8515625" style="113" customWidth="1"/>
    <col min="22" max="23" width="7.57421875" style="113" customWidth="1"/>
    <col min="24" max="24" width="7.57421875" style="305" customWidth="1"/>
    <col min="25" max="26" width="7.57421875" style="131" customWidth="1"/>
    <col min="27" max="27" width="7.57421875" style="305" customWidth="1"/>
    <col min="28" max="29" width="7.57421875" style="131" customWidth="1"/>
    <col min="30" max="30" width="7.57421875" style="305" customWidth="1"/>
    <col min="31" max="32" width="7.57421875" style="131" customWidth="1"/>
    <col min="33" max="33" width="7.57421875" style="305" customWidth="1"/>
    <col min="34" max="38" width="7.57421875" style="113" customWidth="1"/>
    <col min="39" max="39" width="7.57421875" style="131" customWidth="1"/>
    <col min="40" max="45" width="7.57421875" style="113" customWidth="1"/>
    <col min="46" max="46" width="16.00390625" style="113" bestFit="1" customWidth="1"/>
    <col min="47" max="47" width="14.140625" style="217" bestFit="1" customWidth="1"/>
    <col min="48" max="49" width="93.8515625" style="113" customWidth="1"/>
    <col min="50" max="51" width="36.14062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1048" t="s">
        <v>423</v>
      </c>
      <c r="AY1" s="1049"/>
    </row>
    <row r="2" spans="1:51" ht="15.75" customHeight="1">
      <c r="A2" s="1105" t="s">
        <v>17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7"/>
      <c r="AX2" s="1051" t="s">
        <v>418</v>
      </c>
      <c r="AY2" s="1052"/>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1051" t="s">
        <v>424</v>
      </c>
      <c r="AY3" s="1052"/>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783</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1081">
        <v>45117</v>
      </c>
      <c r="E6" s="794"/>
      <c r="F6" s="784" t="s">
        <v>67</v>
      </c>
      <c r="G6" s="786"/>
      <c r="H6" s="1123" t="s">
        <v>70</v>
      </c>
      <c r="I6" s="1123"/>
      <c r="J6" s="121"/>
      <c r="K6" s="784"/>
      <c r="L6" s="785"/>
      <c r="M6" s="785"/>
      <c r="N6" s="785"/>
      <c r="O6" s="785"/>
      <c r="P6" s="785"/>
      <c r="Q6" s="785"/>
      <c r="R6" s="785"/>
      <c r="S6" s="785"/>
      <c r="T6" s="785"/>
      <c r="U6" s="785"/>
      <c r="V6" s="114"/>
      <c r="W6" s="114"/>
      <c r="X6" s="295"/>
      <c r="Y6" s="226"/>
      <c r="Z6" s="226"/>
      <c r="AA6" s="295"/>
      <c r="AB6" s="226"/>
      <c r="AC6" s="226"/>
      <c r="AD6" s="295"/>
      <c r="AE6" s="226"/>
      <c r="AF6" s="226"/>
      <c r="AG6" s="296"/>
      <c r="AH6" s="787"/>
      <c r="AI6" s="1122"/>
      <c r="AJ6" s="1122"/>
      <c r="AK6" s="1122"/>
      <c r="AL6" s="1122"/>
      <c r="AM6" s="1122"/>
      <c r="AN6" s="1122"/>
      <c r="AO6" s="1122"/>
      <c r="AP6" s="1122"/>
      <c r="AQ6" s="1122"/>
      <c r="AR6" s="1122"/>
      <c r="AS6" s="1122"/>
      <c r="AT6" s="1122"/>
      <c r="AU6" s="789"/>
      <c r="AV6" s="782"/>
      <c r="AW6" s="782"/>
      <c r="AX6" s="782"/>
      <c r="AY6" s="782"/>
    </row>
    <row r="7" spans="1:51" ht="15" customHeight="1">
      <c r="A7" s="793"/>
      <c r="B7" s="793"/>
      <c r="C7" s="793"/>
      <c r="D7" s="794"/>
      <c r="E7" s="794"/>
      <c r="F7" s="787"/>
      <c r="G7" s="789"/>
      <c r="H7" s="1123" t="s">
        <v>68</v>
      </c>
      <c r="I7" s="1123"/>
      <c r="J7" s="121"/>
      <c r="K7" s="787"/>
      <c r="L7" s="1122"/>
      <c r="M7" s="1122"/>
      <c r="N7" s="1122"/>
      <c r="O7" s="1122"/>
      <c r="P7" s="1122"/>
      <c r="Q7" s="1122"/>
      <c r="R7" s="1122"/>
      <c r="S7" s="1122"/>
      <c r="T7" s="1122"/>
      <c r="U7" s="1122"/>
      <c r="V7" s="231"/>
      <c r="W7" s="231"/>
      <c r="X7" s="297"/>
      <c r="Y7" s="298"/>
      <c r="Z7" s="298"/>
      <c r="AA7" s="297"/>
      <c r="AB7" s="298"/>
      <c r="AC7" s="298"/>
      <c r="AD7" s="297"/>
      <c r="AE7" s="298"/>
      <c r="AF7" s="298"/>
      <c r="AG7" s="299"/>
      <c r="AH7" s="787"/>
      <c r="AI7" s="1122"/>
      <c r="AJ7" s="1122"/>
      <c r="AK7" s="1122"/>
      <c r="AL7" s="1122"/>
      <c r="AM7" s="1122"/>
      <c r="AN7" s="1122"/>
      <c r="AO7" s="1122"/>
      <c r="AP7" s="1122"/>
      <c r="AQ7" s="1122"/>
      <c r="AR7" s="1122"/>
      <c r="AS7" s="1122"/>
      <c r="AT7" s="1122"/>
      <c r="AU7" s="789"/>
      <c r="AV7" s="782"/>
      <c r="AW7" s="782"/>
      <c r="AX7" s="782"/>
      <c r="AY7" s="782"/>
    </row>
    <row r="8" spans="1:51" ht="15" customHeight="1">
      <c r="A8" s="793"/>
      <c r="B8" s="793"/>
      <c r="C8" s="793"/>
      <c r="D8" s="794"/>
      <c r="E8" s="794"/>
      <c r="F8" s="790"/>
      <c r="G8" s="792"/>
      <c r="H8" s="1123" t="s">
        <v>69</v>
      </c>
      <c r="I8" s="1123"/>
      <c r="J8" s="121" t="s">
        <v>425</v>
      </c>
      <c r="K8" s="790"/>
      <c r="L8" s="791"/>
      <c r="M8" s="791"/>
      <c r="N8" s="791"/>
      <c r="O8" s="791"/>
      <c r="P8" s="791"/>
      <c r="Q8" s="791"/>
      <c r="R8" s="791"/>
      <c r="S8" s="791"/>
      <c r="T8" s="791"/>
      <c r="U8" s="791"/>
      <c r="V8" s="118"/>
      <c r="W8" s="118"/>
      <c r="X8" s="300"/>
      <c r="Y8" s="227"/>
      <c r="Z8" s="227"/>
      <c r="AA8" s="300"/>
      <c r="AB8" s="227"/>
      <c r="AC8" s="227"/>
      <c r="AD8" s="300"/>
      <c r="AE8" s="227"/>
      <c r="AF8" s="227"/>
      <c r="AG8" s="301"/>
      <c r="AH8" s="787"/>
      <c r="AI8" s="1122"/>
      <c r="AJ8" s="1122"/>
      <c r="AK8" s="1122"/>
      <c r="AL8" s="1122"/>
      <c r="AM8" s="1122"/>
      <c r="AN8" s="1122"/>
      <c r="AO8" s="1122"/>
      <c r="AP8" s="1122"/>
      <c r="AQ8" s="1122"/>
      <c r="AR8" s="1122"/>
      <c r="AS8" s="1122"/>
      <c r="AT8" s="1122"/>
      <c r="AU8" s="789"/>
      <c r="AV8" s="782"/>
      <c r="AW8" s="782"/>
      <c r="AX8" s="782"/>
      <c r="AY8" s="782"/>
    </row>
    <row r="9" spans="1:51" ht="15" customHeight="1">
      <c r="A9" s="795" t="s">
        <v>399</v>
      </c>
      <c r="B9" s="796"/>
      <c r="C9" s="797"/>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1122"/>
      <c r="AJ9" s="1122"/>
      <c r="AK9" s="1122"/>
      <c r="AL9" s="1122"/>
      <c r="AM9" s="1122"/>
      <c r="AN9" s="1122"/>
      <c r="AO9" s="1122"/>
      <c r="AP9" s="1122"/>
      <c r="AQ9" s="1122"/>
      <c r="AR9" s="1122"/>
      <c r="AS9" s="1122"/>
      <c r="AT9" s="1122"/>
      <c r="AU9" s="789"/>
      <c r="AV9" s="782"/>
      <c r="AW9" s="782"/>
      <c r="AX9" s="782"/>
      <c r="AY9" s="782"/>
    </row>
    <row r="10" spans="1:51" ht="15" customHeight="1">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120" t="s">
        <v>169</v>
      </c>
      <c r="B12" s="120" t="s">
        <v>170</v>
      </c>
      <c r="C12" s="120" t="s">
        <v>171</v>
      </c>
      <c r="D12" s="120" t="s">
        <v>178</v>
      </c>
      <c r="E12" s="120" t="s">
        <v>185</v>
      </c>
      <c r="F12" s="120" t="s">
        <v>186</v>
      </c>
      <c r="G12" s="120" t="s">
        <v>277</v>
      </c>
      <c r="H12" s="120" t="s">
        <v>184</v>
      </c>
      <c r="I12" s="775"/>
      <c r="J12" s="775"/>
      <c r="K12" s="775"/>
      <c r="L12" s="775"/>
      <c r="M12" s="775"/>
      <c r="N12" s="775"/>
      <c r="O12" s="120">
        <v>2020</v>
      </c>
      <c r="P12" s="120">
        <v>2021</v>
      </c>
      <c r="Q12" s="120">
        <v>2022</v>
      </c>
      <c r="R12" s="120">
        <v>2023</v>
      </c>
      <c r="S12" s="120">
        <v>2024</v>
      </c>
      <c r="T12" s="775"/>
      <c r="U12" s="775"/>
      <c r="V12" s="229" t="s">
        <v>39</v>
      </c>
      <c r="W12" s="229" t="s">
        <v>40</v>
      </c>
      <c r="X12" s="302" t="s">
        <v>41</v>
      </c>
      <c r="Y12" s="229" t="s">
        <v>42</v>
      </c>
      <c r="Z12" s="229" t="s">
        <v>43</v>
      </c>
      <c r="AA12" s="302" t="s">
        <v>44</v>
      </c>
      <c r="AB12" s="229" t="s">
        <v>45</v>
      </c>
      <c r="AC12" s="229" t="s">
        <v>46</v>
      </c>
      <c r="AD12" s="302" t="s">
        <v>47</v>
      </c>
      <c r="AE12" s="229" t="s">
        <v>48</v>
      </c>
      <c r="AF12" s="229" t="s">
        <v>49</v>
      </c>
      <c r="AG12" s="302" t="s">
        <v>50</v>
      </c>
      <c r="AH12" s="229" t="s">
        <v>39</v>
      </c>
      <c r="AI12" s="229" t="s">
        <v>40</v>
      </c>
      <c r="AJ12" s="229" t="s">
        <v>41</v>
      </c>
      <c r="AK12" s="229" t="s">
        <v>42</v>
      </c>
      <c r="AL12" s="229" t="s">
        <v>43</v>
      </c>
      <c r="AM12" s="475" t="s">
        <v>44</v>
      </c>
      <c r="AN12" s="229" t="s">
        <v>45</v>
      </c>
      <c r="AO12" s="229" t="s">
        <v>46</v>
      </c>
      <c r="AP12" s="229" t="s">
        <v>47</v>
      </c>
      <c r="AQ12" s="229" t="s">
        <v>48</v>
      </c>
      <c r="AR12" s="229" t="s">
        <v>49</v>
      </c>
      <c r="AS12" s="229" t="s">
        <v>50</v>
      </c>
      <c r="AT12" s="120" t="s">
        <v>413</v>
      </c>
      <c r="AU12" s="216" t="s">
        <v>88</v>
      </c>
      <c r="AV12" s="775"/>
      <c r="AW12" s="775"/>
      <c r="AX12" s="775"/>
      <c r="AY12" s="775"/>
    </row>
    <row r="13" spans="1:51" ht="389.25" customHeight="1">
      <c r="A13" s="121"/>
      <c r="B13" s="121"/>
      <c r="C13" s="121"/>
      <c r="D13" s="121"/>
      <c r="E13" s="121" t="s">
        <v>425</v>
      </c>
      <c r="F13" s="121"/>
      <c r="G13" s="122" t="s">
        <v>534</v>
      </c>
      <c r="H13" s="122" t="s">
        <v>843</v>
      </c>
      <c r="I13" s="122" t="s">
        <v>535</v>
      </c>
      <c r="J13" s="122" t="s">
        <v>536</v>
      </c>
      <c r="K13" s="122" t="s">
        <v>522</v>
      </c>
      <c r="L13" s="122" t="s">
        <v>480</v>
      </c>
      <c r="M13" s="122" t="s">
        <v>431</v>
      </c>
      <c r="N13" s="122" t="s">
        <v>537</v>
      </c>
      <c r="O13" s="123"/>
      <c r="P13" s="123"/>
      <c r="Q13" s="123"/>
      <c r="R13" s="293">
        <v>0.9</v>
      </c>
      <c r="S13" s="123"/>
      <c r="T13" s="123" t="s">
        <v>538</v>
      </c>
      <c r="U13" s="303" t="s">
        <v>539</v>
      </c>
      <c r="V13" s="124"/>
      <c r="W13" s="124"/>
      <c r="X13" s="304">
        <v>0.08</v>
      </c>
      <c r="Y13" s="121"/>
      <c r="Z13" s="121"/>
      <c r="AA13" s="304">
        <v>0.25</v>
      </c>
      <c r="AB13" s="121"/>
      <c r="AC13" s="121"/>
      <c r="AD13" s="304">
        <v>0.3</v>
      </c>
      <c r="AE13" s="121"/>
      <c r="AF13" s="121"/>
      <c r="AG13" s="304">
        <v>0.27</v>
      </c>
      <c r="AH13" s="124"/>
      <c r="AI13" s="124"/>
      <c r="AJ13" s="304">
        <v>0.07</v>
      </c>
      <c r="AK13" s="124"/>
      <c r="AL13" s="124"/>
      <c r="AM13" s="483">
        <v>0.26</v>
      </c>
      <c r="AN13" s="124"/>
      <c r="AO13" s="124"/>
      <c r="AP13" s="124"/>
      <c r="AQ13" s="124"/>
      <c r="AR13" s="124"/>
      <c r="AS13" s="124"/>
      <c r="AT13" s="460">
        <f>SUM(AH13:AS13)</f>
        <v>0.33</v>
      </c>
      <c r="AU13" s="304">
        <f>+AT13/R13</f>
        <v>0.3666666666666667</v>
      </c>
      <c r="AV13" s="494" t="s">
        <v>921</v>
      </c>
      <c r="AW13" s="494" t="s">
        <v>922</v>
      </c>
      <c r="AX13" s="417" t="s">
        <v>865</v>
      </c>
      <c r="AY13" s="417" t="s">
        <v>450</v>
      </c>
    </row>
    <row r="14" spans="1:51" ht="277.5" customHeight="1">
      <c r="A14" s="1108"/>
      <c r="B14" s="1108"/>
      <c r="C14" s="1108"/>
      <c r="D14" s="1108"/>
      <c r="E14" s="1108" t="s">
        <v>425</v>
      </c>
      <c r="F14" s="1108"/>
      <c r="G14" s="1108" t="s">
        <v>534</v>
      </c>
      <c r="H14" s="1108" t="s">
        <v>540</v>
      </c>
      <c r="I14" s="1108" t="s">
        <v>541</v>
      </c>
      <c r="J14" s="1108" t="s">
        <v>542</v>
      </c>
      <c r="K14" s="1108" t="s">
        <v>522</v>
      </c>
      <c r="L14" s="1108" t="s">
        <v>480</v>
      </c>
      <c r="M14" s="1108" t="s">
        <v>431</v>
      </c>
      <c r="N14" s="1108" t="s">
        <v>543</v>
      </c>
      <c r="O14" s="1108"/>
      <c r="P14" s="1108"/>
      <c r="Q14" s="1108"/>
      <c r="R14" s="1112">
        <v>0.9</v>
      </c>
      <c r="S14" s="1108"/>
      <c r="T14" s="1108" t="s">
        <v>538</v>
      </c>
      <c r="U14" s="1108" t="s">
        <v>539</v>
      </c>
      <c r="V14" s="1114"/>
      <c r="W14" s="1114"/>
      <c r="X14" s="1114">
        <v>0.2</v>
      </c>
      <c r="Y14" s="1114"/>
      <c r="Z14" s="1114"/>
      <c r="AA14" s="1114">
        <v>0.35</v>
      </c>
      <c r="AB14" s="1114"/>
      <c r="AC14" s="1114"/>
      <c r="AD14" s="1114">
        <v>0.25</v>
      </c>
      <c r="AE14" s="1114"/>
      <c r="AF14" s="1114"/>
      <c r="AG14" s="1114">
        <v>0.1</v>
      </c>
      <c r="AH14" s="1114"/>
      <c r="AI14" s="1114"/>
      <c r="AJ14" s="1114">
        <v>0.2</v>
      </c>
      <c r="AK14" s="1114"/>
      <c r="AL14" s="1114"/>
      <c r="AM14" s="1114">
        <v>0.34</v>
      </c>
      <c r="AN14" s="1114"/>
      <c r="AO14" s="1114"/>
      <c r="AP14" s="1114"/>
      <c r="AQ14" s="1114"/>
      <c r="AR14" s="1114"/>
      <c r="AS14" s="1114"/>
      <c r="AT14" s="1114">
        <f>SUM(AH14:AS14)</f>
        <v>0.54</v>
      </c>
      <c r="AU14" s="1114">
        <f>+AT14/R14</f>
        <v>0.6</v>
      </c>
      <c r="AV14" s="1116" t="s">
        <v>923</v>
      </c>
      <c r="AW14" s="1116" t="s">
        <v>930</v>
      </c>
      <c r="AX14" s="1120" t="s">
        <v>924</v>
      </c>
      <c r="AY14" s="1120" t="s">
        <v>925</v>
      </c>
    </row>
    <row r="15" spans="1:51" ht="277.5" customHeight="1">
      <c r="A15" s="1109"/>
      <c r="B15" s="1109"/>
      <c r="C15" s="1109"/>
      <c r="D15" s="1109"/>
      <c r="E15" s="1109"/>
      <c r="F15" s="1109"/>
      <c r="G15" s="1109"/>
      <c r="H15" s="1109"/>
      <c r="I15" s="1109"/>
      <c r="J15" s="1109"/>
      <c r="K15" s="1109"/>
      <c r="L15" s="1109"/>
      <c r="M15" s="1109"/>
      <c r="N15" s="1109"/>
      <c r="O15" s="1109"/>
      <c r="P15" s="1109"/>
      <c r="Q15" s="1109"/>
      <c r="R15" s="1113"/>
      <c r="S15" s="1109"/>
      <c r="T15" s="1109"/>
      <c r="U15" s="1109"/>
      <c r="V15" s="1115"/>
      <c r="W15" s="1115"/>
      <c r="X15" s="1115"/>
      <c r="Y15" s="1115"/>
      <c r="Z15" s="1115"/>
      <c r="AA15" s="1115"/>
      <c r="AB15" s="1115"/>
      <c r="AC15" s="1115"/>
      <c r="AD15" s="1115"/>
      <c r="AE15" s="1115"/>
      <c r="AF15" s="1115"/>
      <c r="AG15" s="1115"/>
      <c r="AH15" s="1115"/>
      <c r="AI15" s="1115"/>
      <c r="AJ15" s="1115"/>
      <c r="AK15" s="1115"/>
      <c r="AL15" s="1115"/>
      <c r="AM15" s="1115"/>
      <c r="AN15" s="1115"/>
      <c r="AO15" s="1115"/>
      <c r="AP15" s="1115"/>
      <c r="AQ15" s="1115"/>
      <c r="AR15" s="1115"/>
      <c r="AS15" s="1115"/>
      <c r="AT15" s="1115"/>
      <c r="AU15" s="1115"/>
      <c r="AV15" s="1117"/>
      <c r="AW15" s="1117"/>
      <c r="AX15" s="1121"/>
      <c r="AY15" s="1121"/>
    </row>
    <row r="16" spans="1:51" ht="264.75" customHeight="1">
      <c r="A16" s="1108"/>
      <c r="B16" s="1108"/>
      <c r="C16" s="1108"/>
      <c r="D16" s="1108"/>
      <c r="E16" s="1108" t="s">
        <v>425</v>
      </c>
      <c r="F16" s="1108"/>
      <c r="G16" s="1108" t="s">
        <v>534</v>
      </c>
      <c r="H16" s="1108" t="s">
        <v>544</v>
      </c>
      <c r="I16" s="1108" t="s">
        <v>545</v>
      </c>
      <c r="J16" s="1108" t="s">
        <v>546</v>
      </c>
      <c r="K16" s="1108" t="s">
        <v>522</v>
      </c>
      <c r="L16" s="1108" t="s">
        <v>480</v>
      </c>
      <c r="M16" s="1108" t="s">
        <v>431</v>
      </c>
      <c r="N16" s="1108" t="s">
        <v>547</v>
      </c>
      <c r="O16" s="1108"/>
      <c r="P16" s="1108"/>
      <c r="Q16" s="1108"/>
      <c r="R16" s="1112">
        <v>0.9</v>
      </c>
      <c r="S16" s="1108"/>
      <c r="T16" s="1110" t="s">
        <v>538</v>
      </c>
      <c r="U16" s="1108" t="s">
        <v>539</v>
      </c>
      <c r="V16" s="1114"/>
      <c r="W16" s="1114"/>
      <c r="X16" s="1114">
        <v>0.17</v>
      </c>
      <c r="Y16" s="1114"/>
      <c r="Z16" s="1114"/>
      <c r="AA16" s="1114">
        <v>0.25</v>
      </c>
      <c r="AB16" s="1114"/>
      <c r="AC16" s="1114"/>
      <c r="AD16" s="1114">
        <v>0.28</v>
      </c>
      <c r="AE16" s="1114"/>
      <c r="AF16" s="1114"/>
      <c r="AG16" s="1114">
        <v>0.2</v>
      </c>
      <c r="AH16" s="1114"/>
      <c r="AI16" s="1114"/>
      <c r="AJ16" s="1114">
        <v>0.16</v>
      </c>
      <c r="AK16" s="1114"/>
      <c r="AL16" s="1114"/>
      <c r="AM16" s="1114">
        <v>0.24</v>
      </c>
      <c r="AN16" s="1114"/>
      <c r="AO16" s="1114"/>
      <c r="AP16" s="1114"/>
      <c r="AQ16" s="1114"/>
      <c r="AR16" s="1114"/>
      <c r="AS16" s="1114"/>
      <c r="AT16" s="1114">
        <f>SUM(AH16:AS16)</f>
        <v>0.4</v>
      </c>
      <c r="AU16" s="1114">
        <f>+AT16/R16</f>
        <v>0.4444444444444445</v>
      </c>
      <c r="AV16" s="1116" t="s">
        <v>926</v>
      </c>
      <c r="AW16" s="1116" t="s">
        <v>927</v>
      </c>
      <c r="AX16" s="1118"/>
      <c r="AY16" s="1118"/>
    </row>
    <row r="17" spans="1:51" ht="264.75" customHeight="1">
      <c r="A17" s="1109"/>
      <c r="B17" s="1109"/>
      <c r="C17" s="1109"/>
      <c r="D17" s="1109"/>
      <c r="E17" s="1109"/>
      <c r="F17" s="1109"/>
      <c r="G17" s="1109"/>
      <c r="H17" s="1109"/>
      <c r="I17" s="1109"/>
      <c r="J17" s="1109"/>
      <c r="K17" s="1109"/>
      <c r="L17" s="1109"/>
      <c r="M17" s="1109"/>
      <c r="N17" s="1109"/>
      <c r="O17" s="1109"/>
      <c r="P17" s="1109"/>
      <c r="Q17" s="1109"/>
      <c r="R17" s="1113"/>
      <c r="S17" s="1109"/>
      <c r="T17" s="1111"/>
      <c r="U17" s="1109"/>
      <c r="V17" s="1115"/>
      <c r="W17" s="1115"/>
      <c r="X17" s="1115"/>
      <c r="Y17" s="1115"/>
      <c r="Z17" s="1115"/>
      <c r="AA17" s="1115"/>
      <c r="AB17" s="1115"/>
      <c r="AC17" s="1115"/>
      <c r="AD17" s="1115"/>
      <c r="AE17" s="1115"/>
      <c r="AF17" s="1115"/>
      <c r="AG17" s="1115"/>
      <c r="AH17" s="1115"/>
      <c r="AI17" s="1115"/>
      <c r="AJ17" s="1115"/>
      <c r="AK17" s="1115"/>
      <c r="AL17" s="1115"/>
      <c r="AM17" s="1115"/>
      <c r="AN17" s="1115"/>
      <c r="AO17" s="1115"/>
      <c r="AP17" s="1115"/>
      <c r="AQ17" s="1115"/>
      <c r="AR17" s="1115"/>
      <c r="AS17" s="1115"/>
      <c r="AT17" s="1115"/>
      <c r="AU17" s="1115"/>
      <c r="AV17" s="1117"/>
      <c r="AW17" s="1117"/>
      <c r="AX17" s="1119"/>
      <c r="AY17" s="1119"/>
    </row>
    <row r="18" spans="1:51" ht="401.25" customHeight="1">
      <c r="A18" s="121"/>
      <c r="B18" s="121"/>
      <c r="C18" s="121"/>
      <c r="D18" s="121"/>
      <c r="E18" s="459" t="s">
        <v>425</v>
      </c>
      <c r="F18" s="121"/>
      <c r="G18" s="122" t="s">
        <v>534</v>
      </c>
      <c r="H18" s="122" t="s">
        <v>844</v>
      </c>
      <c r="I18" s="122" t="s">
        <v>548</v>
      </c>
      <c r="J18" s="122" t="s">
        <v>549</v>
      </c>
      <c r="K18" s="121" t="s">
        <v>522</v>
      </c>
      <c r="L18" s="121" t="s">
        <v>480</v>
      </c>
      <c r="M18" s="121" t="s">
        <v>431</v>
      </c>
      <c r="N18" s="122" t="s">
        <v>550</v>
      </c>
      <c r="O18" s="124"/>
      <c r="P18" s="124"/>
      <c r="Q18" s="124"/>
      <c r="R18" s="293">
        <v>1</v>
      </c>
      <c r="S18" s="124"/>
      <c r="T18" s="121" t="s">
        <v>551</v>
      </c>
      <c r="U18" s="303" t="s">
        <v>552</v>
      </c>
      <c r="V18" s="304"/>
      <c r="W18" s="304"/>
      <c r="X18" s="304"/>
      <c r="Y18" s="304">
        <v>0.3</v>
      </c>
      <c r="Z18" s="304"/>
      <c r="AA18" s="304"/>
      <c r="AB18" s="304"/>
      <c r="AC18" s="304">
        <v>0.2</v>
      </c>
      <c r="AD18" s="304"/>
      <c r="AE18" s="304"/>
      <c r="AF18" s="304"/>
      <c r="AG18" s="304">
        <v>0.5</v>
      </c>
      <c r="AH18" s="304"/>
      <c r="AI18" s="304"/>
      <c r="AJ18" s="304"/>
      <c r="AK18" s="304">
        <v>0.3</v>
      </c>
      <c r="AL18" s="304"/>
      <c r="AM18" s="483"/>
      <c r="AN18" s="304"/>
      <c r="AO18" s="304"/>
      <c r="AP18" s="304"/>
      <c r="AQ18" s="304"/>
      <c r="AR18" s="304"/>
      <c r="AS18" s="124"/>
      <c r="AT18" s="460">
        <f>SUM(AH18:AS18)</f>
        <v>0.3</v>
      </c>
      <c r="AU18" s="304">
        <f>+AT18/R18</f>
        <v>0.3</v>
      </c>
      <c r="AV18" s="494" t="s">
        <v>928</v>
      </c>
      <c r="AW18" s="494" t="s">
        <v>929</v>
      </c>
      <c r="AX18" s="417" t="s">
        <v>865</v>
      </c>
      <c r="AY18" s="417" t="s">
        <v>450</v>
      </c>
    </row>
    <row r="19" spans="1:51" ht="54" customHeight="1">
      <c r="A19" s="777" t="s">
        <v>64</v>
      </c>
      <c r="B19" s="777"/>
      <c r="C19" s="777"/>
      <c r="D19" s="773" t="s">
        <v>66</v>
      </c>
      <c r="E19" s="773"/>
      <c r="F19" s="773"/>
      <c r="G19" s="773"/>
      <c r="H19" s="773"/>
      <c r="I19" s="773"/>
      <c r="J19" s="778" t="s">
        <v>300</v>
      </c>
      <c r="K19" s="778"/>
      <c r="L19" s="778"/>
      <c r="M19" s="778"/>
      <c r="N19" s="778"/>
      <c r="O19" s="778"/>
      <c r="P19" s="773" t="s">
        <v>66</v>
      </c>
      <c r="Q19" s="773"/>
      <c r="R19" s="773"/>
      <c r="S19" s="773"/>
      <c r="T19" s="773"/>
      <c r="U19" s="773"/>
      <c r="V19" s="773" t="s">
        <v>66</v>
      </c>
      <c r="W19" s="773"/>
      <c r="X19" s="773"/>
      <c r="Y19" s="773"/>
      <c r="Z19" s="773"/>
      <c r="AA19" s="773"/>
      <c r="AB19" s="773"/>
      <c r="AC19" s="773"/>
      <c r="AD19" s="773" t="s">
        <v>66</v>
      </c>
      <c r="AE19" s="773"/>
      <c r="AF19" s="773"/>
      <c r="AG19" s="773"/>
      <c r="AH19" s="773"/>
      <c r="AI19" s="773"/>
      <c r="AJ19" s="773"/>
      <c r="AK19" s="773"/>
      <c r="AL19" s="773"/>
      <c r="AM19" s="773"/>
      <c r="AN19" s="773"/>
      <c r="AO19" s="773"/>
      <c r="AP19" s="778" t="s">
        <v>318</v>
      </c>
      <c r="AQ19" s="778"/>
      <c r="AR19" s="778"/>
      <c r="AS19" s="778"/>
      <c r="AT19" s="773" t="s">
        <v>13</v>
      </c>
      <c r="AU19" s="773"/>
      <c r="AV19" s="773"/>
      <c r="AW19" s="773"/>
      <c r="AX19" s="773"/>
      <c r="AY19" s="773"/>
    </row>
    <row r="20" spans="1:51" ht="30" customHeight="1">
      <c r="A20" s="777"/>
      <c r="B20" s="777"/>
      <c r="C20" s="777"/>
      <c r="D20" s="773" t="s">
        <v>848</v>
      </c>
      <c r="E20" s="773"/>
      <c r="F20" s="773"/>
      <c r="G20" s="773"/>
      <c r="H20" s="773"/>
      <c r="I20" s="773"/>
      <c r="J20" s="778"/>
      <c r="K20" s="778"/>
      <c r="L20" s="778"/>
      <c r="M20" s="778"/>
      <c r="N20" s="778"/>
      <c r="O20" s="778"/>
      <c r="P20" s="773" t="s">
        <v>814</v>
      </c>
      <c r="Q20" s="773"/>
      <c r="R20" s="773"/>
      <c r="S20" s="773"/>
      <c r="T20" s="773"/>
      <c r="U20" s="773"/>
      <c r="V20" s="773" t="s">
        <v>65</v>
      </c>
      <c r="W20" s="773"/>
      <c r="X20" s="773"/>
      <c r="Y20" s="773"/>
      <c r="Z20" s="773"/>
      <c r="AA20" s="773"/>
      <c r="AB20" s="773"/>
      <c r="AC20" s="773"/>
      <c r="AD20" s="773" t="s">
        <v>65</v>
      </c>
      <c r="AE20" s="773"/>
      <c r="AF20" s="773"/>
      <c r="AG20" s="773"/>
      <c r="AH20" s="773"/>
      <c r="AI20" s="773"/>
      <c r="AJ20" s="773"/>
      <c r="AK20" s="773"/>
      <c r="AL20" s="773"/>
      <c r="AM20" s="773"/>
      <c r="AN20" s="773"/>
      <c r="AO20" s="773"/>
      <c r="AP20" s="778"/>
      <c r="AQ20" s="778"/>
      <c r="AR20" s="778"/>
      <c r="AS20" s="778"/>
      <c r="AT20" s="773" t="s">
        <v>771</v>
      </c>
      <c r="AU20" s="773"/>
      <c r="AV20" s="773"/>
      <c r="AW20" s="773"/>
      <c r="AX20" s="773"/>
      <c r="AY20" s="773"/>
    </row>
    <row r="21" spans="1:51" ht="30" customHeight="1">
      <c r="A21" s="777"/>
      <c r="B21" s="777"/>
      <c r="C21" s="777"/>
      <c r="D21" s="773" t="s">
        <v>849</v>
      </c>
      <c r="E21" s="773"/>
      <c r="F21" s="773"/>
      <c r="G21" s="773"/>
      <c r="H21" s="773"/>
      <c r="I21" s="773"/>
      <c r="J21" s="778"/>
      <c r="K21" s="778"/>
      <c r="L21" s="778"/>
      <c r="M21" s="778"/>
      <c r="N21" s="778"/>
      <c r="O21" s="778"/>
      <c r="P21" s="773" t="s">
        <v>815</v>
      </c>
      <c r="Q21" s="773"/>
      <c r="R21" s="773"/>
      <c r="S21" s="773"/>
      <c r="T21" s="773"/>
      <c r="U21" s="773"/>
      <c r="V21" s="773" t="s">
        <v>297</v>
      </c>
      <c r="W21" s="773"/>
      <c r="X21" s="773"/>
      <c r="Y21" s="773"/>
      <c r="Z21" s="773"/>
      <c r="AA21" s="773"/>
      <c r="AB21" s="773"/>
      <c r="AC21" s="773"/>
      <c r="AD21" s="773" t="s">
        <v>297</v>
      </c>
      <c r="AE21" s="773"/>
      <c r="AF21" s="773"/>
      <c r="AG21" s="773"/>
      <c r="AH21" s="773"/>
      <c r="AI21" s="773"/>
      <c r="AJ21" s="773"/>
      <c r="AK21" s="773"/>
      <c r="AL21" s="773"/>
      <c r="AM21" s="773"/>
      <c r="AN21" s="773"/>
      <c r="AO21" s="773"/>
      <c r="AP21" s="778"/>
      <c r="AQ21" s="778"/>
      <c r="AR21" s="778"/>
      <c r="AS21" s="778"/>
      <c r="AT21" s="773" t="s">
        <v>75</v>
      </c>
      <c r="AU21" s="773"/>
      <c r="AV21" s="773"/>
      <c r="AW21" s="773"/>
      <c r="AX21" s="773"/>
      <c r="AY21" s="773"/>
    </row>
  </sheetData>
  <sheetProtection/>
  <mergeCells count="158">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20:AY20"/>
    <mergeCell ref="AH11:AS11"/>
    <mergeCell ref="AT11:AU11"/>
    <mergeCell ref="A19:C21"/>
    <mergeCell ref="D19:I19"/>
    <mergeCell ref="J19:O21"/>
    <mergeCell ref="P19:U19"/>
    <mergeCell ref="V19:AC19"/>
    <mergeCell ref="AD19:AO19"/>
    <mergeCell ref="AP19:AS21"/>
    <mergeCell ref="D21:I21"/>
    <mergeCell ref="P21:U21"/>
    <mergeCell ref="V21:AC21"/>
    <mergeCell ref="AD21:AO21"/>
    <mergeCell ref="AT21:AY21"/>
    <mergeCell ref="AT19:AY19"/>
    <mergeCell ref="D20:I20"/>
    <mergeCell ref="P20:U20"/>
    <mergeCell ref="V20:AC20"/>
    <mergeCell ref="AD20:AO20"/>
    <mergeCell ref="AW14:AW15"/>
    <mergeCell ref="AV14:AV15"/>
    <mergeCell ref="AX14:AX15"/>
    <mergeCell ref="AY14:AY15"/>
    <mergeCell ref="AU14:A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T14:AT15"/>
    <mergeCell ref="U14:U1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AW16:AW17"/>
    <mergeCell ref="AV16:AV17"/>
    <mergeCell ref="AX16:AX17"/>
    <mergeCell ref="AY16:AY17"/>
    <mergeCell ref="AU16:A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U16:U17"/>
    <mergeCell ref="A16:A17"/>
    <mergeCell ref="B16:B17"/>
    <mergeCell ref="C16:C17"/>
    <mergeCell ref="D16:D17"/>
    <mergeCell ref="E16:E17"/>
    <mergeCell ref="F16:F17"/>
    <mergeCell ref="G16:G17"/>
    <mergeCell ref="H16:H17"/>
    <mergeCell ref="I16:I17"/>
    <mergeCell ref="J16:J17"/>
    <mergeCell ref="K16:K17"/>
    <mergeCell ref="L16:L17"/>
    <mergeCell ref="S16:S17"/>
    <mergeCell ref="T16:T17"/>
    <mergeCell ref="M16:M17"/>
    <mergeCell ref="N16:N17"/>
    <mergeCell ref="O16:O17"/>
    <mergeCell ref="P16:P17"/>
    <mergeCell ref="Q16:Q17"/>
    <mergeCell ref="R16:R17"/>
  </mergeCells>
  <printOptions/>
  <pageMargins left="0.7" right="0.7" top="0.75" bottom="0.75" header="0.3" footer="0.3"/>
  <pageSetup fitToHeight="0" fitToWidth="1" horizontalDpi="600" verticalDpi="600" orientation="landscape" scale="16"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Y22"/>
  <sheetViews>
    <sheetView zoomScale="48" zoomScaleNormal="48" zoomScalePageLayoutView="0" workbookViewId="0" topLeftCell="A1">
      <selection activeCell="K15" sqref="K15"/>
    </sheetView>
  </sheetViews>
  <sheetFormatPr defaultColWidth="10.8515625" defaultRowHeight="15"/>
  <cols>
    <col min="1" max="1" width="16.28125" style="113" customWidth="1"/>
    <col min="2" max="2" width="15.28125" style="113" customWidth="1"/>
    <col min="3" max="3" width="17.28125" style="113" customWidth="1"/>
    <col min="4" max="4" width="8.28125" style="113" customWidth="1"/>
    <col min="5" max="5" width="12.8515625" style="113" customWidth="1"/>
    <col min="6" max="6" width="8.28125" style="113" customWidth="1"/>
    <col min="7" max="8" width="14.7109375" style="113" customWidth="1"/>
    <col min="9" max="10" width="29.28125" style="113" customWidth="1"/>
    <col min="11" max="11" width="16.8515625" style="113" customWidth="1"/>
    <col min="12" max="13" width="15.28125" style="113" customWidth="1"/>
    <col min="14" max="14" width="28.7109375" style="113" customWidth="1"/>
    <col min="15" max="19" width="8.7109375" style="113" customWidth="1"/>
    <col min="20" max="20" width="22.28125" style="113" customWidth="1"/>
    <col min="21" max="21" width="27.28125" style="113" customWidth="1"/>
    <col min="22" max="45" width="7.421875" style="113" customWidth="1"/>
    <col min="46" max="46" width="17.140625" style="113" customWidth="1"/>
    <col min="47" max="47" width="15.8515625" style="217" customWidth="1"/>
    <col min="48" max="49" width="93.57421875" style="113" customWidth="1"/>
    <col min="50" max="51" width="33.5742187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1048" t="s">
        <v>18</v>
      </c>
      <c r="AY1" s="1049"/>
    </row>
    <row r="2" spans="1:51" ht="15.75" customHeight="1">
      <c r="A2" s="1105" t="s">
        <v>17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7"/>
      <c r="AX2" s="1051" t="s">
        <v>418</v>
      </c>
      <c r="AY2" s="1052"/>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1051" t="s">
        <v>478</v>
      </c>
      <c r="AY3" s="1052"/>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784</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1081">
        <v>45117</v>
      </c>
      <c r="E6" s="794"/>
      <c r="F6" s="784" t="s">
        <v>67</v>
      </c>
      <c r="G6" s="786"/>
      <c r="H6" s="1123" t="s">
        <v>70</v>
      </c>
      <c r="I6" s="1123"/>
      <c r="J6" s="228"/>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1122"/>
      <c r="AJ6" s="1122"/>
      <c r="AK6" s="1122"/>
      <c r="AL6" s="1122"/>
      <c r="AM6" s="1122"/>
      <c r="AN6" s="1122"/>
      <c r="AO6" s="1122"/>
      <c r="AP6" s="1122"/>
      <c r="AQ6" s="1122"/>
      <c r="AR6" s="1122"/>
      <c r="AS6" s="1122"/>
      <c r="AT6" s="1122"/>
      <c r="AU6" s="789"/>
      <c r="AV6" s="782"/>
      <c r="AW6" s="782"/>
      <c r="AX6" s="782"/>
      <c r="AY6" s="782"/>
    </row>
    <row r="7" spans="1:51" ht="15" customHeight="1">
      <c r="A7" s="793"/>
      <c r="B7" s="793"/>
      <c r="C7" s="793"/>
      <c r="D7" s="794"/>
      <c r="E7" s="794"/>
      <c r="F7" s="787"/>
      <c r="G7" s="789"/>
      <c r="H7" s="1123" t="s">
        <v>68</v>
      </c>
      <c r="I7" s="1123"/>
      <c r="J7" s="121"/>
      <c r="K7" s="787"/>
      <c r="L7" s="1122"/>
      <c r="M7" s="1122"/>
      <c r="N7" s="1122"/>
      <c r="O7" s="1122"/>
      <c r="P7" s="1122"/>
      <c r="Q7" s="1122"/>
      <c r="R7" s="1122"/>
      <c r="S7" s="1122"/>
      <c r="T7" s="1122"/>
      <c r="U7" s="1122"/>
      <c r="V7" s="231"/>
      <c r="W7" s="231"/>
      <c r="X7" s="231"/>
      <c r="Y7" s="231"/>
      <c r="Z7" s="231"/>
      <c r="AA7" s="231"/>
      <c r="AB7" s="231"/>
      <c r="AC7" s="231"/>
      <c r="AD7" s="231"/>
      <c r="AE7" s="231"/>
      <c r="AF7" s="231"/>
      <c r="AG7" s="117"/>
      <c r="AH7" s="787"/>
      <c r="AI7" s="1122"/>
      <c r="AJ7" s="1122"/>
      <c r="AK7" s="1122"/>
      <c r="AL7" s="1122"/>
      <c r="AM7" s="1122"/>
      <c r="AN7" s="1122"/>
      <c r="AO7" s="1122"/>
      <c r="AP7" s="1122"/>
      <c r="AQ7" s="1122"/>
      <c r="AR7" s="1122"/>
      <c r="AS7" s="1122"/>
      <c r="AT7" s="1122"/>
      <c r="AU7" s="789"/>
      <c r="AV7" s="782"/>
      <c r="AW7" s="782"/>
      <c r="AX7" s="782"/>
      <c r="AY7" s="782"/>
    </row>
    <row r="8" spans="1:51" ht="15" customHeight="1">
      <c r="A8" s="793"/>
      <c r="B8" s="793"/>
      <c r="C8" s="793"/>
      <c r="D8" s="794"/>
      <c r="E8" s="794"/>
      <c r="F8" s="790"/>
      <c r="G8" s="792"/>
      <c r="H8" s="1123" t="s">
        <v>69</v>
      </c>
      <c r="I8" s="1123"/>
      <c r="J8" s="121"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1122"/>
      <c r="AJ8" s="1122"/>
      <c r="AK8" s="1122"/>
      <c r="AL8" s="1122"/>
      <c r="AM8" s="1122"/>
      <c r="AN8" s="1122"/>
      <c r="AO8" s="1122"/>
      <c r="AP8" s="1122"/>
      <c r="AQ8" s="1122"/>
      <c r="AR8" s="1122"/>
      <c r="AS8" s="1122"/>
      <c r="AT8" s="1122"/>
      <c r="AU8" s="789"/>
      <c r="AV8" s="782"/>
      <c r="AW8" s="782"/>
      <c r="AX8" s="782"/>
      <c r="AY8" s="782"/>
    </row>
    <row r="9" spans="1:51" ht="15" customHeight="1">
      <c r="A9" s="762" t="s">
        <v>399</v>
      </c>
      <c r="B9" s="763"/>
      <c r="C9" s="764"/>
      <c r="D9" s="756"/>
      <c r="E9" s="757"/>
      <c r="F9" s="757"/>
      <c r="G9" s="757"/>
      <c r="H9" s="757"/>
      <c r="I9" s="757"/>
      <c r="J9" s="757"/>
      <c r="K9" s="1106"/>
      <c r="L9" s="1106"/>
      <c r="M9" s="1106"/>
      <c r="N9" s="1106"/>
      <c r="O9" s="1106"/>
      <c r="P9" s="1106"/>
      <c r="Q9" s="1106"/>
      <c r="R9" s="1106"/>
      <c r="S9" s="1106"/>
      <c r="T9" s="1106"/>
      <c r="U9" s="1106"/>
      <c r="V9" s="1106"/>
      <c r="W9" s="1106"/>
      <c r="X9" s="1106"/>
      <c r="Y9" s="1106"/>
      <c r="Z9" s="1106"/>
      <c r="AA9" s="1106"/>
      <c r="AB9" s="1106"/>
      <c r="AC9" s="1106"/>
      <c r="AD9" s="1106"/>
      <c r="AE9" s="1106"/>
      <c r="AF9" s="1106"/>
      <c r="AG9" s="1107"/>
      <c r="AH9" s="787"/>
      <c r="AI9" s="1122"/>
      <c r="AJ9" s="1122"/>
      <c r="AK9" s="1122"/>
      <c r="AL9" s="1122"/>
      <c r="AM9" s="1122"/>
      <c r="AN9" s="1122"/>
      <c r="AO9" s="1122"/>
      <c r="AP9" s="1122"/>
      <c r="AQ9" s="1122"/>
      <c r="AR9" s="1122"/>
      <c r="AS9" s="1122"/>
      <c r="AT9" s="1122"/>
      <c r="AU9" s="789"/>
      <c r="AV9" s="782"/>
      <c r="AW9" s="782"/>
      <c r="AX9" s="782"/>
      <c r="AY9" s="782"/>
    </row>
    <row r="10" spans="1:51" ht="15" customHeight="1">
      <c r="A10" s="795" t="s">
        <v>287</v>
      </c>
      <c r="B10" s="796"/>
      <c r="C10" s="797"/>
      <c r="D10" s="1105" t="s">
        <v>500</v>
      </c>
      <c r="E10" s="1106"/>
      <c r="F10" s="1106"/>
      <c r="G10" s="1106"/>
      <c r="H10" s="1106"/>
      <c r="I10" s="1106"/>
      <c r="J10" s="1106"/>
      <c r="K10" s="1106"/>
      <c r="L10" s="1106"/>
      <c r="M10" s="1106"/>
      <c r="N10" s="1106"/>
      <c r="O10" s="1106"/>
      <c r="P10" s="1106"/>
      <c r="Q10" s="1106"/>
      <c r="R10" s="1106"/>
      <c r="S10" s="1106"/>
      <c r="T10" s="1106"/>
      <c r="U10" s="1106"/>
      <c r="V10" s="1106"/>
      <c r="W10" s="1106"/>
      <c r="X10" s="1106"/>
      <c r="Y10" s="1106"/>
      <c r="Z10" s="1106"/>
      <c r="AA10" s="1106"/>
      <c r="AB10" s="1106"/>
      <c r="AC10" s="1106"/>
      <c r="AD10" s="1106"/>
      <c r="AE10" s="1106"/>
      <c r="AF10" s="1106"/>
      <c r="AG10" s="1107"/>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120" t="s">
        <v>169</v>
      </c>
      <c r="B12" s="120" t="s">
        <v>170</v>
      </c>
      <c r="C12" s="120" t="s">
        <v>171</v>
      </c>
      <c r="D12" s="120" t="s">
        <v>178</v>
      </c>
      <c r="E12" s="120" t="s">
        <v>185</v>
      </c>
      <c r="F12" s="120" t="s">
        <v>186</v>
      </c>
      <c r="G12" s="120" t="s">
        <v>277</v>
      </c>
      <c r="H12" s="120" t="s">
        <v>184</v>
      </c>
      <c r="I12" s="775"/>
      <c r="J12" s="775"/>
      <c r="K12" s="775"/>
      <c r="L12" s="775"/>
      <c r="M12" s="775"/>
      <c r="N12" s="775"/>
      <c r="O12" s="120">
        <v>2020</v>
      </c>
      <c r="P12" s="120">
        <v>2021</v>
      </c>
      <c r="Q12" s="120">
        <v>2022</v>
      </c>
      <c r="R12" s="120">
        <v>2023</v>
      </c>
      <c r="S12" s="120">
        <v>2024</v>
      </c>
      <c r="T12" s="775"/>
      <c r="U12" s="775"/>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5"/>
      <c r="AW12" s="775"/>
      <c r="AX12" s="775"/>
      <c r="AY12" s="775"/>
    </row>
    <row r="13" spans="1:51" ht="136.5" customHeight="1">
      <c r="A13" s="128"/>
      <c r="B13" s="121"/>
      <c r="C13" s="121"/>
      <c r="D13" s="121"/>
      <c r="E13" s="121" t="s">
        <v>425</v>
      </c>
      <c r="F13" s="121"/>
      <c r="G13" s="242" t="s">
        <v>479</v>
      </c>
      <c r="H13" s="121" t="s">
        <v>480</v>
      </c>
      <c r="I13" s="122" t="s">
        <v>481</v>
      </c>
      <c r="J13" s="122" t="s">
        <v>760</v>
      </c>
      <c r="K13" s="122" t="s">
        <v>430</v>
      </c>
      <c r="L13" s="121"/>
      <c r="M13" s="243" t="s">
        <v>431</v>
      </c>
      <c r="N13" s="122" t="s">
        <v>482</v>
      </c>
      <c r="O13" s="123"/>
      <c r="P13" s="123"/>
      <c r="Q13" s="123"/>
      <c r="R13" s="244">
        <v>1</v>
      </c>
      <c r="S13" s="244"/>
      <c r="T13" s="235" t="s">
        <v>433</v>
      </c>
      <c r="U13" s="235" t="s">
        <v>483</v>
      </c>
      <c r="V13" s="124"/>
      <c r="W13" s="124"/>
      <c r="X13" s="366">
        <v>0.21</v>
      </c>
      <c r="Y13" s="366"/>
      <c r="Z13" s="366"/>
      <c r="AA13" s="366">
        <v>0.26</v>
      </c>
      <c r="AB13" s="366"/>
      <c r="AC13" s="366"/>
      <c r="AD13" s="366">
        <v>0.28</v>
      </c>
      <c r="AE13" s="366"/>
      <c r="AF13" s="366"/>
      <c r="AG13" s="366">
        <v>0.25</v>
      </c>
      <c r="AH13" s="124"/>
      <c r="AI13" s="124"/>
      <c r="AJ13" s="307">
        <v>0.21</v>
      </c>
      <c r="AK13" s="124"/>
      <c r="AL13" s="124"/>
      <c r="AM13" s="489">
        <v>0.24</v>
      </c>
      <c r="AN13" s="124"/>
      <c r="AO13" s="124"/>
      <c r="AP13" s="124"/>
      <c r="AQ13" s="124"/>
      <c r="AR13" s="124"/>
      <c r="AS13" s="124"/>
      <c r="AT13" s="127">
        <f>SUM(AH13:AS13)</f>
        <v>0.44999999999999996</v>
      </c>
      <c r="AU13" s="127">
        <f aca="true" t="shared" si="0" ref="AU13:AU18">+AT13/R13</f>
        <v>0.44999999999999996</v>
      </c>
      <c r="AV13" s="1174" t="s">
        <v>970</v>
      </c>
      <c r="AW13" s="1174" t="s">
        <v>971</v>
      </c>
      <c r="AX13" s="421" t="s">
        <v>972</v>
      </c>
      <c r="AY13" s="1175" t="s">
        <v>973</v>
      </c>
    </row>
    <row r="14" spans="1:51" ht="76.5" customHeight="1">
      <c r="A14" s="128"/>
      <c r="B14" s="121"/>
      <c r="C14" s="121"/>
      <c r="D14" s="121"/>
      <c r="E14" s="458" t="s">
        <v>425</v>
      </c>
      <c r="F14" s="121"/>
      <c r="G14" s="242" t="s">
        <v>479</v>
      </c>
      <c r="H14" s="121" t="s">
        <v>480</v>
      </c>
      <c r="I14" s="122" t="s">
        <v>484</v>
      </c>
      <c r="J14" s="122" t="s">
        <v>761</v>
      </c>
      <c r="K14" s="121" t="s">
        <v>453</v>
      </c>
      <c r="L14" s="121"/>
      <c r="M14" s="243" t="s">
        <v>431</v>
      </c>
      <c r="N14" s="122" t="s">
        <v>485</v>
      </c>
      <c r="O14" s="124"/>
      <c r="P14" s="124"/>
      <c r="Q14" s="124"/>
      <c r="R14" s="244">
        <v>1</v>
      </c>
      <c r="S14" s="244"/>
      <c r="T14" s="121" t="s">
        <v>460</v>
      </c>
      <c r="U14" s="122" t="s">
        <v>699</v>
      </c>
      <c r="V14" s="366">
        <v>1</v>
      </c>
      <c r="W14" s="366">
        <v>1</v>
      </c>
      <c r="X14" s="366">
        <v>1</v>
      </c>
      <c r="Y14" s="366">
        <v>1</v>
      </c>
      <c r="Z14" s="366">
        <v>1</v>
      </c>
      <c r="AA14" s="366">
        <v>1</v>
      </c>
      <c r="AB14" s="366">
        <v>1</v>
      </c>
      <c r="AC14" s="366">
        <v>1</v>
      </c>
      <c r="AD14" s="366">
        <v>1</v>
      </c>
      <c r="AE14" s="366">
        <v>1</v>
      </c>
      <c r="AF14" s="366">
        <v>1</v>
      </c>
      <c r="AG14" s="366">
        <v>1</v>
      </c>
      <c r="AH14" s="307">
        <v>1</v>
      </c>
      <c r="AI14" s="307">
        <v>1</v>
      </c>
      <c r="AJ14" s="307">
        <v>1</v>
      </c>
      <c r="AK14" s="307">
        <v>1</v>
      </c>
      <c r="AL14" s="307">
        <v>1</v>
      </c>
      <c r="AM14" s="489">
        <v>1</v>
      </c>
      <c r="AN14" s="124"/>
      <c r="AO14" s="124"/>
      <c r="AP14" s="124"/>
      <c r="AQ14" s="124"/>
      <c r="AR14" s="124"/>
      <c r="AS14" s="124"/>
      <c r="AT14" s="307">
        <f>AVERAGE(AH14:AS14)</f>
        <v>1</v>
      </c>
      <c r="AU14" s="127">
        <f t="shared" si="0"/>
        <v>1</v>
      </c>
      <c r="AV14" s="1176" t="s">
        <v>974</v>
      </c>
      <c r="AW14" s="1176" t="s">
        <v>975</v>
      </c>
      <c r="AX14" s="453" t="s">
        <v>865</v>
      </c>
      <c r="AY14" s="453" t="s">
        <v>450</v>
      </c>
    </row>
    <row r="15" spans="1:51" ht="117" customHeight="1">
      <c r="A15" s="121"/>
      <c r="B15" s="121"/>
      <c r="C15" s="121"/>
      <c r="D15" s="121"/>
      <c r="E15" s="458" t="s">
        <v>425</v>
      </c>
      <c r="F15" s="121"/>
      <c r="G15" s="242" t="s">
        <v>479</v>
      </c>
      <c r="H15" s="121" t="s">
        <v>480</v>
      </c>
      <c r="I15" s="122" t="s">
        <v>486</v>
      </c>
      <c r="J15" s="122" t="s">
        <v>762</v>
      </c>
      <c r="K15" s="121" t="s">
        <v>453</v>
      </c>
      <c r="L15" s="121"/>
      <c r="M15" s="243" t="s">
        <v>431</v>
      </c>
      <c r="N15" s="122" t="s">
        <v>487</v>
      </c>
      <c r="O15" s="124"/>
      <c r="P15" s="124"/>
      <c r="Q15" s="124"/>
      <c r="R15" s="244">
        <v>1</v>
      </c>
      <c r="S15" s="244"/>
      <c r="T15" s="121" t="s">
        <v>460</v>
      </c>
      <c r="U15" s="122" t="s">
        <v>699</v>
      </c>
      <c r="V15" s="366">
        <v>1</v>
      </c>
      <c r="W15" s="366">
        <v>1</v>
      </c>
      <c r="X15" s="366">
        <v>1</v>
      </c>
      <c r="Y15" s="366">
        <v>1</v>
      </c>
      <c r="Z15" s="366">
        <v>1</v>
      </c>
      <c r="AA15" s="366">
        <v>1</v>
      </c>
      <c r="AB15" s="366">
        <v>1</v>
      </c>
      <c r="AC15" s="366">
        <v>1</v>
      </c>
      <c r="AD15" s="366">
        <v>1</v>
      </c>
      <c r="AE15" s="366">
        <v>1</v>
      </c>
      <c r="AF15" s="366">
        <v>1</v>
      </c>
      <c r="AG15" s="366">
        <v>1</v>
      </c>
      <c r="AH15" s="307">
        <v>1</v>
      </c>
      <c r="AI15" s="307">
        <v>1</v>
      </c>
      <c r="AJ15" s="307">
        <v>1</v>
      </c>
      <c r="AK15" s="307">
        <v>1</v>
      </c>
      <c r="AL15" s="307">
        <v>1</v>
      </c>
      <c r="AM15" s="489">
        <v>1</v>
      </c>
      <c r="AN15" s="124"/>
      <c r="AO15" s="124"/>
      <c r="AP15" s="124"/>
      <c r="AQ15" s="124"/>
      <c r="AR15" s="124"/>
      <c r="AS15" s="124"/>
      <c r="AT15" s="307">
        <f>AVERAGE(AH15:AS15)</f>
        <v>1</v>
      </c>
      <c r="AU15" s="127">
        <f t="shared" si="0"/>
        <v>1</v>
      </c>
      <c r="AV15" s="1176" t="s">
        <v>976</v>
      </c>
      <c r="AW15" s="1176" t="s">
        <v>977</v>
      </c>
      <c r="AX15" s="453" t="s">
        <v>865</v>
      </c>
      <c r="AY15" s="453" t="s">
        <v>450</v>
      </c>
    </row>
    <row r="16" spans="1:51" ht="273.75" customHeight="1">
      <c r="A16" s="121"/>
      <c r="B16" s="121"/>
      <c r="C16" s="121"/>
      <c r="D16" s="121"/>
      <c r="E16" s="458" t="s">
        <v>425</v>
      </c>
      <c r="F16" s="121"/>
      <c r="G16" s="242" t="s">
        <v>479</v>
      </c>
      <c r="H16" s="121" t="s">
        <v>480</v>
      </c>
      <c r="I16" s="122" t="s">
        <v>488</v>
      </c>
      <c r="J16" s="122" t="s">
        <v>763</v>
      </c>
      <c r="K16" s="121" t="s">
        <v>430</v>
      </c>
      <c r="L16" s="124"/>
      <c r="M16" s="243" t="s">
        <v>431</v>
      </c>
      <c r="N16" s="122" t="s">
        <v>489</v>
      </c>
      <c r="O16" s="124"/>
      <c r="P16" s="124"/>
      <c r="Q16" s="124"/>
      <c r="R16" s="244">
        <v>1</v>
      </c>
      <c r="S16" s="244"/>
      <c r="T16" s="121" t="s">
        <v>460</v>
      </c>
      <c r="U16" s="122" t="s">
        <v>490</v>
      </c>
      <c r="V16" s="366">
        <v>1</v>
      </c>
      <c r="W16" s="366">
        <v>1</v>
      </c>
      <c r="X16" s="366">
        <v>1</v>
      </c>
      <c r="Y16" s="366">
        <v>1</v>
      </c>
      <c r="Z16" s="366">
        <v>1</v>
      </c>
      <c r="AA16" s="366">
        <v>1</v>
      </c>
      <c r="AB16" s="366">
        <v>1</v>
      </c>
      <c r="AC16" s="366">
        <v>1</v>
      </c>
      <c r="AD16" s="366">
        <v>1</v>
      </c>
      <c r="AE16" s="366">
        <v>1</v>
      </c>
      <c r="AF16" s="366">
        <v>1</v>
      </c>
      <c r="AG16" s="366">
        <v>1</v>
      </c>
      <c r="AH16" s="307">
        <v>1</v>
      </c>
      <c r="AI16" s="307">
        <v>1</v>
      </c>
      <c r="AJ16" s="307">
        <v>1</v>
      </c>
      <c r="AK16" s="307">
        <v>1</v>
      </c>
      <c r="AL16" s="307">
        <v>1</v>
      </c>
      <c r="AM16" s="489">
        <v>1</v>
      </c>
      <c r="AN16" s="124"/>
      <c r="AO16" s="124"/>
      <c r="AP16" s="124"/>
      <c r="AQ16" s="124"/>
      <c r="AR16" s="124"/>
      <c r="AS16" s="124"/>
      <c r="AT16" s="307">
        <f>AVERAGE(AH16:AS16)</f>
        <v>1</v>
      </c>
      <c r="AU16" s="127">
        <f t="shared" si="0"/>
        <v>1</v>
      </c>
      <c r="AV16" s="421" t="s">
        <v>978</v>
      </c>
      <c r="AW16" s="473" t="s">
        <v>979</v>
      </c>
      <c r="AX16" s="453" t="s">
        <v>980</v>
      </c>
      <c r="AY16" s="453" t="s">
        <v>980</v>
      </c>
    </row>
    <row r="17" spans="1:51" ht="93" customHeight="1">
      <c r="A17" s="121"/>
      <c r="B17" s="121"/>
      <c r="C17" s="121"/>
      <c r="D17" s="121"/>
      <c r="E17" s="458" t="s">
        <v>425</v>
      </c>
      <c r="F17" s="121"/>
      <c r="G17" s="242" t="s">
        <v>479</v>
      </c>
      <c r="H17" s="122" t="s">
        <v>845</v>
      </c>
      <c r="I17" s="122" t="s">
        <v>491</v>
      </c>
      <c r="J17" s="122" t="s">
        <v>764</v>
      </c>
      <c r="K17" s="121" t="s">
        <v>453</v>
      </c>
      <c r="L17" s="124"/>
      <c r="M17" s="243" t="s">
        <v>431</v>
      </c>
      <c r="N17" s="122" t="s">
        <v>492</v>
      </c>
      <c r="O17" s="124"/>
      <c r="P17" s="124"/>
      <c r="Q17" s="124"/>
      <c r="R17" s="244">
        <v>1</v>
      </c>
      <c r="S17" s="244"/>
      <c r="T17" s="121" t="s">
        <v>444</v>
      </c>
      <c r="U17" s="122" t="s">
        <v>493</v>
      </c>
      <c r="V17" s="366"/>
      <c r="W17" s="366"/>
      <c r="X17" s="366"/>
      <c r="Y17" s="366">
        <v>1</v>
      </c>
      <c r="Z17" s="366"/>
      <c r="AA17" s="366"/>
      <c r="AB17" s="366"/>
      <c r="AC17" s="366">
        <v>1</v>
      </c>
      <c r="AD17" s="366"/>
      <c r="AE17" s="366"/>
      <c r="AF17" s="366"/>
      <c r="AG17" s="366">
        <v>1</v>
      </c>
      <c r="AH17" s="366"/>
      <c r="AI17" s="124"/>
      <c r="AJ17" s="124"/>
      <c r="AK17" s="307">
        <v>1</v>
      </c>
      <c r="AL17" s="124"/>
      <c r="AM17" s="124"/>
      <c r="AN17" s="124"/>
      <c r="AO17" s="124"/>
      <c r="AP17" s="124"/>
      <c r="AQ17" s="124"/>
      <c r="AR17" s="124"/>
      <c r="AS17" s="124"/>
      <c r="AT17" s="307">
        <f>AVERAGE(AH17:AS17)</f>
        <v>1</v>
      </c>
      <c r="AU17" s="127">
        <f t="shared" si="0"/>
        <v>1</v>
      </c>
      <c r="AV17" s="1174" t="s">
        <v>895</v>
      </c>
      <c r="AW17" s="1174" t="s">
        <v>895</v>
      </c>
      <c r="AX17" s="417" t="s">
        <v>981</v>
      </c>
      <c r="AY17" s="417" t="s">
        <v>981</v>
      </c>
    </row>
    <row r="18" spans="1:51" ht="309" customHeight="1">
      <c r="A18" s="1110"/>
      <c r="B18" s="1110"/>
      <c r="C18" s="1110"/>
      <c r="D18" s="1110"/>
      <c r="E18" s="1110" t="s">
        <v>425</v>
      </c>
      <c r="F18" s="1110"/>
      <c r="G18" s="1179" t="s">
        <v>479</v>
      </c>
      <c r="H18" s="1179" t="s">
        <v>845</v>
      </c>
      <c r="I18" s="1179" t="s">
        <v>494</v>
      </c>
      <c r="J18" s="1179" t="s">
        <v>765</v>
      </c>
      <c r="K18" s="1179" t="s">
        <v>453</v>
      </c>
      <c r="L18" s="1179"/>
      <c r="M18" s="1179" t="s">
        <v>431</v>
      </c>
      <c r="N18" s="1179" t="s">
        <v>495</v>
      </c>
      <c r="O18" s="1110"/>
      <c r="P18" s="1110"/>
      <c r="Q18" s="1110"/>
      <c r="R18" s="1114">
        <v>1</v>
      </c>
      <c r="S18" s="1110"/>
      <c r="T18" s="1110" t="s">
        <v>460</v>
      </c>
      <c r="U18" s="1179" t="s">
        <v>496</v>
      </c>
      <c r="V18" s="1027">
        <v>1</v>
      </c>
      <c r="W18" s="1027">
        <v>1</v>
      </c>
      <c r="X18" s="1027">
        <v>1</v>
      </c>
      <c r="Y18" s="1027">
        <v>1</v>
      </c>
      <c r="Z18" s="1027">
        <v>1</v>
      </c>
      <c r="AA18" s="1027">
        <v>1</v>
      </c>
      <c r="AB18" s="1027">
        <v>1</v>
      </c>
      <c r="AC18" s="1027">
        <v>1</v>
      </c>
      <c r="AD18" s="1027">
        <v>1</v>
      </c>
      <c r="AE18" s="1027">
        <v>1</v>
      </c>
      <c r="AF18" s="1027">
        <v>1</v>
      </c>
      <c r="AG18" s="1027">
        <v>1</v>
      </c>
      <c r="AH18" s="1027">
        <v>1</v>
      </c>
      <c r="AI18" s="1027">
        <v>1</v>
      </c>
      <c r="AJ18" s="1027">
        <v>1</v>
      </c>
      <c r="AK18" s="1027">
        <v>1</v>
      </c>
      <c r="AL18" s="1027">
        <v>1</v>
      </c>
      <c r="AM18" s="1027">
        <v>1</v>
      </c>
      <c r="AN18" s="1027"/>
      <c r="AO18" s="1027"/>
      <c r="AP18" s="1027"/>
      <c r="AQ18" s="1027"/>
      <c r="AR18" s="1027"/>
      <c r="AS18" s="1027"/>
      <c r="AT18" s="1181">
        <f>AVERAGE(AH18:AS18)</f>
        <v>1</v>
      </c>
      <c r="AU18" s="1114">
        <f t="shared" si="0"/>
        <v>1</v>
      </c>
      <c r="AV18" s="1177" t="s">
        <v>982</v>
      </c>
      <c r="AW18" s="1177" t="s">
        <v>983</v>
      </c>
      <c r="AX18" s="1177" t="s">
        <v>865</v>
      </c>
      <c r="AY18" s="1177" t="s">
        <v>450</v>
      </c>
    </row>
    <row r="19" spans="1:51" ht="309" customHeight="1">
      <c r="A19" s="1111"/>
      <c r="B19" s="1111"/>
      <c r="C19" s="1111"/>
      <c r="D19" s="1111"/>
      <c r="E19" s="1111"/>
      <c r="F19" s="1111"/>
      <c r="G19" s="1180"/>
      <c r="H19" s="1180"/>
      <c r="I19" s="1180"/>
      <c r="J19" s="1180"/>
      <c r="K19" s="1180"/>
      <c r="L19" s="1180"/>
      <c r="M19" s="1180"/>
      <c r="N19" s="1180"/>
      <c r="O19" s="1111"/>
      <c r="P19" s="1111"/>
      <c r="Q19" s="1111"/>
      <c r="R19" s="1115"/>
      <c r="S19" s="1111"/>
      <c r="T19" s="1111"/>
      <c r="U19" s="1180"/>
      <c r="V19" s="1183"/>
      <c r="W19" s="1183"/>
      <c r="X19" s="1183"/>
      <c r="Y19" s="1183"/>
      <c r="Z19" s="1183"/>
      <c r="AA19" s="1183"/>
      <c r="AB19" s="1183"/>
      <c r="AC19" s="1183"/>
      <c r="AD19" s="1183"/>
      <c r="AE19" s="1183"/>
      <c r="AF19" s="1183"/>
      <c r="AG19" s="1183"/>
      <c r="AH19" s="1183"/>
      <c r="AI19" s="1183"/>
      <c r="AJ19" s="1183"/>
      <c r="AK19" s="1183"/>
      <c r="AL19" s="1183"/>
      <c r="AM19" s="1183"/>
      <c r="AN19" s="1183"/>
      <c r="AO19" s="1183"/>
      <c r="AP19" s="1183"/>
      <c r="AQ19" s="1183"/>
      <c r="AR19" s="1183"/>
      <c r="AS19" s="1183"/>
      <c r="AT19" s="1182"/>
      <c r="AU19" s="1115"/>
      <c r="AV19" s="1178"/>
      <c r="AW19" s="1178"/>
      <c r="AX19" s="1178"/>
      <c r="AY19" s="1178"/>
    </row>
    <row r="20" spans="1:51" ht="54" customHeight="1">
      <c r="A20" s="777" t="s">
        <v>64</v>
      </c>
      <c r="B20" s="777"/>
      <c r="C20" s="777"/>
      <c r="D20" s="773" t="s">
        <v>66</v>
      </c>
      <c r="E20" s="773"/>
      <c r="F20" s="773"/>
      <c r="G20" s="773"/>
      <c r="H20" s="773"/>
      <c r="I20" s="773"/>
      <c r="J20" s="778" t="s">
        <v>300</v>
      </c>
      <c r="K20" s="778"/>
      <c r="L20" s="778"/>
      <c r="M20" s="778"/>
      <c r="N20" s="778"/>
      <c r="O20" s="778"/>
      <c r="P20" s="773" t="s">
        <v>66</v>
      </c>
      <c r="Q20" s="773"/>
      <c r="R20" s="773"/>
      <c r="S20" s="773"/>
      <c r="T20" s="773"/>
      <c r="U20" s="773"/>
      <c r="V20" s="773" t="s">
        <v>66</v>
      </c>
      <c r="W20" s="773"/>
      <c r="X20" s="773"/>
      <c r="Y20" s="773"/>
      <c r="Z20" s="773"/>
      <c r="AA20" s="773"/>
      <c r="AB20" s="773"/>
      <c r="AC20" s="773"/>
      <c r="AD20" s="773" t="s">
        <v>66</v>
      </c>
      <c r="AE20" s="773"/>
      <c r="AF20" s="773"/>
      <c r="AG20" s="773"/>
      <c r="AH20" s="773"/>
      <c r="AI20" s="773"/>
      <c r="AJ20" s="773"/>
      <c r="AK20" s="773"/>
      <c r="AL20" s="773"/>
      <c r="AM20" s="773"/>
      <c r="AN20" s="773"/>
      <c r="AO20" s="773"/>
      <c r="AP20" s="778" t="s">
        <v>318</v>
      </c>
      <c r="AQ20" s="778"/>
      <c r="AR20" s="778"/>
      <c r="AS20" s="778"/>
      <c r="AT20" s="773" t="s">
        <v>13</v>
      </c>
      <c r="AU20" s="773"/>
      <c r="AV20" s="773"/>
      <c r="AW20" s="773"/>
      <c r="AX20" s="773"/>
      <c r="AY20" s="773"/>
    </row>
    <row r="21" spans="1:51" ht="30" customHeight="1">
      <c r="A21" s="777"/>
      <c r="B21" s="777"/>
      <c r="C21" s="777"/>
      <c r="D21" s="773" t="s">
        <v>808</v>
      </c>
      <c r="E21" s="773"/>
      <c r="F21" s="773"/>
      <c r="G21" s="773"/>
      <c r="H21" s="773"/>
      <c r="I21" s="773"/>
      <c r="J21" s="778"/>
      <c r="K21" s="778"/>
      <c r="L21" s="778"/>
      <c r="M21" s="778"/>
      <c r="N21" s="778"/>
      <c r="O21" s="778"/>
      <c r="P21" s="773" t="s">
        <v>771</v>
      </c>
      <c r="Q21" s="773"/>
      <c r="R21" s="773"/>
      <c r="S21" s="773"/>
      <c r="T21" s="773"/>
      <c r="U21" s="773"/>
      <c r="V21" s="773" t="s">
        <v>65</v>
      </c>
      <c r="W21" s="773"/>
      <c r="X21" s="773"/>
      <c r="Y21" s="773"/>
      <c r="Z21" s="773"/>
      <c r="AA21" s="773"/>
      <c r="AB21" s="773"/>
      <c r="AC21" s="773"/>
      <c r="AD21" s="773" t="s">
        <v>65</v>
      </c>
      <c r="AE21" s="773"/>
      <c r="AF21" s="773"/>
      <c r="AG21" s="773"/>
      <c r="AH21" s="773"/>
      <c r="AI21" s="773"/>
      <c r="AJ21" s="773"/>
      <c r="AK21" s="773"/>
      <c r="AL21" s="773"/>
      <c r="AM21" s="773"/>
      <c r="AN21" s="773"/>
      <c r="AO21" s="773"/>
      <c r="AP21" s="778"/>
      <c r="AQ21" s="778"/>
      <c r="AR21" s="778"/>
      <c r="AS21" s="778"/>
      <c r="AT21" s="773" t="s">
        <v>771</v>
      </c>
      <c r="AU21" s="773"/>
      <c r="AV21" s="773"/>
      <c r="AW21" s="773"/>
      <c r="AX21" s="773"/>
      <c r="AY21" s="773"/>
    </row>
    <row r="22" spans="1:51" ht="30" customHeight="1">
      <c r="A22" s="777"/>
      <c r="B22" s="777"/>
      <c r="C22" s="777"/>
      <c r="D22" s="773" t="s">
        <v>809</v>
      </c>
      <c r="E22" s="773"/>
      <c r="F22" s="773"/>
      <c r="G22" s="773"/>
      <c r="H22" s="773"/>
      <c r="I22" s="773"/>
      <c r="J22" s="778"/>
      <c r="K22" s="778"/>
      <c r="L22" s="778"/>
      <c r="M22" s="778"/>
      <c r="N22" s="778"/>
      <c r="O22" s="778"/>
      <c r="P22" s="773" t="s">
        <v>776</v>
      </c>
      <c r="Q22" s="773"/>
      <c r="R22" s="773"/>
      <c r="S22" s="773"/>
      <c r="T22" s="773"/>
      <c r="U22" s="773"/>
      <c r="V22" s="773" t="s">
        <v>297</v>
      </c>
      <c r="W22" s="773"/>
      <c r="X22" s="773"/>
      <c r="Y22" s="773"/>
      <c r="Z22" s="773"/>
      <c r="AA22" s="773"/>
      <c r="AB22" s="773"/>
      <c r="AC22" s="773"/>
      <c r="AD22" s="773" t="s">
        <v>297</v>
      </c>
      <c r="AE22" s="773"/>
      <c r="AF22" s="773"/>
      <c r="AG22" s="773"/>
      <c r="AH22" s="773"/>
      <c r="AI22" s="773"/>
      <c r="AJ22" s="773"/>
      <c r="AK22" s="773"/>
      <c r="AL22" s="773"/>
      <c r="AM22" s="773"/>
      <c r="AN22" s="773"/>
      <c r="AO22" s="773"/>
      <c r="AP22" s="778"/>
      <c r="AQ22" s="778"/>
      <c r="AR22" s="778"/>
      <c r="AS22" s="778"/>
      <c r="AT22" s="773" t="s">
        <v>75</v>
      </c>
      <c r="AU22" s="773"/>
      <c r="AV22" s="773"/>
      <c r="AW22" s="773"/>
      <c r="AX22" s="773"/>
      <c r="AY22" s="773"/>
    </row>
  </sheetData>
  <sheetProtection/>
  <mergeCells count="107">
    <mergeCell ref="AS18:AS19"/>
    <mergeCell ref="AM18:AM19"/>
    <mergeCell ref="AN18:AN19"/>
    <mergeCell ref="AO18:AO19"/>
    <mergeCell ref="AP18:AP19"/>
    <mergeCell ref="AQ18:AQ19"/>
    <mergeCell ref="AR18:AR19"/>
    <mergeCell ref="AG18:AG19"/>
    <mergeCell ref="AH18:AH19"/>
    <mergeCell ref="AI18:AI19"/>
    <mergeCell ref="AJ18:AJ19"/>
    <mergeCell ref="AK18:AK19"/>
    <mergeCell ref="AL18:AL19"/>
    <mergeCell ref="AA18:AA19"/>
    <mergeCell ref="AB18:AB19"/>
    <mergeCell ref="AC18:AC19"/>
    <mergeCell ref="AD18:AD19"/>
    <mergeCell ref="AE18:AE19"/>
    <mergeCell ref="AF18:AF19"/>
    <mergeCell ref="S18:S19"/>
    <mergeCell ref="T18:T19"/>
    <mergeCell ref="U18:U19"/>
    <mergeCell ref="AU18:AU19"/>
    <mergeCell ref="AT18:AT19"/>
    <mergeCell ref="V18:V19"/>
    <mergeCell ref="W18:W19"/>
    <mergeCell ref="X18:X19"/>
    <mergeCell ref="Y18:Y19"/>
    <mergeCell ref="Z18:Z19"/>
    <mergeCell ref="M18:M19"/>
    <mergeCell ref="N18:N19"/>
    <mergeCell ref="O18:O19"/>
    <mergeCell ref="P18:P19"/>
    <mergeCell ref="Q18:Q19"/>
    <mergeCell ref="R18:R19"/>
    <mergeCell ref="G18:G19"/>
    <mergeCell ref="H18:H19"/>
    <mergeCell ref="I18:I19"/>
    <mergeCell ref="J18:J19"/>
    <mergeCell ref="K18:K19"/>
    <mergeCell ref="L18:L19"/>
    <mergeCell ref="AV18:AV19"/>
    <mergeCell ref="AW18:AW19"/>
    <mergeCell ref="AX18:AX19"/>
    <mergeCell ref="AY18:AY19"/>
    <mergeCell ref="A18:A19"/>
    <mergeCell ref="B18:B19"/>
    <mergeCell ref="C18:C19"/>
    <mergeCell ref="D18:D19"/>
    <mergeCell ref="E18:E19"/>
    <mergeCell ref="F18:F19"/>
    <mergeCell ref="AH5:AU10"/>
    <mergeCell ref="H7:I7"/>
    <mergeCell ref="A1:AW1"/>
    <mergeCell ref="AX1:AY1"/>
    <mergeCell ref="A2:AW2"/>
    <mergeCell ref="AX2:AY2"/>
    <mergeCell ref="A3:AW4"/>
    <mergeCell ref="AX3:AY3"/>
    <mergeCell ref="AX4:AY4"/>
    <mergeCell ref="A5:AG5"/>
    <mergeCell ref="K11:K12"/>
    <mergeCell ref="AV5:AV12"/>
    <mergeCell ref="AW5:AW12"/>
    <mergeCell ref="AX5:AX12"/>
    <mergeCell ref="AY5:AY12"/>
    <mergeCell ref="A6:C8"/>
    <mergeCell ref="D6:E8"/>
    <mergeCell ref="F6:G8"/>
    <mergeCell ref="H6:I6"/>
    <mergeCell ref="K6:U8"/>
    <mergeCell ref="V22:AC22"/>
    <mergeCell ref="H8:I8"/>
    <mergeCell ref="A9:C9"/>
    <mergeCell ref="D9:AG9"/>
    <mergeCell ref="A10:C10"/>
    <mergeCell ref="D10:AG10"/>
    <mergeCell ref="A11:F11"/>
    <mergeCell ref="G11:H11"/>
    <mergeCell ref="I11:I12"/>
    <mergeCell ref="J11:J12"/>
    <mergeCell ref="M11:M12"/>
    <mergeCell ref="N11:N12"/>
    <mergeCell ref="O11:S11"/>
    <mergeCell ref="T11:T12"/>
    <mergeCell ref="U11:U12"/>
    <mergeCell ref="L11:L12"/>
    <mergeCell ref="V11:AG11"/>
    <mergeCell ref="AH11:AS11"/>
    <mergeCell ref="AT11:AU11"/>
    <mergeCell ref="A20:C22"/>
    <mergeCell ref="D20:I20"/>
    <mergeCell ref="J20:O22"/>
    <mergeCell ref="P20:U20"/>
    <mergeCell ref="V20:AC20"/>
    <mergeCell ref="AD20:AO20"/>
    <mergeCell ref="D22:I22"/>
    <mergeCell ref="AD22:AO22"/>
    <mergeCell ref="AT22:AY22"/>
    <mergeCell ref="AT20:AY20"/>
    <mergeCell ref="D21:I21"/>
    <mergeCell ref="P21:U21"/>
    <mergeCell ref="V21:AC21"/>
    <mergeCell ref="AD21:AO21"/>
    <mergeCell ref="AT21:AY21"/>
    <mergeCell ref="AP20:AS22"/>
    <mergeCell ref="P22:U22"/>
  </mergeCells>
  <printOptions/>
  <pageMargins left="0.7" right="0.7" top="0.75" bottom="0.75" header="0.3" footer="0.3"/>
  <pageSetup fitToHeight="0" fitToWidth="1" horizontalDpi="600" verticalDpi="600" orientation="landscape" scale="15"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AY19"/>
  <sheetViews>
    <sheetView view="pageBreakPreview" zoomScale="60" zoomScaleNormal="61" zoomScalePageLayoutView="0" workbookViewId="0" topLeftCell="AS1">
      <selection activeCell="AX13" sqref="AX13:AY13"/>
    </sheetView>
  </sheetViews>
  <sheetFormatPr defaultColWidth="10.8515625" defaultRowHeight="15"/>
  <cols>
    <col min="1" max="1" width="10.140625" style="113" customWidth="1"/>
    <col min="2" max="2" width="10.00390625" style="113" customWidth="1"/>
    <col min="3" max="3" width="15.57421875" style="113" customWidth="1"/>
    <col min="4" max="6" width="8.28125" style="113" customWidth="1"/>
    <col min="7" max="8" width="14.7109375" style="113" customWidth="1"/>
    <col min="9" max="9" width="22.57421875" style="113" customWidth="1"/>
    <col min="10" max="10" width="23.00390625" style="113" customWidth="1"/>
    <col min="11" max="11" width="16.8515625" style="113" customWidth="1"/>
    <col min="12" max="12" width="15.28125" style="113" customWidth="1"/>
    <col min="13" max="13" width="12.7109375" style="113" customWidth="1"/>
    <col min="14" max="14" width="21.140625" style="113" customWidth="1"/>
    <col min="15" max="15" width="7.7109375" style="113" bestFit="1" customWidth="1"/>
    <col min="16" max="16" width="7.28125" style="113" bestFit="1" customWidth="1"/>
    <col min="17" max="19" width="7.7109375" style="113" bestFit="1" customWidth="1"/>
    <col min="20" max="21" width="17.00390625" style="113" customWidth="1"/>
    <col min="22" max="45" width="7.00390625" style="113" customWidth="1"/>
    <col min="46" max="46" width="18.28125" style="113" customWidth="1"/>
    <col min="47" max="47" width="12.57421875" style="217" customWidth="1"/>
    <col min="48" max="51" width="61.7109375" style="113" customWidth="1"/>
    <col min="52" max="16384" width="10.8515625" style="113" customWidth="1"/>
  </cols>
  <sheetData>
    <row r="1" spans="1:51" ht="15.75" customHeight="1">
      <c r="A1" s="806" t="s">
        <v>16</v>
      </c>
      <c r="B1" s="806"/>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806"/>
      <c r="AN1" s="806"/>
      <c r="AO1" s="806"/>
      <c r="AP1" s="806"/>
      <c r="AQ1" s="806"/>
      <c r="AR1" s="806"/>
      <c r="AS1" s="806"/>
      <c r="AT1" s="806"/>
      <c r="AU1" s="806"/>
      <c r="AV1" s="806"/>
      <c r="AW1" s="806"/>
      <c r="AX1" s="1048" t="s">
        <v>423</v>
      </c>
      <c r="AY1" s="1049"/>
    </row>
    <row r="2" spans="1:51" ht="15.75" customHeight="1">
      <c r="A2" s="806" t="s">
        <v>17</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c r="AT2" s="806"/>
      <c r="AU2" s="806"/>
      <c r="AV2" s="806"/>
      <c r="AW2" s="806"/>
      <c r="AX2" s="1051" t="s">
        <v>418</v>
      </c>
      <c r="AY2" s="1052"/>
    </row>
    <row r="3" spans="1:51" ht="15" customHeight="1">
      <c r="A3" s="806" t="s">
        <v>195</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6"/>
      <c r="AX3" s="1051" t="s">
        <v>424</v>
      </c>
      <c r="AY3" s="1052"/>
    </row>
    <row r="4" spans="1:51" ht="15.75" customHeight="1">
      <c r="A4" s="806"/>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755" t="s">
        <v>785</v>
      </c>
      <c r="AY4" s="755"/>
    </row>
    <row r="5" spans="1:51" ht="15" customHeight="1">
      <c r="A5" s="793" t="s">
        <v>174</v>
      </c>
      <c r="B5" s="793"/>
      <c r="C5" s="793"/>
      <c r="D5" s="793"/>
      <c r="E5" s="793"/>
      <c r="F5" s="793"/>
      <c r="G5" s="793"/>
      <c r="H5" s="793"/>
      <c r="I5" s="793"/>
      <c r="J5" s="793"/>
      <c r="K5" s="793"/>
      <c r="L5" s="793"/>
      <c r="M5" s="793"/>
      <c r="N5" s="793"/>
      <c r="O5" s="793"/>
      <c r="P5" s="793"/>
      <c r="Q5" s="793"/>
      <c r="R5" s="793"/>
      <c r="S5" s="793"/>
      <c r="T5" s="793"/>
      <c r="U5" s="793"/>
      <c r="V5" s="793"/>
      <c r="W5" s="793"/>
      <c r="X5" s="793"/>
      <c r="Y5" s="793"/>
      <c r="Z5" s="793"/>
      <c r="AA5" s="793"/>
      <c r="AB5" s="793"/>
      <c r="AC5" s="793"/>
      <c r="AD5" s="793"/>
      <c r="AE5" s="793"/>
      <c r="AF5" s="793"/>
      <c r="AG5" s="793"/>
      <c r="AH5" s="793" t="s">
        <v>69</v>
      </c>
      <c r="AI5" s="793"/>
      <c r="AJ5" s="793"/>
      <c r="AK5" s="793"/>
      <c r="AL5" s="793"/>
      <c r="AM5" s="793"/>
      <c r="AN5" s="793"/>
      <c r="AO5" s="793"/>
      <c r="AP5" s="793"/>
      <c r="AQ5" s="793"/>
      <c r="AR5" s="793"/>
      <c r="AS5" s="793"/>
      <c r="AT5" s="793"/>
      <c r="AU5" s="793"/>
      <c r="AV5" s="1124" t="s">
        <v>409</v>
      </c>
      <c r="AW5" s="1124" t="s">
        <v>410</v>
      </c>
      <c r="AX5" s="774" t="s">
        <v>298</v>
      </c>
      <c r="AY5" s="774" t="s">
        <v>299</v>
      </c>
    </row>
    <row r="6" spans="1:51" ht="15" customHeight="1">
      <c r="A6" s="793" t="s">
        <v>71</v>
      </c>
      <c r="B6" s="793"/>
      <c r="C6" s="793"/>
      <c r="D6" s="1081">
        <v>45117</v>
      </c>
      <c r="E6" s="794"/>
      <c r="F6" s="815" t="s">
        <v>67</v>
      </c>
      <c r="G6" s="815"/>
      <c r="H6" s="1126" t="s">
        <v>70</v>
      </c>
      <c r="I6" s="1126"/>
      <c r="J6" s="325"/>
      <c r="K6" s="793"/>
      <c r="L6" s="793"/>
      <c r="M6" s="793"/>
      <c r="N6" s="793"/>
      <c r="O6" s="793"/>
      <c r="P6" s="793"/>
      <c r="Q6" s="793"/>
      <c r="R6" s="793"/>
      <c r="S6" s="793"/>
      <c r="T6" s="793"/>
      <c r="U6" s="793"/>
      <c r="V6" s="793"/>
      <c r="W6" s="793"/>
      <c r="X6" s="793"/>
      <c r="Y6" s="793"/>
      <c r="Z6" s="793"/>
      <c r="AA6" s="793"/>
      <c r="AB6" s="793"/>
      <c r="AC6" s="793"/>
      <c r="AD6" s="793"/>
      <c r="AE6" s="793"/>
      <c r="AF6" s="793"/>
      <c r="AG6" s="793"/>
      <c r="AH6" s="793"/>
      <c r="AI6" s="793"/>
      <c r="AJ6" s="793"/>
      <c r="AK6" s="793"/>
      <c r="AL6" s="793"/>
      <c r="AM6" s="793"/>
      <c r="AN6" s="793"/>
      <c r="AO6" s="793"/>
      <c r="AP6" s="793"/>
      <c r="AQ6" s="793"/>
      <c r="AR6" s="793"/>
      <c r="AS6" s="793"/>
      <c r="AT6" s="793"/>
      <c r="AU6" s="793"/>
      <c r="AV6" s="1124"/>
      <c r="AW6" s="1124"/>
      <c r="AX6" s="782"/>
      <c r="AY6" s="782"/>
    </row>
    <row r="7" spans="1:51" ht="15" customHeight="1">
      <c r="A7" s="793"/>
      <c r="B7" s="793"/>
      <c r="C7" s="793"/>
      <c r="D7" s="794"/>
      <c r="E7" s="794"/>
      <c r="F7" s="815"/>
      <c r="G7" s="815"/>
      <c r="H7" s="1126" t="s">
        <v>68</v>
      </c>
      <c r="I7" s="1126"/>
      <c r="J7" s="325"/>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1124"/>
      <c r="AW7" s="1124"/>
      <c r="AX7" s="782"/>
      <c r="AY7" s="782"/>
    </row>
    <row r="8" spans="1:51" ht="15" customHeight="1">
      <c r="A8" s="793"/>
      <c r="B8" s="793"/>
      <c r="C8" s="793"/>
      <c r="D8" s="794"/>
      <c r="E8" s="794"/>
      <c r="F8" s="815"/>
      <c r="G8" s="815"/>
      <c r="H8" s="1126" t="s">
        <v>69</v>
      </c>
      <c r="I8" s="1126"/>
      <c r="J8" s="325" t="s">
        <v>425</v>
      </c>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1124"/>
      <c r="AW8" s="1124"/>
      <c r="AX8" s="782"/>
      <c r="AY8" s="782"/>
    </row>
    <row r="9" spans="1:51" ht="15" customHeight="1">
      <c r="A9" s="1127" t="s">
        <v>399</v>
      </c>
      <c r="B9" s="1127"/>
      <c r="C9" s="1127"/>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793"/>
      <c r="AI9" s="793"/>
      <c r="AJ9" s="793"/>
      <c r="AK9" s="793"/>
      <c r="AL9" s="793"/>
      <c r="AM9" s="793"/>
      <c r="AN9" s="793"/>
      <c r="AO9" s="793"/>
      <c r="AP9" s="793"/>
      <c r="AQ9" s="793"/>
      <c r="AR9" s="793"/>
      <c r="AS9" s="793"/>
      <c r="AT9" s="793"/>
      <c r="AU9" s="793"/>
      <c r="AV9" s="1124"/>
      <c r="AW9" s="1124"/>
      <c r="AX9" s="782"/>
      <c r="AY9" s="782"/>
    </row>
    <row r="10" spans="1:51" ht="15" customHeight="1">
      <c r="A10" s="1127" t="s">
        <v>287</v>
      </c>
      <c r="B10" s="1127"/>
      <c r="C10" s="1127"/>
      <c r="D10" s="1128" t="s">
        <v>500</v>
      </c>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793"/>
      <c r="AI10" s="793"/>
      <c r="AJ10" s="793"/>
      <c r="AK10" s="793"/>
      <c r="AL10" s="793"/>
      <c r="AM10" s="793"/>
      <c r="AN10" s="793"/>
      <c r="AO10" s="793"/>
      <c r="AP10" s="793"/>
      <c r="AQ10" s="793"/>
      <c r="AR10" s="793"/>
      <c r="AS10" s="793"/>
      <c r="AT10" s="793"/>
      <c r="AU10" s="793"/>
      <c r="AV10" s="1124"/>
      <c r="AW10" s="1124"/>
      <c r="AX10" s="782"/>
      <c r="AY10" s="782"/>
    </row>
    <row r="11" spans="1:51" ht="39.75" customHeight="1">
      <c r="A11" s="1124" t="s">
        <v>168</v>
      </c>
      <c r="B11" s="1124"/>
      <c r="C11" s="1124"/>
      <c r="D11" s="1124"/>
      <c r="E11" s="1124"/>
      <c r="F11" s="1124"/>
      <c r="G11" s="1124" t="s">
        <v>278</v>
      </c>
      <c r="H11" s="1124"/>
      <c r="I11" s="1124" t="s">
        <v>179</v>
      </c>
      <c r="J11" s="1124" t="s">
        <v>279</v>
      </c>
      <c r="K11" s="1124" t="s">
        <v>323</v>
      </c>
      <c r="L11" s="1124" t="s">
        <v>363</v>
      </c>
      <c r="M11" s="1124" t="s">
        <v>167</v>
      </c>
      <c r="N11" s="1124" t="s">
        <v>182</v>
      </c>
      <c r="O11" s="1124" t="s">
        <v>284</v>
      </c>
      <c r="P11" s="1124"/>
      <c r="Q11" s="1124"/>
      <c r="R11" s="1124"/>
      <c r="S11" s="1124"/>
      <c r="T11" s="1124" t="s">
        <v>173</v>
      </c>
      <c r="U11" s="1124" t="s">
        <v>285</v>
      </c>
      <c r="V11" s="793" t="s">
        <v>370</v>
      </c>
      <c r="W11" s="793"/>
      <c r="X11" s="793"/>
      <c r="Y11" s="793"/>
      <c r="Z11" s="793"/>
      <c r="AA11" s="793"/>
      <c r="AB11" s="793"/>
      <c r="AC11" s="793"/>
      <c r="AD11" s="793"/>
      <c r="AE11" s="793"/>
      <c r="AF11" s="793"/>
      <c r="AG11" s="793"/>
      <c r="AH11" s="793" t="s">
        <v>87</v>
      </c>
      <c r="AI11" s="793"/>
      <c r="AJ11" s="793"/>
      <c r="AK11" s="793"/>
      <c r="AL11" s="793"/>
      <c r="AM11" s="793"/>
      <c r="AN11" s="793"/>
      <c r="AO11" s="793"/>
      <c r="AP11" s="793"/>
      <c r="AQ11" s="793"/>
      <c r="AR11" s="793"/>
      <c r="AS11" s="793"/>
      <c r="AT11" s="1124" t="s">
        <v>8</v>
      </c>
      <c r="AU11" s="1124"/>
      <c r="AV11" s="1124"/>
      <c r="AW11" s="1124"/>
      <c r="AX11" s="782"/>
      <c r="AY11" s="782"/>
    </row>
    <row r="12" spans="1:51" ht="42.75">
      <c r="A12" s="449" t="s">
        <v>169</v>
      </c>
      <c r="B12" s="449" t="s">
        <v>170</v>
      </c>
      <c r="C12" s="449" t="s">
        <v>171</v>
      </c>
      <c r="D12" s="449" t="s">
        <v>178</v>
      </c>
      <c r="E12" s="449" t="s">
        <v>185</v>
      </c>
      <c r="F12" s="449" t="s">
        <v>186</v>
      </c>
      <c r="G12" s="449" t="s">
        <v>277</v>
      </c>
      <c r="H12" s="449" t="s">
        <v>184</v>
      </c>
      <c r="I12" s="1124"/>
      <c r="J12" s="1124"/>
      <c r="K12" s="1124"/>
      <c r="L12" s="1124"/>
      <c r="M12" s="1124"/>
      <c r="N12" s="1124"/>
      <c r="O12" s="449">
        <v>2020</v>
      </c>
      <c r="P12" s="449">
        <v>2021</v>
      </c>
      <c r="Q12" s="449">
        <v>2022</v>
      </c>
      <c r="R12" s="449">
        <v>2023</v>
      </c>
      <c r="S12" s="449">
        <v>2024</v>
      </c>
      <c r="T12" s="1124"/>
      <c r="U12" s="1124"/>
      <c r="V12" s="454" t="s">
        <v>39</v>
      </c>
      <c r="W12" s="454" t="s">
        <v>40</v>
      </c>
      <c r="X12" s="454" t="s">
        <v>41</v>
      </c>
      <c r="Y12" s="454" t="s">
        <v>42</v>
      </c>
      <c r="Z12" s="454" t="s">
        <v>43</v>
      </c>
      <c r="AA12" s="454" t="s">
        <v>44</v>
      </c>
      <c r="AB12" s="454" t="s">
        <v>45</v>
      </c>
      <c r="AC12" s="454" t="s">
        <v>46</v>
      </c>
      <c r="AD12" s="454" t="s">
        <v>47</v>
      </c>
      <c r="AE12" s="454" t="s">
        <v>48</v>
      </c>
      <c r="AF12" s="454" t="s">
        <v>49</v>
      </c>
      <c r="AG12" s="454" t="s">
        <v>50</v>
      </c>
      <c r="AH12" s="454" t="s">
        <v>39</v>
      </c>
      <c r="AI12" s="454" t="s">
        <v>40</v>
      </c>
      <c r="AJ12" s="454" t="s">
        <v>41</v>
      </c>
      <c r="AK12" s="454" t="s">
        <v>42</v>
      </c>
      <c r="AL12" s="454" t="s">
        <v>43</v>
      </c>
      <c r="AM12" s="454" t="s">
        <v>44</v>
      </c>
      <c r="AN12" s="454" t="s">
        <v>45</v>
      </c>
      <c r="AO12" s="454" t="s">
        <v>46</v>
      </c>
      <c r="AP12" s="454" t="s">
        <v>47</v>
      </c>
      <c r="AQ12" s="454" t="s">
        <v>48</v>
      </c>
      <c r="AR12" s="454" t="s">
        <v>49</v>
      </c>
      <c r="AS12" s="454" t="s">
        <v>50</v>
      </c>
      <c r="AT12" s="449" t="s">
        <v>413</v>
      </c>
      <c r="AU12" s="216" t="s">
        <v>88</v>
      </c>
      <c r="AV12" s="1124"/>
      <c r="AW12" s="1124"/>
      <c r="AX12" s="775"/>
      <c r="AY12" s="775"/>
    </row>
    <row r="13" spans="1:51" ht="161.25" customHeight="1">
      <c r="A13" s="121"/>
      <c r="B13" s="121"/>
      <c r="C13" s="121"/>
      <c r="D13" s="121"/>
      <c r="E13" s="121" t="s">
        <v>425</v>
      </c>
      <c r="F13" s="121"/>
      <c r="G13" s="122" t="s">
        <v>501</v>
      </c>
      <c r="H13" s="121" t="s">
        <v>450</v>
      </c>
      <c r="I13" s="122" t="s">
        <v>502</v>
      </c>
      <c r="J13" s="122" t="s">
        <v>503</v>
      </c>
      <c r="K13" s="122" t="s">
        <v>453</v>
      </c>
      <c r="L13" s="124" t="s">
        <v>450</v>
      </c>
      <c r="M13" s="124" t="s">
        <v>504</v>
      </c>
      <c r="N13" s="122" t="s">
        <v>505</v>
      </c>
      <c r="O13" s="123"/>
      <c r="P13" s="123"/>
      <c r="Q13" s="123"/>
      <c r="R13" s="293">
        <v>1</v>
      </c>
      <c r="S13" s="123"/>
      <c r="T13" s="121" t="s">
        <v>433</v>
      </c>
      <c r="U13" s="122" t="s">
        <v>506</v>
      </c>
      <c r="V13" s="124"/>
      <c r="W13" s="124"/>
      <c r="X13" s="307">
        <v>0</v>
      </c>
      <c r="Y13" s="124"/>
      <c r="Z13" s="124"/>
      <c r="AA13" s="307">
        <v>0.4</v>
      </c>
      <c r="AB13" s="124"/>
      <c r="AC13" s="124"/>
      <c r="AD13" s="307">
        <v>0.4</v>
      </c>
      <c r="AE13" s="124"/>
      <c r="AF13" s="124"/>
      <c r="AG13" s="307">
        <v>0.2</v>
      </c>
      <c r="AH13" s="124"/>
      <c r="AI13" s="124"/>
      <c r="AJ13" s="307">
        <v>0</v>
      </c>
      <c r="AK13" s="124"/>
      <c r="AL13" s="124"/>
      <c r="AM13" s="482">
        <v>0.4</v>
      </c>
      <c r="AN13" s="124"/>
      <c r="AO13" s="124"/>
      <c r="AP13" s="124"/>
      <c r="AQ13" s="124"/>
      <c r="AR13" s="124"/>
      <c r="AS13" s="124"/>
      <c r="AT13" s="482">
        <f>SUM(AH13:AS13)</f>
        <v>0.4</v>
      </c>
      <c r="AU13" s="483">
        <f>+AT13/R13</f>
        <v>0.4</v>
      </c>
      <c r="AV13" s="500" t="s">
        <v>857</v>
      </c>
      <c r="AW13" s="500" t="s">
        <v>858</v>
      </c>
      <c r="AX13" s="417" t="s">
        <v>865</v>
      </c>
      <c r="AY13" s="417" t="s">
        <v>450</v>
      </c>
    </row>
    <row r="14" spans="1:51" ht="162.75" customHeight="1">
      <c r="A14" s="121"/>
      <c r="B14" s="121"/>
      <c r="C14" s="121"/>
      <c r="D14" s="121"/>
      <c r="E14" s="121" t="s">
        <v>425</v>
      </c>
      <c r="F14" s="121"/>
      <c r="G14" s="122" t="s">
        <v>501</v>
      </c>
      <c r="H14" s="121" t="s">
        <v>450</v>
      </c>
      <c r="I14" s="122" t="s">
        <v>507</v>
      </c>
      <c r="J14" s="122" t="s">
        <v>508</v>
      </c>
      <c r="K14" s="122" t="s">
        <v>453</v>
      </c>
      <c r="L14" s="124" t="s">
        <v>450</v>
      </c>
      <c r="M14" s="124" t="s">
        <v>504</v>
      </c>
      <c r="N14" s="122" t="s">
        <v>509</v>
      </c>
      <c r="O14" s="124"/>
      <c r="P14" s="124"/>
      <c r="Q14" s="124"/>
      <c r="R14" s="293">
        <v>1</v>
      </c>
      <c r="S14" s="124"/>
      <c r="T14" s="121" t="s">
        <v>433</v>
      </c>
      <c r="U14" s="122" t="s">
        <v>510</v>
      </c>
      <c r="V14" s="124"/>
      <c r="W14" s="124"/>
      <c r="X14" s="307">
        <v>0</v>
      </c>
      <c r="Y14" s="124"/>
      <c r="Z14" s="124"/>
      <c r="AA14" s="307">
        <v>0.14</v>
      </c>
      <c r="AB14" s="124"/>
      <c r="AC14" s="124"/>
      <c r="AD14" s="307">
        <v>0.15</v>
      </c>
      <c r="AE14" s="124"/>
      <c r="AF14" s="124"/>
      <c r="AG14" s="307">
        <v>0.71</v>
      </c>
      <c r="AH14" s="124"/>
      <c r="AI14" s="124"/>
      <c r="AJ14" s="307">
        <v>0</v>
      </c>
      <c r="AK14" s="124"/>
      <c r="AL14" s="124"/>
      <c r="AM14" s="482">
        <v>0.21</v>
      </c>
      <c r="AN14" s="124"/>
      <c r="AO14" s="124"/>
      <c r="AP14" s="124"/>
      <c r="AQ14" s="124"/>
      <c r="AR14" s="124"/>
      <c r="AS14" s="124"/>
      <c r="AT14" s="482">
        <f>SUM(AH14:AS14)</f>
        <v>0.21</v>
      </c>
      <c r="AU14" s="483">
        <f>+AT14/R14</f>
        <v>0.21</v>
      </c>
      <c r="AV14" s="501" t="s">
        <v>859</v>
      </c>
      <c r="AW14" s="502" t="s">
        <v>860</v>
      </c>
      <c r="AX14" s="417" t="s">
        <v>865</v>
      </c>
      <c r="AY14" s="417" t="s">
        <v>450</v>
      </c>
    </row>
    <row r="15" spans="1:51" ht="174" customHeight="1">
      <c r="A15" s="468"/>
      <c r="B15" s="468"/>
      <c r="C15" s="468"/>
      <c r="D15" s="468"/>
      <c r="E15" s="468" t="s">
        <v>425</v>
      </c>
      <c r="F15" s="468"/>
      <c r="G15" s="469" t="s">
        <v>501</v>
      </c>
      <c r="H15" s="468" t="s">
        <v>450</v>
      </c>
      <c r="I15" s="469" t="s">
        <v>511</v>
      </c>
      <c r="J15" s="469" t="s">
        <v>512</v>
      </c>
      <c r="K15" s="469" t="s">
        <v>453</v>
      </c>
      <c r="L15" s="468" t="s">
        <v>450</v>
      </c>
      <c r="M15" s="468" t="s">
        <v>504</v>
      </c>
      <c r="N15" s="469" t="s">
        <v>513</v>
      </c>
      <c r="O15" s="468"/>
      <c r="P15" s="468"/>
      <c r="Q15" s="468"/>
      <c r="R15" s="470">
        <v>1</v>
      </c>
      <c r="S15" s="468"/>
      <c r="T15" s="468" t="s">
        <v>433</v>
      </c>
      <c r="U15" s="469" t="s">
        <v>514</v>
      </c>
      <c r="V15" s="468"/>
      <c r="W15" s="468"/>
      <c r="X15" s="471">
        <v>0.52</v>
      </c>
      <c r="Y15" s="468"/>
      <c r="Z15" s="468"/>
      <c r="AA15" s="471">
        <v>0.11</v>
      </c>
      <c r="AB15" s="468"/>
      <c r="AC15" s="468"/>
      <c r="AD15" s="471">
        <v>0.22</v>
      </c>
      <c r="AE15" s="468"/>
      <c r="AF15" s="468"/>
      <c r="AG15" s="471">
        <v>0.15</v>
      </c>
      <c r="AH15" s="468"/>
      <c r="AI15" s="468"/>
      <c r="AJ15" s="471">
        <v>0.48</v>
      </c>
      <c r="AK15" s="468"/>
      <c r="AL15" s="468"/>
      <c r="AM15" s="482">
        <v>0.15</v>
      </c>
      <c r="AN15" s="468"/>
      <c r="AO15" s="468"/>
      <c r="AP15" s="468"/>
      <c r="AQ15" s="468"/>
      <c r="AR15" s="468"/>
      <c r="AS15" s="468"/>
      <c r="AT15" s="482">
        <f>SUM(AH15:AS15)</f>
        <v>0.63</v>
      </c>
      <c r="AU15" s="483">
        <f>+AT15/R15</f>
        <v>0.63</v>
      </c>
      <c r="AV15" s="501" t="s">
        <v>861</v>
      </c>
      <c r="AW15" s="502" t="s">
        <v>862</v>
      </c>
      <c r="AX15" s="417" t="s">
        <v>865</v>
      </c>
      <c r="AY15" s="417" t="s">
        <v>450</v>
      </c>
    </row>
    <row r="16" spans="1:51" ht="256.5" customHeight="1">
      <c r="A16" s="121"/>
      <c r="B16" s="121"/>
      <c r="C16" s="121"/>
      <c r="D16" s="121"/>
      <c r="E16" s="121" t="s">
        <v>425</v>
      </c>
      <c r="F16" s="121"/>
      <c r="G16" s="122" t="s">
        <v>501</v>
      </c>
      <c r="H16" s="121" t="s">
        <v>450</v>
      </c>
      <c r="I16" s="122" t="s">
        <v>515</v>
      </c>
      <c r="J16" s="122" t="s">
        <v>516</v>
      </c>
      <c r="K16" s="122" t="s">
        <v>453</v>
      </c>
      <c r="L16" s="124" t="s">
        <v>450</v>
      </c>
      <c r="M16" s="124" t="s">
        <v>504</v>
      </c>
      <c r="N16" s="122" t="s">
        <v>517</v>
      </c>
      <c r="O16" s="124"/>
      <c r="P16" s="124"/>
      <c r="Q16" s="124"/>
      <c r="R16" s="293">
        <v>1</v>
      </c>
      <c r="S16" s="124"/>
      <c r="T16" s="121" t="s">
        <v>433</v>
      </c>
      <c r="U16" s="122" t="s">
        <v>518</v>
      </c>
      <c r="V16" s="127"/>
      <c r="W16" s="127"/>
      <c r="X16" s="307">
        <v>0.18</v>
      </c>
      <c r="Y16" s="379"/>
      <c r="Z16" s="379"/>
      <c r="AA16" s="307">
        <v>0.27</v>
      </c>
      <c r="AB16" s="379"/>
      <c r="AC16" s="379"/>
      <c r="AD16" s="307">
        <v>0.27</v>
      </c>
      <c r="AE16" s="379"/>
      <c r="AF16" s="379"/>
      <c r="AG16" s="307">
        <v>0.28</v>
      </c>
      <c r="AH16" s="124"/>
      <c r="AI16" s="124"/>
      <c r="AJ16" s="307">
        <v>0.18</v>
      </c>
      <c r="AK16" s="124"/>
      <c r="AL16" s="124"/>
      <c r="AM16" s="482">
        <v>0.27</v>
      </c>
      <c r="AN16" s="124"/>
      <c r="AO16" s="124"/>
      <c r="AP16" s="124"/>
      <c r="AQ16" s="124"/>
      <c r="AR16" s="124"/>
      <c r="AS16" s="124"/>
      <c r="AT16" s="482">
        <f>SUM(AH16:AS16)</f>
        <v>0.45</v>
      </c>
      <c r="AU16" s="483">
        <f>+AT16/R16</f>
        <v>0.45</v>
      </c>
      <c r="AV16" s="501" t="s">
        <v>863</v>
      </c>
      <c r="AW16" s="501" t="s">
        <v>864</v>
      </c>
      <c r="AX16" s="417" t="s">
        <v>865</v>
      </c>
      <c r="AY16" s="417" t="s">
        <v>450</v>
      </c>
    </row>
    <row r="17" spans="1:51" ht="54" customHeight="1">
      <c r="A17" s="777" t="s">
        <v>64</v>
      </c>
      <c r="B17" s="777"/>
      <c r="C17" s="777"/>
      <c r="D17" s="773" t="s">
        <v>640</v>
      </c>
      <c r="E17" s="773"/>
      <c r="F17" s="773"/>
      <c r="G17" s="773"/>
      <c r="H17" s="773"/>
      <c r="I17" s="773"/>
      <c r="J17" s="778" t="s">
        <v>300</v>
      </c>
      <c r="K17" s="778"/>
      <c r="L17" s="778"/>
      <c r="M17" s="778"/>
      <c r="N17" s="778"/>
      <c r="O17" s="778"/>
      <c r="P17" s="773" t="s">
        <v>66</v>
      </c>
      <c r="Q17" s="773"/>
      <c r="R17" s="773"/>
      <c r="S17" s="773"/>
      <c r="T17" s="773"/>
      <c r="U17" s="773"/>
      <c r="V17" s="773" t="s">
        <v>66</v>
      </c>
      <c r="W17" s="773"/>
      <c r="X17" s="773"/>
      <c r="Y17" s="773"/>
      <c r="Z17" s="773"/>
      <c r="AA17" s="773"/>
      <c r="AB17" s="773"/>
      <c r="AC17" s="773"/>
      <c r="AD17" s="773" t="s">
        <v>66</v>
      </c>
      <c r="AE17" s="773"/>
      <c r="AF17" s="773"/>
      <c r="AG17" s="773"/>
      <c r="AH17" s="773"/>
      <c r="AI17" s="773"/>
      <c r="AJ17" s="773"/>
      <c r="AK17" s="773"/>
      <c r="AL17" s="773"/>
      <c r="AM17" s="1125"/>
      <c r="AN17" s="773"/>
      <c r="AO17" s="773"/>
      <c r="AP17" s="778" t="s">
        <v>318</v>
      </c>
      <c r="AQ17" s="778"/>
      <c r="AR17" s="778"/>
      <c r="AS17" s="778"/>
      <c r="AT17" s="773" t="s">
        <v>13</v>
      </c>
      <c r="AU17" s="773"/>
      <c r="AV17" s="773"/>
      <c r="AW17" s="773"/>
      <c r="AX17" s="773"/>
      <c r="AY17" s="773"/>
    </row>
    <row r="18" spans="1:51" ht="30" customHeight="1">
      <c r="A18" s="777"/>
      <c r="B18" s="777"/>
      <c r="C18" s="777"/>
      <c r="D18" s="773" t="s">
        <v>795</v>
      </c>
      <c r="E18" s="773"/>
      <c r="F18" s="773"/>
      <c r="G18" s="773"/>
      <c r="H18" s="773"/>
      <c r="I18" s="773"/>
      <c r="J18" s="778"/>
      <c r="K18" s="778"/>
      <c r="L18" s="778"/>
      <c r="M18" s="778"/>
      <c r="N18" s="778"/>
      <c r="O18" s="778"/>
      <c r="P18" s="773" t="s">
        <v>795</v>
      </c>
      <c r="Q18" s="773"/>
      <c r="R18" s="773"/>
      <c r="S18" s="773"/>
      <c r="T18" s="773"/>
      <c r="U18" s="773"/>
      <c r="V18" s="773" t="s">
        <v>65</v>
      </c>
      <c r="W18" s="773"/>
      <c r="X18" s="773"/>
      <c r="Y18" s="773"/>
      <c r="Z18" s="773"/>
      <c r="AA18" s="773"/>
      <c r="AB18" s="773"/>
      <c r="AC18" s="773"/>
      <c r="AD18" s="773" t="s">
        <v>65</v>
      </c>
      <c r="AE18" s="773"/>
      <c r="AF18" s="773"/>
      <c r="AG18" s="773"/>
      <c r="AH18" s="773"/>
      <c r="AI18" s="773"/>
      <c r="AJ18" s="773"/>
      <c r="AK18" s="773"/>
      <c r="AL18" s="773"/>
      <c r="AM18" s="773"/>
      <c r="AN18" s="773"/>
      <c r="AO18" s="773"/>
      <c r="AP18" s="778"/>
      <c r="AQ18" s="778"/>
      <c r="AR18" s="778"/>
      <c r="AS18" s="778"/>
      <c r="AT18" s="773" t="s">
        <v>771</v>
      </c>
      <c r="AU18" s="773"/>
      <c r="AV18" s="773"/>
      <c r="AW18" s="773"/>
      <c r="AX18" s="773"/>
      <c r="AY18" s="773"/>
    </row>
    <row r="19" spans="1:51" ht="30" customHeight="1">
      <c r="A19" s="777"/>
      <c r="B19" s="777"/>
      <c r="C19" s="777"/>
      <c r="D19" s="773" t="s">
        <v>796</v>
      </c>
      <c r="E19" s="773"/>
      <c r="F19" s="773"/>
      <c r="G19" s="773"/>
      <c r="H19" s="773"/>
      <c r="I19" s="773"/>
      <c r="J19" s="778"/>
      <c r="K19" s="778"/>
      <c r="L19" s="778"/>
      <c r="M19" s="778"/>
      <c r="N19" s="778"/>
      <c r="O19" s="778"/>
      <c r="P19" s="773" t="s">
        <v>796</v>
      </c>
      <c r="Q19" s="773"/>
      <c r="R19" s="773"/>
      <c r="S19" s="773"/>
      <c r="T19" s="773"/>
      <c r="U19" s="773"/>
      <c r="V19" s="773" t="s">
        <v>297</v>
      </c>
      <c r="W19" s="773"/>
      <c r="X19" s="773"/>
      <c r="Y19" s="773"/>
      <c r="Z19" s="773"/>
      <c r="AA19" s="773"/>
      <c r="AB19" s="773"/>
      <c r="AC19" s="773"/>
      <c r="AD19" s="773" t="s">
        <v>297</v>
      </c>
      <c r="AE19" s="773"/>
      <c r="AF19" s="773"/>
      <c r="AG19" s="773"/>
      <c r="AH19" s="773"/>
      <c r="AI19" s="773"/>
      <c r="AJ19" s="773"/>
      <c r="AK19" s="773"/>
      <c r="AL19" s="773"/>
      <c r="AM19" s="773"/>
      <c r="AN19" s="773"/>
      <c r="AO19" s="773"/>
      <c r="AP19" s="778"/>
      <c r="AQ19" s="778"/>
      <c r="AR19" s="778"/>
      <c r="AS19" s="778"/>
      <c r="AT19" s="773" t="s">
        <v>75</v>
      </c>
      <c r="AU19" s="773"/>
      <c r="AV19" s="773"/>
      <c r="AW19" s="773"/>
      <c r="AX19" s="773"/>
      <c r="AY19" s="773"/>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AG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AP17:AS19"/>
    <mergeCell ref="AT17:AY17"/>
    <mergeCell ref="D18:I18"/>
    <mergeCell ref="P18:U18"/>
    <mergeCell ref="V18:AC18"/>
    <mergeCell ref="AD18:AO18"/>
    <mergeCell ref="AT18:AY18"/>
    <mergeCell ref="D19:I19"/>
    <mergeCell ref="P19:U19"/>
    <mergeCell ref="V19:AC19"/>
    <mergeCell ref="AD19:AO19"/>
    <mergeCell ref="AT19:AY19"/>
  </mergeCells>
  <printOptions horizontalCentered="1"/>
  <pageMargins left="0.1968503937007874" right="0.1968503937007874" top="0.7480314960629921" bottom="0.7480314960629921" header="0.31496062992125984" footer="0.31496062992125984"/>
  <pageSetup horizontalDpi="600" verticalDpi="600" orientation="landscape" paperSize="3" scale="29" r:id="rId4"/>
  <drawing r:id="rId3"/>
  <legacyDrawing r:id="rId2"/>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Y20"/>
  <sheetViews>
    <sheetView zoomScale="61" zoomScaleNormal="61" zoomScalePageLayoutView="0" workbookViewId="0" topLeftCell="A1">
      <selection activeCell="A1" sqref="A1:AY20"/>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23" width="7.421875" style="113" customWidth="1"/>
    <col min="24" max="24" width="8.140625" style="113" customWidth="1"/>
    <col min="25" max="26" width="7.421875" style="113" customWidth="1"/>
    <col min="27" max="27" width="8.140625" style="113" customWidth="1"/>
    <col min="28" max="29" width="7.421875" style="113" customWidth="1"/>
    <col min="30" max="30" width="8.140625" style="113" customWidth="1"/>
    <col min="31" max="45" width="7.421875" style="113" customWidth="1"/>
    <col min="46" max="46" width="17.140625" style="113" customWidth="1"/>
    <col min="47" max="47" width="15.8515625" style="217" customWidth="1"/>
    <col min="48" max="48" width="123.7109375" style="113" customWidth="1"/>
    <col min="49" max="49" width="79.7109375" style="113" bestFit="1" customWidth="1"/>
    <col min="50" max="51" width="25.0039062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705" t="s">
        <v>423</v>
      </c>
      <c r="AY1" s="706"/>
    </row>
    <row r="2" spans="1:51"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7"/>
      <c r="AX2" s="753" t="s">
        <v>418</v>
      </c>
      <c r="AY2" s="754"/>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753" t="s">
        <v>424</v>
      </c>
      <c r="AY3" s="754"/>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786</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1081">
        <v>45117</v>
      </c>
      <c r="E6" s="794"/>
      <c r="F6" s="784" t="s">
        <v>67</v>
      </c>
      <c r="G6" s="786"/>
      <c r="H6" s="783" t="s">
        <v>70</v>
      </c>
      <c r="I6" s="783"/>
      <c r="J6" s="128"/>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788"/>
      <c r="AJ6" s="788"/>
      <c r="AK6" s="788"/>
      <c r="AL6" s="788"/>
      <c r="AM6" s="788"/>
      <c r="AN6" s="788"/>
      <c r="AO6" s="788"/>
      <c r="AP6" s="788"/>
      <c r="AQ6" s="788"/>
      <c r="AR6" s="788"/>
      <c r="AS6" s="788"/>
      <c r="AT6" s="788"/>
      <c r="AU6" s="789"/>
      <c r="AV6" s="782"/>
      <c r="AW6" s="782"/>
      <c r="AX6" s="782"/>
      <c r="AY6" s="782"/>
    </row>
    <row r="7" spans="1:51" ht="15" customHeight="1">
      <c r="A7" s="793"/>
      <c r="B7" s="793"/>
      <c r="C7" s="793"/>
      <c r="D7" s="794"/>
      <c r="E7" s="794"/>
      <c r="F7" s="787"/>
      <c r="G7" s="789"/>
      <c r="H7" s="783" t="s">
        <v>68</v>
      </c>
      <c r="I7" s="783"/>
      <c r="J7" s="128"/>
      <c r="K7" s="787"/>
      <c r="L7" s="788"/>
      <c r="M7" s="788"/>
      <c r="N7" s="788"/>
      <c r="O7" s="788"/>
      <c r="P7" s="788"/>
      <c r="Q7" s="788"/>
      <c r="R7" s="788"/>
      <c r="S7" s="788"/>
      <c r="T7" s="788"/>
      <c r="U7" s="788"/>
      <c r="V7" s="116"/>
      <c r="W7" s="116"/>
      <c r="X7" s="116"/>
      <c r="Y7" s="116"/>
      <c r="Z7" s="116"/>
      <c r="AA7" s="116"/>
      <c r="AB7" s="116"/>
      <c r="AC7" s="116"/>
      <c r="AD7" s="116"/>
      <c r="AE7" s="116"/>
      <c r="AF7" s="116"/>
      <c r="AG7" s="117"/>
      <c r="AH7" s="787"/>
      <c r="AI7" s="788"/>
      <c r="AJ7" s="788"/>
      <c r="AK7" s="788"/>
      <c r="AL7" s="788"/>
      <c r="AM7" s="788"/>
      <c r="AN7" s="788"/>
      <c r="AO7" s="788"/>
      <c r="AP7" s="788"/>
      <c r="AQ7" s="788"/>
      <c r="AR7" s="788"/>
      <c r="AS7" s="788"/>
      <c r="AT7" s="788"/>
      <c r="AU7" s="789"/>
      <c r="AV7" s="782"/>
      <c r="AW7" s="782"/>
      <c r="AX7" s="782"/>
      <c r="AY7" s="782"/>
    </row>
    <row r="8" spans="1:51" ht="15" customHeight="1">
      <c r="A8" s="793"/>
      <c r="B8" s="793"/>
      <c r="C8" s="793"/>
      <c r="D8" s="794"/>
      <c r="E8" s="794"/>
      <c r="F8" s="790"/>
      <c r="G8" s="792"/>
      <c r="H8" s="783" t="s">
        <v>69</v>
      </c>
      <c r="I8" s="783"/>
      <c r="J8" s="128"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788"/>
      <c r="AJ8" s="788"/>
      <c r="AK8" s="788"/>
      <c r="AL8" s="788"/>
      <c r="AM8" s="788"/>
      <c r="AN8" s="788"/>
      <c r="AO8" s="788"/>
      <c r="AP8" s="788"/>
      <c r="AQ8" s="788"/>
      <c r="AR8" s="788"/>
      <c r="AS8" s="788"/>
      <c r="AT8" s="788"/>
      <c r="AU8" s="789"/>
      <c r="AV8" s="782"/>
      <c r="AW8" s="782"/>
      <c r="AX8" s="782"/>
      <c r="AY8" s="782"/>
    </row>
    <row r="9" spans="1:51" ht="15" customHeight="1">
      <c r="A9" s="762" t="s">
        <v>399</v>
      </c>
      <c r="B9" s="763"/>
      <c r="C9" s="764"/>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788"/>
      <c r="AJ9" s="788"/>
      <c r="AK9" s="788"/>
      <c r="AL9" s="788"/>
      <c r="AM9" s="788"/>
      <c r="AN9" s="788"/>
      <c r="AO9" s="788"/>
      <c r="AP9" s="788"/>
      <c r="AQ9" s="788"/>
      <c r="AR9" s="788"/>
      <c r="AS9" s="788"/>
      <c r="AT9" s="788"/>
      <c r="AU9" s="789"/>
      <c r="AV9" s="782"/>
      <c r="AW9" s="782"/>
      <c r="AX9" s="782"/>
      <c r="AY9" s="782"/>
    </row>
    <row r="10" spans="1:51" ht="15" customHeight="1">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292" t="s">
        <v>169</v>
      </c>
      <c r="B12" s="292" t="s">
        <v>170</v>
      </c>
      <c r="C12" s="292" t="s">
        <v>171</v>
      </c>
      <c r="D12" s="292" t="s">
        <v>178</v>
      </c>
      <c r="E12" s="292" t="s">
        <v>185</v>
      </c>
      <c r="F12" s="292" t="s">
        <v>186</v>
      </c>
      <c r="G12" s="292" t="s">
        <v>277</v>
      </c>
      <c r="H12" s="292" t="s">
        <v>184</v>
      </c>
      <c r="I12" s="775"/>
      <c r="J12" s="775"/>
      <c r="K12" s="775"/>
      <c r="L12" s="775"/>
      <c r="M12" s="775"/>
      <c r="N12" s="775"/>
      <c r="O12" s="292">
        <v>2020</v>
      </c>
      <c r="P12" s="292">
        <v>2021</v>
      </c>
      <c r="Q12" s="292">
        <v>2022</v>
      </c>
      <c r="R12" s="292">
        <v>2023</v>
      </c>
      <c r="S12" s="292">
        <v>2024</v>
      </c>
      <c r="T12" s="775"/>
      <c r="U12" s="775"/>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75"/>
      <c r="AW12" s="775"/>
      <c r="AX12" s="775"/>
      <c r="AY12" s="775"/>
    </row>
    <row r="13" spans="1:51" ht="231" customHeight="1">
      <c r="A13" s="121"/>
      <c r="B13" s="121"/>
      <c r="C13" s="121"/>
      <c r="D13" s="121"/>
      <c r="E13" s="121" t="s">
        <v>425</v>
      </c>
      <c r="F13" s="121"/>
      <c r="G13" s="152" t="s">
        <v>700</v>
      </c>
      <c r="H13" s="122" t="s">
        <v>846</v>
      </c>
      <c r="I13" s="313" t="s">
        <v>701</v>
      </c>
      <c r="J13" s="367" t="s">
        <v>702</v>
      </c>
      <c r="K13" s="122" t="s">
        <v>430</v>
      </c>
      <c r="L13" s="121" t="s">
        <v>450</v>
      </c>
      <c r="M13" s="122" t="s">
        <v>703</v>
      </c>
      <c r="N13" s="313" t="s">
        <v>704</v>
      </c>
      <c r="O13" s="368"/>
      <c r="P13" s="368"/>
      <c r="Q13" s="369"/>
      <c r="R13" s="369">
        <v>55</v>
      </c>
      <c r="S13" s="369"/>
      <c r="T13" s="370" t="s">
        <v>433</v>
      </c>
      <c r="U13" s="371" t="s">
        <v>705</v>
      </c>
      <c r="V13" s="376"/>
      <c r="W13" s="329"/>
      <c r="X13" s="377">
        <v>13</v>
      </c>
      <c r="Y13" s="377"/>
      <c r="Z13" s="377"/>
      <c r="AA13" s="377">
        <v>14</v>
      </c>
      <c r="AB13" s="377"/>
      <c r="AC13" s="377"/>
      <c r="AD13" s="377">
        <v>14</v>
      </c>
      <c r="AE13" s="377"/>
      <c r="AF13" s="377">
        <v>14</v>
      </c>
      <c r="AG13" s="377"/>
      <c r="AH13" s="124"/>
      <c r="AI13" s="124"/>
      <c r="AJ13" s="124">
        <v>1</v>
      </c>
      <c r="AK13" s="124"/>
      <c r="AL13" s="124"/>
      <c r="AM13" s="509">
        <v>26.75</v>
      </c>
      <c r="AN13" s="124"/>
      <c r="AO13" s="124"/>
      <c r="AP13" s="124"/>
      <c r="AQ13" s="124"/>
      <c r="AR13" s="124"/>
      <c r="AS13" s="124"/>
      <c r="AT13" s="508">
        <f>SUM(AH13:AS13)</f>
        <v>27.75</v>
      </c>
      <c r="AU13" s="127">
        <f>+AT13/R13</f>
        <v>0.5045454545454545</v>
      </c>
      <c r="AV13" s="503" t="s">
        <v>931</v>
      </c>
      <c r="AW13" s="504" t="s">
        <v>932</v>
      </c>
      <c r="AX13" s="481" t="s">
        <v>865</v>
      </c>
      <c r="AY13" s="481" t="s">
        <v>450</v>
      </c>
    </row>
    <row r="14" spans="1:51" ht="275.25" customHeight="1">
      <c r="A14" s="121"/>
      <c r="B14" s="121"/>
      <c r="C14" s="121"/>
      <c r="D14" s="121"/>
      <c r="E14" s="121" t="s">
        <v>425</v>
      </c>
      <c r="F14" s="121"/>
      <c r="G14" s="152" t="s">
        <v>700</v>
      </c>
      <c r="H14" s="122" t="s">
        <v>846</v>
      </c>
      <c r="I14" s="313" t="s">
        <v>701</v>
      </c>
      <c r="J14" s="313" t="s">
        <v>706</v>
      </c>
      <c r="K14" s="121" t="s">
        <v>430</v>
      </c>
      <c r="L14" s="121" t="s">
        <v>450</v>
      </c>
      <c r="M14" s="122" t="s">
        <v>707</v>
      </c>
      <c r="N14" s="313" t="s">
        <v>708</v>
      </c>
      <c r="O14" s="368"/>
      <c r="P14" s="368"/>
      <c r="Q14" s="369"/>
      <c r="R14" s="369">
        <v>150</v>
      </c>
      <c r="S14" s="369"/>
      <c r="T14" s="372" t="s">
        <v>433</v>
      </c>
      <c r="U14" s="245" t="s">
        <v>709</v>
      </c>
      <c r="V14" s="328"/>
      <c r="W14" s="328"/>
      <c r="X14" s="373">
        <v>22.5</v>
      </c>
      <c r="Y14" s="373"/>
      <c r="Z14" s="373"/>
      <c r="AA14" s="373">
        <v>52.5</v>
      </c>
      <c r="AB14" s="374"/>
      <c r="AC14" s="374"/>
      <c r="AD14" s="374">
        <v>45</v>
      </c>
      <c r="AE14" s="374"/>
      <c r="AF14" s="374"/>
      <c r="AG14" s="374">
        <v>30</v>
      </c>
      <c r="AH14" s="124"/>
      <c r="AI14" s="124"/>
      <c r="AJ14" s="124">
        <v>22.5</v>
      </c>
      <c r="AK14" s="124"/>
      <c r="AL14" s="124"/>
      <c r="AM14" s="510">
        <v>55.75</v>
      </c>
      <c r="AN14" s="124"/>
      <c r="AO14" s="124"/>
      <c r="AP14" s="124"/>
      <c r="AQ14" s="124"/>
      <c r="AR14" s="124"/>
      <c r="AS14" s="124"/>
      <c r="AT14" s="124">
        <f>SUM(AH14:AS14)</f>
        <v>78.25</v>
      </c>
      <c r="AU14" s="127">
        <f>+AT14/R14</f>
        <v>0.5216666666666666</v>
      </c>
      <c r="AV14" s="503" t="s">
        <v>939</v>
      </c>
      <c r="AW14" s="504" t="s">
        <v>940</v>
      </c>
      <c r="AX14" s="481" t="s">
        <v>865</v>
      </c>
      <c r="AY14" s="481" t="s">
        <v>450</v>
      </c>
    </row>
    <row r="15" spans="1:51" ht="378.75" customHeight="1">
      <c r="A15" s="121"/>
      <c r="B15" s="121"/>
      <c r="C15" s="121"/>
      <c r="D15" s="121"/>
      <c r="E15" s="121" t="s">
        <v>425</v>
      </c>
      <c r="F15" s="121"/>
      <c r="G15" s="152" t="s">
        <v>700</v>
      </c>
      <c r="H15" s="122" t="s">
        <v>846</v>
      </c>
      <c r="I15" s="313" t="s">
        <v>701</v>
      </c>
      <c r="J15" s="313" t="s">
        <v>710</v>
      </c>
      <c r="K15" s="121" t="s">
        <v>430</v>
      </c>
      <c r="L15" s="121" t="s">
        <v>450</v>
      </c>
      <c r="M15" s="122" t="s">
        <v>711</v>
      </c>
      <c r="N15" s="313" t="s">
        <v>712</v>
      </c>
      <c r="O15" s="124"/>
      <c r="P15" s="124"/>
      <c r="Q15" s="328"/>
      <c r="R15" s="328">
        <v>8</v>
      </c>
      <c r="S15" s="328"/>
      <c r="T15" s="372" t="s">
        <v>433</v>
      </c>
      <c r="U15" s="245" t="s">
        <v>713</v>
      </c>
      <c r="V15" s="328"/>
      <c r="W15" s="328"/>
      <c r="X15" s="328">
        <v>2</v>
      </c>
      <c r="Y15" s="328"/>
      <c r="Z15" s="328"/>
      <c r="AA15" s="328">
        <v>2</v>
      </c>
      <c r="AB15" s="328"/>
      <c r="AC15" s="328"/>
      <c r="AD15" s="328">
        <v>2</v>
      </c>
      <c r="AE15" s="328"/>
      <c r="AF15" s="328"/>
      <c r="AG15" s="328">
        <v>2</v>
      </c>
      <c r="AH15" s="124"/>
      <c r="AI15" s="124"/>
      <c r="AJ15" s="124">
        <v>3</v>
      </c>
      <c r="AK15" s="124"/>
      <c r="AL15" s="124"/>
      <c r="AM15" s="509">
        <v>2</v>
      </c>
      <c r="AN15" s="124"/>
      <c r="AO15" s="124"/>
      <c r="AP15" s="124"/>
      <c r="AQ15" s="124"/>
      <c r="AR15" s="124"/>
      <c r="AS15" s="124"/>
      <c r="AT15" s="124">
        <f>SUM(AH15:AS15)</f>
        <v>5</v>
      </c>
      <c r="AU15" s="127">
        <f>+AT15/R15</f>
        <v>0.625</v>
      </c>
      <c r="AV15" s="503" t="s">
        <v>934</v>
      </c>
      <c r="AW15" s="505" t="s">
        <v>941</v>
      </c>
      <c r="AX15" s="481" t="s">
        <v>865</v>
      </c>
      <c r="AY15" s="481" t="s">
        <v>450</v>
      </c>
    </row>
    <row r="16" spans="1:51" ht="309.75" customHeight="1">
      <c r="A16" s="121"/>
      <c r="B16" s="121"/>
      <c r="C16" s="121"/>
      <c r="D16" s="121"/>
      <c r="E16" s="121" t="s">
        <v>425</v>
      </c>
      <c r="F16" s="121"/>
      <c r="G16" s="152" t="s">
        <v>700</v>
      </c>
      <c r="H16" s="122" t="s">
        <v>846</v>
      </c>
      <c r="I16" s="313" t="s">
        <v>701</v>
      </c>
      <c r="J16" s="313" t="s">
        <v>714</v>
      </c>
      <c r="K16" s="121" t="s">
        <v>430</v>
      </c>
      <c r="L16" s="121" t="s">
        <v>450</v>
      </c>
      <c r="M16" s="122" t="s">
        <v>431</v>
      </c>
      <c r="N16" s="313" t="s">
        <v>715</v>
      </c>
      <c r="O16" s="124"/>
      <c r="P16" s="124"/>
      <c r="Q16" s="375"/>
      <c r="R16" s="375">
        <v>1</v>
      </c>
      <c r="S16" s="328"/>
      <c r="T16" s="372" t="s">
        <v>433</v>
      </c>
      <c r="U16" s="245" t="s">
        <v>716</v>
      </c>
      <c r="V16" s="328"/>
      <c r="W16" s="328"/>
      <c r="X16" s="327">
        <v>0.25</v>
      </c>
      <c r="Y16" s="328"/>
      <c r="Z16" s="328"/>
      <c r="AA16" s="327">
        <v>0.25</v>
      </c>
      <c r="AB16" s="328"/>
      <c r="AC16" s="328"/>
      <c r="AD16" s="327">
        <v>0.25</v>
      </c>
      <c r="AE16" s="328"/>
      <c r="AF16" s="328"/>
      <c r="AG16" s="327">
        <v>0.25</v>
      </c>
      <c r="AH16" s="124"/>
      <c r="AI16" s="124"/>
      <c r="AJ16" s="127">
        <v>0.25</v>
      </c>
      <c r="AK16" s="124"/>
      <c r="AL16" s="124"/>
      <c r="AM16" s="484">
        <v>0.25</v>
      </c>
      <c r="AN16" s="124"/>
      <c r="AO16" s="124"/>
      <c r="AP16" s="124"/>
      <c r="AQ16" s="124"/>
      <c r="AR16" s="124"/>
      <c r="AS16" s="124"/>
      <c r="AT16" s="127">
        <f>SUM(AH16:AS16)</f>
        <v>0.5</v>
      </c>
      <c r="AU16" s="127">
        <f>+AT16/R16</f>
        <v>0.5</v>
      </c>
      <c r="AV16" s="506" t="s">
        <v>935</v>
      </c>
      <c r="AW16" s="507" t="s">
        <v>936</v>
      </c>
      <c r="AX16" s="481" t="s">
        <v>865</v>
      </c>
      <c r="AY16" s="481" t="s">
        <v>450</v>
      </c>
    </row>
    <row r="17" spans="1:51" ht="409.5" customHeight="1">
      <c r="A17" s="121"/>
      <c r="B17" s="121"/>
      <c r="C17" s="121"/>
      <c r="D17" s="121"/>
      <c r="E17" s="121" t="s">
        <v>425</v>
      </c>
      <c r="F17" s="121"/>
      <c r="G17" s="152" t="s">
        <v>700</v>
      </c>
      <c r="H17" s="122" t="s">
        <v>846</v>
      </c>
      <c r="I17" s="313" t="s">
        <v>701</v>
      </c>
      <c r="J17" s="313" t="s">
        <v>717</v>
      </c>
      <c r="K17" s="122" t="s">
        <v>430</v>
      </c>
      <c r="L17" s="121" t="s">
        <v>450</v>
      </c>
      <c r="M17" s="122" t="s">
        <v>431</v>
      </c>
      <c r="N17" s="313" t="s">
        <v>718</v>
      </c>
      <c r="O17" s="124"/>
      <c r="P17" s="124"/>
      <c r="Q17" s="375"/>
      <c r="R17" s="375">
        <v>1</v>
      </c>
      <c r="S17" s="328"/>
      <c r="T17" s="372" t="s">
        <v>433</v>
      </c>
      <c r="U17" s="245" t="s">
        <v>716</v>
      </c>
      <c r="V17" s="328"/>
      <c r="W17" s="328"/>
      <c r="X17" s="327">
        <v>0.25</v>
      </c>
      <c r="Y17" s="328"/>
      <c r="Z17" s="328"/>
      <c r="AA17" s="327">
        <v>0.25</v>
      </c>
      <c r="AB17" s="328"/>
      <c r="AC17" s="328"/>
      <c r="AD17" s="327">
        <v>0.25</v>
      </c>
      <c r="AE17" s="328"/>
      <c r="AF17" s="328"/>
      <c r="AG17" s="327">
        <v>0.25</v>
      </c>
      <c r="AH17" s="124"/>
      <c r="AI17" s="124"/>
      <c r="AJ17" s="327">
        <v>0.25</v>
      </c>
      <c r="AK17" s="124"/>
      <c r="AL17" s="124"/>
      <c r="AM17" s="484">
        <v>0.25</v>
      </c>
      <c r="AN17" s="124"/>
      <c r="AO17" s="124"/>
      <c r="AP17" s="124"/>
      <c r="AQ17" s="124"/>
      <c r="AR17" s="124"/>
      <c r="AS17" s="124"/>
      <c r="AT17" s="127">
        <f>SUM(AH17:AS17)</f>
        <v>0.5</v>
      </c>
      <c r="AU17" s="127">
        <f>+AT17/R17</f>
        <v>0.5</v>
      </c>
      <c r="AV17" s="506" t="s">
        <v>937</v>
      </c>
      <c r="AW17" s="507" t="s">
        <v>938</v>
      </c>
      <c r="AX17" s="481" t="s">
        <v>865</v>
      </c>
      <c r="AY17" s="481" t="s">
        <v>450</v>
      </c>
    </row>
    <row r="18" spans="1:51" ht="54" customHeight="1">
      <c r="A18" s="777" t="s">
        <v>64</v>
      </c>
      <c r="B18" s="777"/>
      <c r="C18" s="777"/>
      <c r="D18" s="773" t="s">
        <v>66</v>
      </c>
      <c r="E18" s="773"/>
      <c r="F18" s="773"/>
      <c r="G18" s="773"/>
      <c r="H18" s="773"/>
      <c r="I18" s="773"/>
      <c r="J18" s="778" t="s">
        <v>300</v>
      </c>
      <c r="K18" s="778"/>
      <c r="L18" s="778"/>
      <c r="M18" s="778"/>
      <c r="N18" s="778"/>
      <c r="O18" s="778"/>
      <c r="P18" s="773" t="s">
        <v>66</v>
      </c>
      <c r="Q18" s="773"/>
      <c r="R18" s="773"/>
      <c r="S18" s="773"/>
      <c r="T18" s="773"/>
      <c r="U18" s="773"/>
      <c r="V18" s="773" t="s">
        <v>66</v>
      </c>
      <c r="W18" s="773"/>
      <c r="X18" s="773"/>
      <c r="Y18" s="773"/>
      <c r="Z18" s="773"/>
      <c r="AA18" s="773"/>
      <c r="AB18" s="773"/>
      <c r="AC18" s="773"/>
      <c r="AD18" s="773" t="s">
        <v>66</v>
      </c>
      <c r="AE18" s="773"/>
      <c r="AF18" s="773"/>
      <c r="AG18" s="773"/>
      <c r="AH18" s="773"/>
      <c r="AI18" s="773"/>
      <c r="AJ18" s="773"/>
      <c r="AK18" s="773"/>
      <c r="AL18" s="773"/>
      <c r="AM18" s="773"/>
      <c r="AN18" s="773"/>
      <c r="AO18" s="773"/>
      <c r="AP18" s="778" t="s">
        <v>318</v>
      </c>
      <c r="AQ18" s="778"/>
      <c r="AR18" s="778"/>
      <c r="AS18" s="778"/>
      <c r="AT18" s="773" t="s">
        <v>13</v>
      </c>
      <c r="AU18" s="773"/>
      <c r="AV18" s="773"/>
      <c r="AW18" s="773"/>
      <c r="AX18" s="773"/>
      <c r="AY18" s="773"/>
    </row>
    <row r="19" spans="1:51" ht="30" customHeight="1">
      <c r="A19" s="777"/>
      <c r="B19" s="777"/>
      <c r="C19" s="777"/>
      <c r="D19" s="773" t="s">
        <v>816</v>
      </c>
      <c r="E19" s="773"/>
      <c r="F19" s="773"/>
      <c r="G19" s="773"/>
      <c r="H19" s="773"/>
      <c r="I19" s="773"/>
      <c r="J19" s="778"/>
      <c r="K19" s="778"/>
      <c r="L19" s="778"/>
      <c r="M19" s="778"/>
      <c r="N19" s="778"/>
      <c r="O19" s="778"/>
      <c r="P19" s="773" t="s">
        <v>954</v>
      </c>
      <c r="Q19" s="773"/>
      <c r="R19" s="773"/>
      <c r="S19" s="773"/>
      <c r="T19" s="773"/>
      <c r="U19" s="773"/>
      <c r="V19" s="773" t="s">
        <v>65</v>
      </c>
      <c r="W19" s="773"/>
      <c r="X19" s="773"/>
      <c r="Y19" s="773"/>
      <c r="Z19" s="773"/>
      <c r="AA19" s="773"/>
      <c r="AB19" s="773"/>
      <c r="AC19" s="773"/>
      <c r="AD19" s="773" t="s">
        <v>65</v>
      </c>
      <c r="AE19" s="773"/>
      <c r="AF19" s="773"/>
      <c r="AG19" s="773"/>
      <c r="AH19" s="773"/>
      <c r="AI19" s="773"/>
      <c r="AJ19" s="773"/>
      <c r="AK19" s="773"/>
      <c r="AL19" s="773"/>
      <c r="AM19" s="773"/>
      <c r="AN19" s="773"/>
      <c r="AO19" s="773"/>
      <c r="AP19" s="778"/>
      <c r="AQ19" s="778"/>
      <c r="AR19" s="778"/>
      <c r="AS19" s="778"/>
      <c r="AT19" s="773" t="s">
        <v>771</v>
      </c>
      <c r="AU19" s="773"/>
      <c r="AV19" s="773"/>
      <c r="AW19" s="773"/>
      <c r="AX19" s="773"/>
      <c r="AY19" s="773"/>
    </row>
    <row r="20" spans="1:51" ht="30" customHeight="1">
      <c r="A20" s="777"/>
      <c r="B20" s="777"/>
      <c r="C20" s="777"/>
      <c r="D20" s="773" t="s">
        <v>817</v>
      </c>
      <c r="E20" s="773"/>
      <c r="F20" s="773"/>
      <c r="G20" s="773"/>
      <c r="H20" s="773"/>
      <c r="I20" s="773"/>
      <c r="J20" s="778"/>
      <c r="K20" s="778"/>
      <c r="L20" s="778"/>
      <c r="M20" s="778"/>
      <c r="N20" s="778"/>
      <c r="O20" s="778"/>
      <c r="P20" s="773" t="s">
        <v>818</v>
      </c>
      <c r="Q20" s="773"/>
      <c r="R20" s="773"/>
      <c r="S20" s="773"/>
      <c r="T20" s="773"/>
      <c r="U20" s="773"/>
      <c r="V20" s="773" t="s">
        <v>297</v>
      </c>
      <c r="W20" s="773"/>
      <c r="X20" s="773"/>
      <c r="Y20" s="773"/>
      <c r="Z20" s="773"/>
      <c r="AA20" s="773"/>
      <c r="AB20" s="773"/>
      <c r="AC20" s="773"/>
      <c r="AD20" s="773" t="s">
        <v>297</v>
      </c>
      <c r="AE20" s="773"/>
      <c r="AF20" s="773"/>
      <c r="AG20" s="773"/>
      <c r="AH20" s="773"/>
      <c r="AI20" s="773"/>
      <c r="AJ20" s="773"/>
      <c r="AK20" s="773"/>
      <c r="AL20" s="773"/>
      <c r="AM20" s="773"/>
      <c r="AN20" s="773"/>
      <c r="AO20" s="773"/>
      <c r="AP20" s="778"/>
      <c r="AQ20" s="778"/>
      <c r="AR20" s="778"/>
      <c r="AS20" s="778"/>
      <c r="AT20" s="773" t="s">
        <v>75</v>
      </c>
      <c r="AU20" s="773"/>
      <c r="AV20" s="773"/>
      <c r="AW20" s="773"/>
      <c r="AX20" s="773"/>
      <c r="AY20" s="773"/>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5" r:id="rId4"/>
  <drawing r:id="rId3"/>
  <legacyDrawing r:id="rId2"/>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AY26"/>
  <sheetViews>
    <sheetView zoomScale="76" zoomScaleNormal="76" zoomScalePageLayoutView="0" workbookViewId="0" topLeftCell="A1">
      <selection activeCell="A1" sqref="A1:AY19"/>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17.57421875" style="113" customWidth="1"/>
    <col min="8" max="8" width="14.7109375" style="113" customWidth="1"/>
    <col min="9" max="9" width="39.7109375" style="113" customWidth="1"/>
    <col min="10" max="10" width="32.421875" style="113" customWidth="1"/>
    <col min="11" max="11" width="16.8515625" style="113" customWidth="1"/>
    <col min="12" max="13" width="15.28125" style="113" customWidth="1"/>
    <col min="14" max="14" width="47.57421875" style="113" customWidth="1"/>
    <col min="15" max="19" width="8.7109375" style="113" customWidth="1"/>
    <col min="20" max="20" width="22.28125" style="113" customWidth="1"/>
    <col min="21" max="21" width="35.57421875" style="113" customWidth="1"/>
    <col min="22" max="45" width="8.8515625" style="113" customWidth="1"/>
    <col min="46" max="46" width="17.140625" style="113" customWidth="1"/>
    <col min="47" max="47" width="15.8515625" style="217" customWidth="1"/>
    <col min="48" max="48" width="105.7109375" style="113" customWidth="1"/>
    <col min="49" max="49" width="132.00390625" style="113" customWidth="1"/>
    <col min="50" max="51" width="24.421875" style="113" customWidth="1"/>
    <col min="52" max="16384" width="10.8515625" style="113" customWidth="1"/>
  </cols>
  <sheetData>
    <row r="1" spans="1:51" ht="15.75" customHeight="1">
      <c r="A1" s="1105" t="s">
        <v>16</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c r="AV1" s="1106"/>
      <c r="AW1" s="1107"/>
      <c r="AX1" s="1051" t="s">
        <v>423</v>
      </c>
      <c r="AY1" s="1052"/>
    </row>
    <row r="2" spans="1:51" ht="15.75" customHeight="1">
      <c r="A2" s="1105" t="s">
        <v>17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7"/>
      <c r="AX2" s="1051" t="s">
        <v>418</v>
      </c>
      <c r="AY2" s="1052"/>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1051" t="s">
        <v>424</v>
      </c>
      <c r="AY3" s="1052"/>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787</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1081">
        <v>45117</v>
      </c>
      <c r="E6" s="794"/>
      <c r="F6" s="784" t="s">
        <v>67</v>
      </c>
      <c r="G6" s="786"/>
      <c r="H6" s="1123" t="s">
        <v>70</v>
      </c>
      <c r="I6" s="1123"/>
      <c r="J6" s="121"/>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788"/>
      <c r="AJ6" s="788"/>
      <c r="AK6" s="788"/>
      <c r="AL6" s="788"/>
      <c r="AM6" s="788"/>
      <c r="AN6" s="788"/>
      <c r="AO6" s="788"/>
      <c r="AP6" s="788"/>
      <c r="AQ6" s="788"/>
      <c r="AR6" s="788"/>
      <c r="AS6" s="788"/>
      <c r="AT6" s="788"/>
      <c r="AU6" s="789"/>
      <c r="AV6" s="782"/>
      <c r="AW6" s="782"/>
      <c r="AX6" s="782"/>
      <c r="AY6" s="782"/>
    </row>
    <row r="7" spans="1:51" ht="15" customHeight="1">
      <c r="A7" s="793"/>
      <c r="B7" s="793"/>
      <c r="C7" s="793"/>
      <c r="D7" s="794"/>
      <c r="E7" s="794"/>
      <c r="F7" s="787"/>
      <c r="G7" s="789"/>
      <c r="H7" s="1123" t="s">
        <v>68</v>
      </c>
      <c r="I7" s="1123"/>
      <c r="J7" s="121"/>
      <c r="K7" s="787"/>
      <c r="L7" s="788"/>
      <c r="M7" s="788"/>
      <c r="N7" s="788"/>
      <c r="O7" s="788"/>
      <c r="P7" s="788"/>
      <c r="Q7" s="788"/>
      <c r="R7" s="788"/>
      <c r="S7" s="788"/>
      <c r="T7" s="788"/>
      <c r="U7" s="788"/>
      <c r="V7" s="116"/>
      <c r="W7" s="116"/>
      <c r="X7" s="116"/>
      <c r="Y7" s="116"/>
      <c r="Z7" s="116"/>
      <c r="AA7" s="116"/>
      <c r="AB7" s="116"/>
      <c r="AC7" s="116"/>
      <c r="AD7" s="116"/>
      <c r="AE7" s="116"/>
      <c r="AF7" s="116"/>
      <c r="AG7" s="117"/>
      <c r="AH7" s="787"/>
      <c r="AI7" s="788"/>
      <c r="AJ7" s="788"/>
      <c r="AK7" s="788"/>
      <c r="AL7" s="788"/>
      <c r="AM7" s="788"/>
      <c r="AN7" s="788"/>
      <c r="AO7" s="788"/>
      <c r="AP7" s="788"/>
      <c r="AQ7" s="788"/>
      <c r="AR7" s="788"/>
      <c r="AS7" s="788"/>
      <c r="AT7" s="788"/>
      <c r="AU7" s="789"/>
      <c r="AV7" s="782"/>
      <c r="AW7" s="782"/>
      <c r="AX7" s="782"/>
      <c r="AY7" s="782"/>
    </row>
    <row r="8" spans="1:51" ht="15" customHeight="1">
      <c r="A8" s="793"/>
      <c r="B8" s="793"/>
      <c r="C8" s="793"/>
      <c r="D8" s="794"/>
      <c r="E8" s="794"/>
      <c r="F8" s="790"/>
      <c r="G8" s="792"/>
      <c r="H8" s="1123" t="s">
        <v>69</v>
      </c>
      <c r="I8" s="1123"/>
      <c r="J8" s="121"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788"/>
      <c r="AJ8" s="788"/>
      <c r="AK8" s="788"/>
      <c r="AL8" s="788"/>
      <c r="AM8" s="788"/>
      <c r="AN8" s="788"/>
      <c r="AO8" s="788"/>
      <c r="AP8" s="788"/>
      <c r="AQ8" s="788"/>
      <c r="AR8" s="788"/>
      <c r="AS8" s="788"/>
      <c r="AT8" s="788"/>
      <c r="AU8" s="789"/>
      <c r="AV8" s="782"/>
      <c r="AW8" s="782"/>
      <c r="AX8" s="782"/>
      <c r="AY8" s="782"/>
    </row>
    <row r="9" spans="1:51" ht="15" customHeight="1">
      <c r="A9" s="762" t="s">
        <v>399</v>
      </c>
      <c r="B9" s="763"/>
      <c r="C9" s="764"/>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788"/>
      <c r="AJ9" s="788"/>
      <c r="AK9" s="788"/>
      <c r="AL9" s="788"/>
      <c r="AM9" s="788"/>
      <c r="AN9" s="788"/>
      <c r="AO9" s="788"/>
      <c r="AP9" s="788"/>
      <c r="AQ9" s="788"/>
      <c r="AR9" s="788"/>
      <c r="AS9" s="788"/>
      <c r="AT9" s="788"/>
      <c r="AU9" s="789"/>
      <c r="AV9" s="782"/>
      <c r="AW9" s="782"/>
      <c r="AX9" s="782"/>
      <c r="AY9" s="782"/>
    </row>
    <row r="10" spans="1:51" ht="15" customHeight="1">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420" t="s">
        <v>169</v>
      </c>
      <c r="B12" s="420" t="s">
        <v>170</v>
      </c>
      <c r="C12" s="420" t="s">
        <v>171</v>
      </c>
      <c r="D12" s="420" t="s">
        <v>178</v>
      </c>
      <c r="E12" s="420" t="s">
        <v>185</v>
      </c>
      <c r="F12" s="420" t="s">
        <v>186</v>
      </c>
      <c r="G12" s="420" t="s">
        <v>277</v>
      </c>
      <c r="H12" s="420" t="s">
        <v>184</v>
      </c>
      <c r="I12" s="775"/>
      <c r="J12" s="775"/>
      <c r="K12" s="775"/>
      <c r="L12" s="775"/>
      <c r="M12" s="775"/>
      <c r="N12" s="775"/>
      <c r="O12" s="420">
        <v>2020</v>
      </c>
      <c r="P12" s="420">
        <v>2021</v>
      </c>
      <c r="Q12" s="420">
        <v>2022</v>
      </c>
      <c r="R12" s="420">
        <v>2023</v>
      </c>
      <c r="S12" s="420">
        <v>2024</v>
      </c>
      <c r="T12" s="775"/>
      <c r="U12" s="775"/>
      <c r="V12" s="419" t="s">
        <v>39</v>
      </c>
      <c r="W12" s="419" t="s">
        <v>40</v>
      </c>
      <c r="X12" s="419" t="s">
        <v>41</v>
      </c>
      <c r="Y12" s="419" t="s">
        <v>42</v>
      </c>
      <c r="Z12" s="419" t="s">
        <v>43</v>
      </c>
      <c r="AA12" s="419" t="s">
        <v>44</v>
      </c>
      <c r="AB12" s="419" t="s">
        <v>45</v>
      </c>
      <c r="AC12" s="419" t="s">
        <v>46</v>
      </c>
      <c r="AD12" s="419" t="s">
        <v>47</v>
      </c>
      <c r="AE12" s="419" t="s">
        <v>48</v>
      </c>
      <c r="AF12" s="419" t="s">
        <v>49</v>
      </c>
      <c r="AG12" s="419" t="s">
        <v>50</v>
      </c>
      <c r="AH12" s="419" t="s">
        <v>39</v>
      </c>
      <c r="AI12" s="419" t="s">
        <v>40</v>
      </c>
      <c r="AJ12" s="419" t="s">
        <v>41</v>
      </c>
      <c r="AK12" s="419" t="s">
        <v>42</v>
      </c>
      <c r="AL12" s="419" t="s">
        <v>43</v>
      </c>
      <c r="AM12" s="419" t="s">
        <v>44</v>
      </c>
      <c r="AN12" s="419" t="s">
        <v>45</v>
      </c>
      <c r="AO12" s="419" t="s">
        <v>46</v>
      </c>
      <c r="AP12" s="419" t="s">
        <v>47</v>
      </c>
      <c r="AQ12" s="419" t="s">
        <v>48</v>
      </c>
      <c r="AR12" s="419" t="s">
        <v>49</v>
      </c>
      <c r="AS12" s="419" t="s">
        <v>50</v>
      </c>
      <c r="AT12" s="420" t="s">
        <v>413</v>
      </c>
      <c r="AU12" s="216" t="s">
        <v>88</v>
      </c>
      <c r="AV12" s="775"/>
      <c r="AW12" s="775"/>
      <c r="AX12" s="775"/>
      <c r="AY12" s="775"/>
    </row>
    <row r="13" spans="1:51" ht="386.25" customHeight="1">
      <c r="A13" s="121"/>
      <c r="B13" s="121"/>
      <c r="C13" s="121"/>
      <c r="D13" s="121"/>
      <c r="E13" s="121" t="s">
        <v>425</v>
      </c>
      <c r="F13" s="121"/>
      <c r="G13" s="465" t="s">
        <v>602</v>
      </c>
      <c r="H13" s="121"/>
      <c r="I13" s="313" t="s">
        <v>603</v>
      </c>
      <c r="J13" s="313" t="s">
        <v>604</v>
      </c>
      <c r="K13" s="124" t="s">
        <v>430</v>
      </c>
      <c r="L13" s="121" t="s">
        <v>450</v>
      </c>
      <c r="M13" s="122" t="s">
        <v>431</v>
      </c>
      <c r="N13" s="313" t="s">
        <v>605</v>
      </c>
      <c r="O13" s="123"/>
      <c r="P13" s="123"/>
      <c r="Q13" s="123"/>
      <c r="R13" s="379">
        <v>1</v>
      </c>
      <c r="S13" s="123"/>
      <c r="T13" s="121" t="s">
        <v>460</v>
      </c>
      <c r="U13" s="122" t="s">
        <v>606</v>
      </c>
      <c r="V13" s="378">
        <v>0.08333333333333334</v>
      </c>
      <c r="W13" s="378">
        <v>0.08333333333333334</v>
      </c>
      <c r="X13" s="378">
        <v>0.08333333333333334</v>
      </c>
      <c r="Y13" s="378">
        <v>0.08333333333333334</v>
      </c>
      <c r="Z13" s="378">
        <v>0.08333333333333334</v>
      </c>
      <c r="AA13" s="378">
        <v>0.08333333333333334</v>
      </c>
      <c r="AB13" s="378">
        <v>0.08333333333333334</v>
      </c>
      <c r="AC13" s="378">
        <v>0.08333333333333334</v>
      </c>
      <c r="AD13" s="378">
        <v>0.08333333333333334</v>
      </c>
      <c r="AE13" s="378">
        <v>0.08333333333333334</v>
      </c>
      <c r="AF13" s="378">
        <v>0.08333333333333334</v>
      </c>
      <c r="AG13" s="378">
        <v>0.08333333333333334</v>
      </c>
      <c r="AH13" s="378">
        <v>0.08333333333333334</v>
      </c>
      <c r="AI13" s="378">
        <v>0.08333333333333334</v>
      </c>
      <c r="AJ13" s="378">
        <v>0.08333333333333334</v>
      </c>
      <c r="AK13" s="461">
        <v>0.0833</v>
      </c>
      <c r="AL13" s="461">
        <v>0.0833</v>
      </c>
      <c r="AM13" s="461">
        <v>0.0833333333333333</v>
      </c>
      <c r="AN13" s="124"/>
      <c r="AO13" s="124"/>
      <c r="AP13" s="124"/>
      <c r="AQ13" s="124"/>
      <c r="AR13" s="124"/>
      <c r="AS13" s="124"/>
      <c r="AT13" s="411">
        <f>SUM(AH13:AS13)</f>
        <v>0.4999333333333333</v>
      </c>
      <c r="AU13" s="127">
        <f>+AT13/R13</f>
        <v>0.4999333333333333</v>
      </c>
      <c r="AV13" s="511" t="s">
        <v>942</v>
      </c>
      <c r="AW13" s="512" t="s">
        <v>943</v>
      </c>
      <c r="AX13" s="513" t="s">
        <v>933</v>
      </c>
      <c r="AY13" s="513" t="s">
        <v>933</v>
      </c>
    </row>
    <row r="14" spans="1:51" ht="177.75" customHeight="1">
      <c r="A14" s="121"/>
      <c r="B14" s="121"/>
      <c r="C14" s="121"/>
      <c r="D14" s="121"/>
      <c r="E14" s="121" t="s">
        <v>425</v>
      </c>
      <c r="F14" s="121"/>
      <c r="G14" s="465" t="s">
        <v>602</v>
      </c>
      <c r="H14" s="121"/>
      <c r="I14" s="313" t="s">
        <v>607</v>
      </c>
      <c r="J14" s="313" t="s">
        <v>608</v>
      </c>
      <c r="K14" s="124" t="s">
        <v>430</v>
      </c>
      <c r="L14" s="124" t="s">
        <v>450</v>
      </c>
      <c r="M14" s="121" t="s">
        <v>431</v>
      </c>
      <c r="N14" s="313" t="s">
        <v>609</v>
      </c>
      <c r="O14" s="124"/>
      <c r="P14" s="124"/>
      <c r="Q14" s="124"/>
      <c r="R14" s="379">
        <v>1</v>
      </c>
      <c r="S14" s="124"/>
      <c r="T14" s="122" t="s">
        <v>610</v>
      </c>
      <c r="U14" s="122" t="s">
        <v>611</v>
      </c>
      <c r="V14" s="380">
        <v>0.25</v>
      </c>
      <c r="W14" s="381"/>
      <c r="X14" s="381"/>
      <c r="Y14" s="380">
        <v>0.25</v>
      </c>
      <c r="Z14" s="381"/>
      <c r="AA14" s="381"/>
      <c r="AB14" s="380">
        <v>0.5</v>
      </c>
      <c r="AC14" s="327"/>
      <c r="AD14" s="328"/>
      <c r="AE14" s="124"/>
      <c r="AF14" s="124"/>
      <c r="AG14" s="124"/>
      <c r="AH14" s="379">
        <v>0.25</v>
      </c>
      <c r="AI14" s="124"/>
      <c r="AJ14" s="124"/>
      <c r="AK14" s="127">
        <v>0.25</v>
      </c>
      <c r="AL14" s="124"/>
      <c r="AM14" s="124"/>
      <c r="AN14" s="124"/>
      <c r="AO14" s="124"/>
      <c r="AP14" s="124"/>
      <c r="AQ14" s="124"/>
      <c r="AR14" s="124"/>
      <c r="AS14" s="124"/>
      <c r="AT14" s="127">
        <f>SUM(AH14:AS14)</f>
        <v>0.5</v>
      </c>
      <c r="AU14" s="127">
        <f>+AT14/R14</f>
        <v>0.5</v>
      </c>
      <c r="AV14" s="514" t="s">
        <v>895</v>
      </c>
      <c r="AW14" s="513" t="s">
        <v>944</v>
      </c>
      <c r="AX14" s="515" t="s">
        <v>933</v>
      </c>
      <c r="AY14" s="515" t="s">
        <v>933</v>
      </c>
    </row>
    <row r="15" spans="1:51" ht="107.25" customHeight="1">
      <c r="A15" s="121"/>
      <c r="B15" s="121"/>
      <c r="C15" s="121"/>
      <c r="D15" s="121"/>
      <c r="E15" s="121" t="s">
        <v>425</v>
      </c>
      <c r="F15" s="121"/>
      <c r="G15" s="465" t="s">
        <v>602</v>
      </c>
      <c r="H15" s="121"/>
      <c r="I15" s="313" t="s">
        <v>612</v>
      </c>
      <c r="J15" s="313" t="s">
        <v>613</v>
      </c>
      <c r="K15" s="124" t="s">
        <v>453</v>
      </c>
      <c r="L15" s="124" t="s">
        <v>450</v>
      </c>
      <c r="M15" s="122" t="s">
        <v>614</v>
      </c>
      <c r="N15" s="313" t="s">
        <v>615</v>
      </c>
      <c r="O15" s="124"/>
      <c r="P15" s="124"/>
      <c r="Q15" s="124"/>
      <c r="R15" s="379">
        <v>1</v>
      </c>
      <c r="S15" s="124"/>
      <c r="T15" s="121" t="s">
        <v>460</v>
      </c>
      <c r="U15" s="122" t="s">
        <v>616</v>
      </c>
      <c r="V15" s="382">
        <v>1</v>
      </c>
      <c r="W15" s="382">
        <v>1</v>
      </c>
      <c r="X15" s="382">
        <v>1</v>
      </c>
      <c r="Y15" s="382">
        <v>1</v>
      </c>
      <c r="Z15" s="382">
        <v>1</v>
      </c>
      <c r="AA15" s="382">
        <v>1</v>
      </c>
      <c r="AB15" s="382">
        <v>1</v>
      </c>
      <c r="AC15" s="382">
        <v>1</v>
      </c>
      <c r="AD15" s="382">
        <v>1</v>
      </c>
      <c r="AE15" s="382">
        <v>1</v>
      </c>
      <c r="AF15" s="382">
        <v>1</v>
      </c>
      <c r="AG15" s="382">
        <v>1</v>
      </c>
      <c r="AH15" s="380">
        <v>1</v>
      </c>
      <c r="AI15" s="380">
        <v>1</v>
      </c>
      <c r="AJ15" s="380">
        <v>1</v>
      </c>
      <c r="AK15" s="307">
        <v>1</v>
      </c>
      <c r="AL15" s="307">
        <v>1</v>
      </c>
      <c r="AM15" s="489">
        <v>1</v>
      </c>
      <c r="AN15" s="124"/>
      <c r="AO15" s="124"/>
      <c r="AP15" s="124"/>
      <c r="AQ15" s="124"/>
      <c r="AR15" s="124"/>
      <c r="AS15" s="124"/>
      <c r="AT15" s="127">
        <f>AVERAGE(AH15:AS15)</f>
        <v>1</v>
      </c>
      <c r="AU15" s="379">
        <f>+(SUM(AH15:AS15)/+SUM(V15:AG15))</f>
        <v>0.5</v>
      </c>
      <c r="AV15" s="472" t="s">
        <v>945</v>
      </c>
      <c r="AW15" s="472" t="s">
        <v>946</v>
      </c>
      <c r="AX15" s="515" t="s">
        <v>933</v>
      </c>
      <c r="AY15" s="515" t="s">
        <v>933</v>
      </c>
    </row>
    <row r="16" spans="1:51" ht="107.25" customHeight="1">
      <c r="A16" s="121"/>
      <c r="B16" s="121"/>
      <c r="C16" s="121"/>
      <c r="D16" s="121"/>
      <c r="E16" s="121" t="s">
        <v>425</v>
      </c>
      <c r="F16" s="121"/>
      <c r="G16" s="465" t="s">
        <v>602</v>
      </c>
      <c r="H16" s="121"/>
      <c r="I16" s="313" t="s">
        <v>617</v>
      </c>
      <c r="J16" s="313" t="s">
        <v>618</v>
      </c>
      <c r="K16" s="124" t="s">
        <v>430</v>
      </c>
      <c r="L16" s="124" t="s">
        <v>450</v>
      </c>
      <c r="M16" s="122" t="s">
        <v>619</v>
      </c>
      <c r="N16" s="313" t="s">
        <v>620</v>
      </c>
      <c r="O16" s="124"/>
      <c r="P16" s="124"/>
      <c r="Q16" s="124"/>
      <c r="R16" s="379">
        <v>1</v>
      </c>
      <c r="S16" s="124"/>
      <c r="T16" s="121" t="s">
        <v>460</v>
      </c>
      <c r="U16" s="122" t="s">
        <v>621</v>
      </c>
      <c r="V16" s="378">
        <v>0.08333333333333334</v>
      </c>
      <c r="W16" s="378">
        <v>0.08333333333333334</v>
      </c>
      <c r="X16" s="378">
        <v>0.08333333333333334</v>
      </c>
      <c r="Y16" s="378">
        <v>0.08333333333333334</v>
      </c>
      <c r="Z16" s="378">
        <v>0.08333333333333334</v>
      </c>
      <c r="AA16" s="378">
        <v>0.08333333333333334</v>
      </c>
      <c r="AB16" s="378">
        <v>0.08333333333333334</v>
      </c>
      <c r="AC16" s="378">
        <v>0.08333333333333334</v>
      </c>
      <c r="AD16" s="378">
        <v>0.08333333333333334</v>
      </c>
      <c r="AE16" s="378">
        <v>0.08333333333333334</v>
      </c>
      <c r="AF16" s="378">
        <v>0.08333333333333334</v>
      </c>
      <c r="AG16" s="378">
        <v>0.08333333333333334</v>
      </c>
      <c r="AH16" s="378">
        <v>0.0833</v>
      </c>
      <c r="AI16" s="378">
        <v>0.0833</v>
      </c>
      <c r="AJ16" s="378">
        <v>0.0833</v>
      </c>
      <c r="AK16" s="461">
        <v>0.0833</v>
      </c>
      <c r="AL16" s="461">
        <v>0.0833</v>
      </c>
      <c r="AM16" s="461">
        <v>0.0833</v>
      </c>
      <c r="AN16" s="124"/>
      <c r="AO16" s="124"/>
      <c r="AP16" s="124"/>
      <c r="AQ16" s="124"/>
      <c r="AR16" s="124"/>
      <c r="AS16" s="124"/>
      <c r="AT16" s="411">
        <f>SUM(AH16:AS16)</f>
        <v>0.49979999999999997</v>
      </c>
      <c r="AU16" s="127">
        <f>+AT16/R16</f>
        <v>0.49979999999999997</v>
      </c>
      <c r="AV16" s="472" t="s">
        <v>947</v>
      </c>
      <c r="AW16" s="472" t="s">
        <v>948</v>
      </c>
      <c r="AX16" s="515" t="s">
        <v>933</v>
      </c>
      <c r="AY16" s="515" t="s">
        <v>933</v>
      </c>
    </row>
    <row r="17" spans="1:51" ht="54" customHeight="1">
      <c r="A17" s="777" t="s">
        <v>64</v>
      </c>
      <c r="B17" s="777"/>
      <c r="C17" s="777"/>
      <c r="D17" s="773" t="s">
        <v>66</v>
      </c>
      <c r="E17" s="773"/>
      <c r="F17" s="773"/>
      <c r="G17" s="773"/>
      <c r="H17" s="773"/>
      <c r="I17" s="773"/>
      <c r="J17" s="778" t="s">
        <v>300</v>
      </c>
      <c r="K17" s="778"/>
      <c r="L17" s="778"/>
      <c r="M17" s="778"/>
      <c r="N17" s="778"/>
      <c r="O17" s="778"/>
      <c r="P17" s="773" t="s">
        <v>66</v>
      </c>
      <c r="Q17" s="773"/>
      <c r="R17" s="773"/>
      <c r="S17" s="773"/>
      <c r="T17" s="773"/>
      <c r="U17" s="773"/>
      <c r="V17" s="773" t="s">
        <v>66</v>
      </c>
      <c r="W17" s="773"/>
      <c r="X17" s="773"/>
      <c r="Y17" s="773"/>
      <c r="Z17" s="773"/>
      <c r="AA17" s="773"/>
      <c r="AB17" s="773"/>
      <c r="AC17" s="773"/>
      <c r="AD17" s="773" t="s">
        <v>66</v>
      </c>
      <c r="AE17" s="773"/>
      <c r="AF17" s="773"/>
      <c r="AG17" s="773"/>
      <c r="AH17" s="773"/>
      <c r="AI17" s="773"/>
      <c r="AJ17" s="773"/>
      <c r="AK17" s="773"/>
      <c r="AL17" s="773"/>
      <c r="AM17" s="773"/>
      <c r="AN17" s="773"/>
      <c r="AO17" s="773"/>
      <c r="AP17" s="778" t="s">
        <v>318</v>
      </c>
      <c r="AQ17" s="778"/>
      <c r="AR17" s="778"/>
      <c r="AS17" s="778"/>
      <c r="AT17" s="773" t="s">
        <v>13</v>
      </c>
      <c r="AU17" s="773"/>
      <c r="AV17" s="773"/>
      <c r="AW17" s="773"/>
      <c r="AX17" s="773"/>
      <c r="AY17" s="773"/>
    </row>
    <row r="18" spans="1:51" ht="30" customHeight="1">
      <c r="A18" s="777"/>
      <c r="B18" s="777"/>
      <c r="C18" s="777"/>
      <c r="D18" s="773" t="s">
        <v>816</v>
      </c>
      <c r="E18" s="773"/>
      <c r="F18" s="773"/>
      <c r="G18" s="773"/>
      <c r="H18" s="773"/>
      <c r="I18" s="773"/>
      <c r="J18" s="778"/>
      <c r="K18" s="778"/>
      <c r="L18" s="778"/>
      <c r="M18" s="778"/>
      <c r="N18" s="778"/>
      <c r="O18" s="778"/>
      <c r="P18" s="773" t="s">
        <v>954</v>
      </c>
      <c r="Q18" s="773"/>
      <c r="R18" s="773"/>
      <c r="S18" s="773"/>
      <c r="T18" s="773"/>
      <c r="U18" s="773"/>
      <c r="V18" s="773" t="s">
        <v>65</v>
      </c>
      <c r="W18" s="773"/>
      <c r="X18" s="773"/>
      <c r="Y18" s="773"/>
      <c r="Z18" s="773"/>
      <c r="AA18" s="773"/>
      <c r="AB18" s="773"/>
      <c r="AC18" s="773"/>
      <c r="AD18" s="773" t="s">
        <v>65</v>
      </c>
      <c r="AE18" s="773"/>
      <c r="AF18" s="773"/>
      <c r="AG18" s="773"/>
      <c r="AH18" s="773"/>
      <c r="AI18" s="773"/>
      <c r="AJ18" s="773"/>
      <c r="AK18" s="773"/>
      <c r="AL18" s="773"/>
      <c r="AM18" s="773"/>
      <c r="AN18" s="773"/>
      <c r="AO18" s="773"/>
      <c r="AP18" s="778"/>
      <c r="AQ18" s="778"/>
      <c r="AR18" s="778"/>
      <c r="AS18" s="778"/>
      <c r="AT18" s="773" t="s">
        <v>771</v>
      </c>
      <c r="AU18" s="773"/>
      <c r="AV18" s="773"/>
      <c r="AW18" s="773"/>
      <c r="AX18" s="773"/>
      <c r="AY18" s="773"/>
    </row>
    <row r="19" spans="1:51" ht="30" customHeight="1">
      <c r="A19" s="777"/>
      <c r="B19" s="777"/>
      <c r="C19" s="777"/>
      <c r="D19" s="773" t="s">
        <v>817</v>
      </c>
      <c r="E19" s="773"/>
      <c r="F19" s="773"/>
      <c r="G19" s="773"/>
      <c r="H19" s="773"/>
      <c r="I19" s="773"/>
      <c r="J19" s="778"/>
      <c r="K19" s="778"/>
      <c r="L19" s="778"/>
      <c r="M19" s="778"/>
      <c r="N19" s="778"/>
      <c r="O19" s="778"/>
      <c r="P19" s="773" t="s">
        <v>818</v>
      </c>
      <c r="Q19" s="773"/>
      <c r="R19" s="773"/>
      <c r="S19" s="773"/>
      <c r="T19" s="773"/>
      <c r="U19" s="773"/>
      <c r="V19" s="773" t="s">
        <v>297</v>
      </c>
      <c r="W19" s="773"/>
      <c r="X19" s="773"/>
      <c r="Y19" s="773"/>
      <c r="Z19" s="773"/>
      <c r="AA19" s="773"/>
      <c r="AB19" s="773"/>
      <c r="AC19" s="773"/>
      <c r="AD19" s="773" t="s">
        <v>297</v>
      </c>
      <c r="AE19" s="773"/>
      <c r="AF19" s="773"/>
      <c r="AG19" s="773"/>
      <c r="AH19" s="773"/>
      <c r="AI19" s="773"/>
      <c r="AJ19" s="773"/>
      <c r="AK19" s="773"/>
      <c r="AL19" s="773"/>
      <c r="AM19" s="773"/>
      <c r="AN19" s="773"/>
      <c r="AO19" s="773"/>
      <c r="AP19" s="778"/>
      <c r="AQ19" s="778"/>
      <c r="AR19" s="778"/>
      <c r="AS19" s="778"/>
      <c r="AT19" s="773" t="s">
        <v>75</v>
      </c>
      <c r="AU19" s="773"/>
      <c r="AV19" s="773"/>
      <c r="AW19" s="773"/>
      <c r="AX19" s="773"/>
      <c r="AY19" s="773"/>
    </row>
    <row r="26" ht="15">
      <c r="S26"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D19:I19"/>
    <mergeCell ref="AP17:AS19"/>
    <mergeCell ref="AT19:AY19"/>
    <mergeCell ref="AT17:AY17"/>
    <mergeCell ref="D18:I18"/>
    <mergeCell ref="P18:U18"/>
    <mergeCell ref="V18:AC18"/>
    <mergeCell ref="AD18:AO18"/>
    <mergeCell ref="AT18:AY18"/>
    <mergeCell ref="P19:U19"/>
    <mergeCell ref="V19:AC19"/>
    <mergeCell ref="AD19:AO19"/>
  </mergeCells>
  <printOptions/>
  <pageMargins left="0.7" right="0.7" top="0.75" bottom="0.75" header="0.3" footer="0.3"/>
  <pageSetup fitToHeight="0" fitToWidth="1" horizontalDpi="600" verticalDpi="600" orientation="landscape" scale="13"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731"/>
      <c r="B1" s="708" t="s">
        <v>16</v>
      </c>
      <c r="C1" s="709"/>
      <c r="D1" s="709"/>
      <c r="E1" s="709"/>
      <c r="F1" s="709"/>
      <c r="G1" s="709"/>
      <c r="H1" s="709"/>
      <c r="I1" s="709"/>
      <c r="J1" s="709"/>
      <c r="K1" s="709"/>
      <c r="L1" s="709"/>
      <c r="M1" s="709"/>
      <c r="N1" s="709"/>
      <c r="O1" s="709"/>
      <c r="P1" s="709"/>
      <c r="Q1" s="709"/>
      <c r="R1" s="709"/>
      <c r="S1" s="709"/>
      <c r="T1" s="709"/>
      <c r="U1" s="709"/>
      <c r="V1" s="709"/>
      <c r="W1" s="709"/>
      <c r="X1" s="709"/>
      <c r="Y1" s="710"/>
      <c r="Z1" s="705" t="s">
        <v>18</v>
      </c>
      <c r="AA1" s="706"/>
      <c r="AB1" s="707"/>
    </row>
    <row r="2" spans="1:28" ht="30.75" customHeight="1">
      <c r="A2" s="732"/>
      <c r="B2" s="711" t="s">
        <v>17</v>
      </c>
      <c r="C2" s="712"/>
      <c r="D2" s="712"/>
      <c r="E2" s="712"/>
      <c r="F2" s="712"/>
      <c r="G2" s="712"/>
      <c r="H2" s="712"/>
      <c r="I2" s="712"/>
      <c r="J2" s="712"/>
      <c r="K2" s="712"/>
      <c r="L2" s="712"/>
      <c r="M2" s="712"/>
      <c r="N2" s="712"/>
      <c r="O2" s="712"/>
      <c r="P2" s="712"/>
      <c r="Q2" s="712"/>
      <c r="R2" s="712"/>
      <c r="S2" s="712"/>
      <c r="T2" s="712"/>
      <c r="U2" s="712"/>
      <c r="V2" s="712"/>
      <c r="W2" s="712"/>
      <c r="X2" s="712"/>
      <c r="Y2" s="713"/>
      <c r="Z2" s="734" t="s">
        <v>180</v>
      </c>
      <c r="AA2" s="735"/>
      <c r="AB2" s="736"/>
    </row>
    <row r="3" spans="1:28" ht="24" customHeight="1">
      <c r="A3" s="732"/>
      <c r="B3" s="714" t="s">
        <v>295</v>
      </c>
      <c r="C3" s="715"/>
      <c r="D3" s="715"/>
      <c r="E3" s="715"/>
      <c r="F3" s="715"/>
      <c r="G3" s="715"/>
      <c r="H3" s="715"/>
      <c r="I3" s="715"/>
      <c r="J3" s="715"/>
      <c r="K3" s="715"/>
      <c r="L3" s="715"/>
      <c r="M3" s="715"/>
      <c r="N3" s="715"/>
      <c r="O3" s="715"/>
      <c r="P3" s="715"/>
      <c r="Q3" s="715"/>
      <c r="R3" s="715"/>
      <c r="S3" s="715"/>
      <c r="T3" s="715"/>
      <c r="U3" s="715"/>
      <c r="V3" s="715"/>
      <c r="W3" s="715"/>
      <c r="X3" s="715"/>
      <c r="Y3" s="716"/>
      <c r="Z3" s="734" t="s">
        <v>181</v>
      </c>
      <c r="AA3" s="735"/>
      <c r="AB3" s="736"/>
    </row>
    <row r="4" spans="1:28" ht="15.75" customHeight="1" thickBot="1">
      <c r="A4" s="733"/>
      <c r="B4" s="717"/>
      <c r="C4" s="718"/>
      <c r="D4" s="718"/>
      <c r="E4" s="718"/>
      <c r="F4" s="718"/>
      <c r="G4" s="718"/>
      <c r="H4" s="718"/>
      <c r="I4" s="718"/>
      <c r="J4" s="718"/>
      <c r="K4" s="718"/>
      <c r="L4" s="718"/>
      <c r="M4" s="718"/>
      <c r="N4" s="718"/>
      <c r="O4" s="718"/>
      <c r="P4" s="718"/>
      <c r="Q4" s="718"/>
      <c r="R4" s="718"/>
      <c r="S4" s="718"/>
      <c r="T4" s="718"/>
      <c r="U4" s="718"/>
      <c r="V4" s="718"/>
      <c r="W4" s="718"/>
      <c r="X4" s="718"/>
      <c r="Y4" s="719"/>
      <c r="Z4" s="737" t="s">
        <v>175</v>
      </c>
      <c r="AA4" s="738"/>
      <c r="AB4" s="739"/>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626" t="s">
        <v>0</v>
      </c>
      <c r="B7" s="627"/>
      <c r="C7" s="657"/>
      <c r="D7" s="658"/>
      <c r="E7" s="658"/>
      <c r="F7" s="658"/>
      <c r="G7" s="658"/>
      <c r="H7" s="658"/>
      <c r="I7" s="658"/>
      <c r="J7" s="658"/>
      <c r="K7" s="659"/>
      <c r="L7" s="64"/>
      <c r="M7" s="65"/>
      <c r="N7" s="65"/>
      <c r="O7" s="65"/>
      <c r="P7" s="65"/>
      <c r="Q7" s="66"/>
      <c r="R7" s="690" t="s">
        <v>71</v>
      </c>
      <c r="S7" s="740"/>
      <c r="T7" s="691"/>
      <c r="U7" s="635" t="s">
        <v>74</v>
      </c>
      <c r="V7" s="636"/>
      <c r="W7" s="690" t="s">
        <v>67</v>
      </c>
      <c r="X7" s="691"/>
      <c r="Y7" s="602" t="s">
        <v>70</v>
      </c>
      <c r="Z7" s="603"/>
      <c r="AA7" s="641"/>
      <c r="AB7" s="642"/>
    </row>
    <row r="8" spans="1:28" ht="15" customHeight="1">
      <c r="A8" s="628"/>
      <c r="B8" s="629"/>
      <c r="C8" s="660"/>
      <c r="D8" s="661"/>
      <c r="E8" s="661"/>
      <c r="F8" s="661"/>
      <c r="G8" s="661"/>
      <c r="H8" s="661"/>
      <c r="I8" s="661"/>
      <c r="J8" s="661"/>
      <c r="K8" s="662"/>
      <c r="L8" s="64"/>
      <c r="M8" s="65"/>
      <c r="N8" s="65"/>
      <c r="O8" s="65"/>
      <c r="P8" s="65"/>
      <c r="Q8" s="66"/>
      <c r="R8" s="692"/>
      <c r="S8" s="741"/>
      <c r="T8" s="693"/>
      <c r="U8" s="637"/>
      <c r="V8" s="638"/>
      <c r="W8" s="692"/>
      <c r="X8" s="693"/>
      <c r="Y8" s="643" t="s">
        <v>68</v>
      </c>
      <c r="Z8" s="644"/>
      <c r="AA8" s="645"/>
      <c r="AB8" s="646"/>
    </row>
    <row r="9" spans="1:28" ht="15" customHeight="1" thickBot="1">
      <c r="A9" s="630"/>
      <c r="B9" s="631"/>
      <c r="C9" s="663"/>
      <c r="D9" s="664"/>
      <c r="E9" s="664"/>
      <c r="F9" s="664"/>
      <c r="G9" s="664"/>
      <c r="H9" s="664"/>
      <c r="I9" s="664"/>
      <c r="J9" s="664"/>
      <c r="K9" s="665"/>
      <c r="L9" s="64"/>
      <c r="M9" s="65"/>
      <c r="N9" s="65"/>
      <c r="O9" s="65"/>
      <c r="P9" s="65"/>
      <c r="Q9" s="66"/>
      <c r="R9" s="694"/>
      <c r="S9" s="742"/>
      <c r="T9" s="695"/>
      <c r="U9" s="639"/>
      <c r="V9" s="640"/>
      <c r="W9" s="694"/>
      <c r="X9" s="695"/>
      <c r="Y9" s="598" t="s">
        <v>69</v>
      </c>
      <c r="Z9" s="599"/>
      <c r="AA9" s="600"/>
      <c r="AB9" s="601"/>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596" t="s">
        <v>77</v>
      </c>
      <c r="B11" s="597"/>
      <c r="C11" s="696"/>
      <c r="D11" s="697"/>
      <c r="E11" s="697"/>
      <c r="F11" s="697"/>
      <c r="G11" s="697"/>
      <c r="H11" s="697"/>
      <c r="I11" s="697"/>
      <c r="J11" s="697"/>
      <c r="K11" s="698"/>
      <c r="L11" s="74"/>
      <c r="M11" s="590" t="s">
        <v>73</v>
      </c>
      <c r="N11" s="666"/>
      <c r="O11" s="666"/>
      <c r="P11" s="666"/>
      <c r="Q11" s="591"/>
      <c r="R11" s="587"/>
      <c r="S11" s="588"/>
      <c r="T11" s="588"/>
      <c r="U11" s="588"/>
      <c r="V11" s="589"/>
      <c r="W11" s="590" t="s">
        <v>72</v>
      </c>
      <c r="X11" s="591"/>
      <c r="Y11" s="610"/>
      <c r="Z11" s="611"/>
      <c r="AA11" s="611"/>
      <c r="AB11" s="612"/>
    </row>
    <row r="12" spans="1:28" ht="9" customHeight="1" thickBot="1">
      <c r="A12" s="61"/>
      <c r="B12" s="56"/>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75"/>
      <c r="AB12" s="76"/>
    </row>
    <row r="13" spans="1:28" s="78" customFormat="1" ht="37.5" customHeight="1" thickBot="1">
      <c r="A13" s="596" t="s">
        <v>79</v>
      </c>
      <c r="B13" s="597"/>
      <c r="C13" s="614"/>
      <c r="D13" s="615"/>
      <c r="E13" s="615"/>
      <c r="F13" s="615"/>
      <c r="G13" s="615"/>
      <c r="H13" s="615"/>
      <c r="I13" s="615"/>
      <c r="J13" s="615"/>
      <c r="K13" s="615"/>
      <c r="L13" s="615"/>
      <c r="M13" s="615"/>
      <c r="N13" s="615"/>
      <c r="O13" s="615"/>
      <c r="P13" s="615"/>
      <c r="Q13" s="616"/>
      <c r="R13" s="56"/>
      <c r="S13" s="699" t="s">
        <v>14</v>
      </c>
      <c r="T13" s="699"/>
      <c r="U13" s="77"/>
      <c r="V13" s="723" t="s">
        <v>15</v>
      </c>
      <c r="W13" s="699"/>
      <c r="X13" s="699"/>
      <c r="Y13" s="699"/>
      <c r="Z13" s="56"/>
      <c r="AA13" s="685"/>
      <c r="AB13" s="686"/>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647" t="s">
        <v>293</v>
      </c>
      <c r="B15" s="648"/>
      <c r="C15" s="729" t="s">
        <v>321</v>
      </c>
      <c r="D15" s="82"/>
      <c r="E15" s="82"/>
      <c r="F15" s="82"/>
      <c r="G15" s="82"/>
      <c r="H15" s="82"/>
      <c r="I15" s="82"/>
      <c r="J15" s="83"/>
      <c r="K15" s="84"/>
      <c r="L15" s="83"/>
      <c r="M15" s="62"/>
      <c r="N15" s="62"/>
      <c r="O15" s="62"/>
      <c r="P15" s="62"/>
      <c r="Q15" s="724" t="s">
        <v>1</v>
      </c>
      <c r="R15" s="725"/>
      <c r="S15" s="725"/>
      <c r="T15" s="725"/>
      <c r="U15" s="725"/>
      <c r="V15" s="725"/>
      <c r="W15" s="725"/>
      <c r="X15" s="725"/>
      <c r="Y15" s="725"/>
      <c r="Z15" s="725"/>
      <c r="AA15" s="725"/>
      <c r="AB15" s="726"/>
    </row>
    <row r="16" spans="1:28" ht="35.25" customHeight="1" thickBot="1">
      <c r="A16" s="651"/>
      <c r="B16" s="652"/>
      <c r="C16" s="730"/>
      <c r="D16" s="82"/>
      <c r="E16" s="82"/>
      <c r="F16" s="82"/>
      <c r="G16" s="82"/>
      <c r="H16" s="82"/>
      <c r="I16" s="82"/>
      <c r="J16" s="83"/>
      <c r="K16" s="83"/>
      <c r="L16" s="83"/>
      <c r="M16" s="62"/>
      <c r="N16" s="62"/>
      <c r="O16" s="62"/>
      <c r="P16" s="62"/>
      <c r="Q16" s="703" t="s">
        <v>2</v>
      </c>
      <c r="R16" s="688"/>
      <c r="S16" s="688"/>
      <c r="T16" s="688"/>
      <c r="U16" s="688"/>
      <c r="V16" s="704"/>
      <c r="W16" s="687" t="s">
        <v>3</v>
      </c>
      <c r="X16" s="688"/>
      <c r="Y16" s="688"/>
      <c r="Z16" s="688"/>
      <c r="AA16" s="688"/>
      <c r="AB16" s="689"/>
    </row>
    <row r="17" spans="1:30" ht="27" customHeight="1">
      <c r="A17" s="85"/>
      <c r="B17" s="62"/>
      <c r="C17" s="62"/>
      <c r="D17" s="82"/>
      <c r="E17" s="82"/>
      <c r="F17" s="82"/>
      <c r="G17" s="82"/>
      <c r="H17" s="82"/>
      <c r="I17" s="82"/>
      <c r="J17" s="82"/>
      <c r="K17" s="82"/>
      <c r="L17" s="82"/>
      <c r="M17" s="62"/>
      <c r="N17" s="62"/>
      <c r="O17" s="62"/>
      <c r="P17" s="62"/>
      <c r="Q17" s="749" t="s">
        <v>4</v>
      </c>
      <c r="R17" s="750"/>
      <c r="S17" s="746"/>
      <c r="T17" s="700" t="s">
        <v>188</v>
      </c>
      <c r="U17" s="701"/>
      <c r="V17" s="702"/>
      <c r="W17" s="745" t="s">
        <v>4</v>
      </c>
      <c r="X17" s="746"/>
      <c r="Y17" s="745" t="s">
        <v>5</v>
      </c>
      <c r="Z17" s="746"/>
      <c r="AA17" s="700" t="s">
        <v>89</v>
      </c>
      <c r="AB17" s="747"/>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700"/>
      <c r="U18" s="701"/>
      <c r="V18" s="702"/>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748"/>
      <c r="R19" s="721"/>
      <c r="S19" s="722"/>
      <c r="T19" s="720"/>
      <c r="U19" s="721"/>
      <c r="V19" s="722"/>
      <c r="W19" s="727"/>
      <c r="X19" s="728"/>
      <c r="Y19" s="743"/>
      <c r="Z19" s="744"/>
      <c r="AA19" s="751"/>
      <c r="AB19" s="752"/>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604" t="s">
        <v>76</v>
      </c>
      <c r="B21" s="605"/>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7"/>
    </row>
    <row r="22" spans="1:28" ht="15" customHeight="1">
      <c r="A22" s="582" t="s">
        <v>189</v>
      </c>
      <c r="B22" s="584" t="s">
        <v>6</v>
      </c>
      <c r="C22" s="585"/>
      <c r="D22" s="545" t="s">
        <v>7</v>
      </c>
      <c r="E22" s="546"/>
      <c r="F22" s="546"/>
      <c r="G22" s="546"/>
      <c r="H22" s="546"/>
      <c r="I22" s="546"/>
      <c r="J22" s="546"/>
      <c r="K22" s="546"/>
      <c r="L22" s="546"/>
      <c r="M22" s="546"/>
      <c r="N22" s="546"/>
      <c r="O22" s="586"/>
      <c r="P22" s="568" t="s">
        <v>8</v>
      </c>
      <c r="Q22" s="568" t="s">
        <v>84</v>
      </c>
      <c r="R22" s="568"/>
      <c r="S22" s="568"/>
      <c r="T22" s="568"/>
      <c r="U22" s="568"/>
      <c r="V22" s="568"/>
      <c r="W22" s="568"/>
      <c r="X22" s="568"/>
      <c r="Y22" s="568"/>
      <c r="Z22" s="568"/>
      <c r="AA22" s="568"/>
      <c r="AB22" s="577"/>
    </row>
    <row r="23" spans="1:28" ht="27" customHeight="1">
      <c r="A23" s="583"/>
      <c r="B23" s="578"/>
      <c r="C23" s="580"/>
      <c r="D23" s="156" t="s">
        <v>39</v>
      </c>
      <c r="E23" s="156" t="s">
        <v>40</v>
      </c>
      <c r="F23" s="156" t="s">
        <v>41</v>
      </c>
      <c r="G23" s="156" t="s">
        <v>42</v>
      </c>
      <c r="H23" s="156" t="s">
        <v>43</v>
      </c>
      <c r="I23" s="156" t="s">
        <v>44</v>
      </c>
      <c r="J23" s="156" t="s">
        <v>45</v>
      </c>
      <c r="K23" s="156" t="s">
        <v>46</v>
      </c>
      <c r="L23" s="156" t="s">
        <v>47</v>
      </c>
      <c r="M23" s="156" t="s">
        <v>48</v>
      </c>
      <c r="N23" s="156" t="s">
        <v>49</v>
      </c>
      <c r="O23" s="156" t="s">
        <v>50</v>
      </c>
      <c r="P23" s="586"/>
      <c r="Q23" s="568"/>
      <c r="R23" s="568"/>
      <c r="S23" s="568"/>
      <c r="T23" s="568"/>
      <c r="U23" s="568"/>
      <c r="V23" s="568"/>
      <c r="W23" s="568"/>
      <c r="X23" s="568"/>
      <c r="Y23" s="568"/>
      <c r="Z23" s="568"/>
      <c r="AA23" s="568"/>
      <c r="AB23" s="577"/>
    </row>
    <row r="24" spans="1:28" ht="42" customHeight="1" thickBot="1">
      <c r="A24" s="88"/>
      <c r="B24" s="569"/>
      <c r="C24" s="570"/>
      <c r="D24" s="92"/>
      <c r="E24" s="92"/>
      <c r="F24" s="92"/>
      <c r="G24" s="92"/>
      <c r="H24" s="92"/>
      <c r="I24" s="92"/>
      <c r="J24" s="92"/>
      <c r="K24" s="92"/>
      <c r="L24" s="92"/>
      <c r="M24" s="92"/>
      <c r="N24" s="92"/>
      <c r="O24" s="92"/>
      <c r="P24" s="89">
        <f>SUM(D24:O24)</f>
        <v>0</v>
      </c>
      <c r="Q24" s="571" t="s">
        <v>296</v>
      </c>
      <c r="R24" s="571"/>
      <c r="S24" s="571"/>
      <c r="T24" s="571"/>
      <c r="U24" s="571"/>
      <c r="V24" s="571"/>
      <c r="W24" s="571"/>
      <c r="X24" s="571"/>
      <c r="Y24" s="571"/>
      <c r="Z24" s="571"/>
      <c r="AA24" s="571"/>
      <c r="AB24" s="572"/>
    </row>
    <row r="25" spans="1:28" ht="21.75" customHeight="1">
      <c r="A25" s="573" t="s">
        <v>292</v>
      </c>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5"/>
    </row>
    <row r="26" spans="1:39" ht="22.5" customHeight="1">
      <c r="A26" s="538" t="s">
        <v>190</v>
      </c>
      <c r="B26" s="568" t="s">
        <v>62</v>
      </c>
      <c r="C26" s="568" t="s">
        <v>6</v>
      </c>
      <c r="D26" s="568" t="s">
        <v>60</v>
      </c>
      <c r="E26" s="568"/>
      <c r="F26" s="568"/>
      <c r="G26" s="568"/>
      <c r="H26" s="568"/>
      <c r="I26" s="568"/>
      <c r="J26" s="568"/>
      <c r="K26" s="568"/>
      <c r="L26" s="568"/>
      <c r="M26" s="568"/>
      <c r="N26" s="568"/>
      <c r="O26" s="568"/>
      <c r="P26" s="568"/>
      <c r="Q26" s="568" t="s">
        <v>85</v>
      </c>
      <c r="R26" s="568"/>
      <c r="S26" s="568"/>
      <c r="T26" s="568"/>
      <c r="U26" s="568"/>
      <c r="V26" s="568"/>
      <c r="W26" s="568"/>
      <c r="X26" s="568"/>
      <c r="Y26" s="568"/>
      <c r="Z26" s="568"/>
      <c r="AA26" s="568"/>
      <c r="AB26" s="577"/>
      <c r="AE26" s="90"/>
      <c r="AF26" s="90"/>
      <c r="AG26" s="90"/>
      <c r="AH26" s="90"/>
      <c r="AI26" s="90"/>
      <c r="AJ26" s="90"/>
      <c r="AK26" s="90"/>
      <c r="AL26" s="90"/>
      <c r="AM26" s="90"/>
    </row>
    <row r="27" spans="1:39" ht="22.5" customHeight="1">
      <c r="A27" s="538"/>
      <c r="B27" s="568"/>
      <c r="C27" s="576"/>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78" t="s">
        <v>80</v>
      </c>
      <c r="R27" s="579"/>
      <c r="S27" s="579"/>
      <c r="T27" s="580"/>
      <c r="U27" s="578" t="s">
        <v>81</v>
      </c>
      <c r="V27" s="579"/>
      <c r="W27" s="579"/>
      <c r="X27" s="580"/>
      <c r="Y27" s="578" t="s">
        <v>82</v>
      </c>
      <c r="Z27" s="579"/>
      <c r="AA27" s="579"/>
      <c r="AB27" s="581"/>
      <c r="AE27" s="90"/>
      <c r="AF27" s="90"/>
      <c r="AG27" s="90"/>
      <c r="AH27" s="90"/>
      <c r="AI27" s="90"/>
      <c r="AJ27" s="90"/>
      <c r="AK27" s="90"/>
      <c r="AL27" s="90"/>
      <c r="AM27" s="90"/>
    </row>
    <row r="28" spans="1:39" ht="33" customHeight="1">
      <c r="A28" s="556"/>
      <c r="B28" s="558"/>
      <c r="C28" s="93" t="s">
        <v>9</v>
      </c>
      <c r="D28" s="92"/>
      <c r="E28" s="92"/>
      <c r="F28" s="92"/>
      <c r="G28" s="92"/>
      <c r="H28" s="92"/>
      <c r="I28" s="92"/>
      <c r="J28" s="92"/>
      <c r="K28" s="92"/>
      <c r="L28" s="92"/>
      <c r="M28" s="92"/>
      <c r="N28" s="92"/>
      <c r="O28" s="92"/>
      <c r="P28" s="177">
        <f>SUM(D28:O28)</f>
        <v>0</v>
      </c>
      <c r="Q28" s="560" t="s">
        <v>192</v>
      </c>
      <c r="R28" s="561"/>
      <c r="S28" s="561"/>
      <c r="T28" s="562"/>
      <c r="U28" s="560" t="s">
        <v>193</v>
      </c>
      <c r="V28" s="561"/>
      <c r="W28" s="561"/>
      <c r="X28" s="562"/>
      <c r="Y28" s="560" t="s">
        <v>194</v>
      </c>
      <c r="Z28" s="561"/>
      <c r="AA28" s="561"/>
      <c r="AB28" s="566"/>
      <c r="AE28" s="90"/>
      <c r="AF28" s="90"/>
      <c r="AG28" s="90"/>
      <c r="AH28" s="90"/>
      <c r="AI28" s="90"/>
      <c r="AJ28" s="90"/>
      <c r="AK28" s="90"/>
      <c r="AL28" s="90"/>
      <c r="AM28" s="90"/>
    </row>
    <row r="29" spans="1:39" ht="33.75" customHeight="1" thickBot="1">
      <c r="A29" s="557"/>
      <c r="B29" s="559"/>
      <c r="C29" s="94" t="s">
        <v>10</v>
      </c>
      <c r="D29" s="95"/>
      <c r="E29" s="95"/>
      <c r="F29" s="95"/>
      <c r="G29" s="96"/>
      <c r="H29" s="96"/>
      <c r="I29" s="96"/>
      <c r="J29" s="96"/>
      <c r="K29" s="96"/>
      <c r="L29" s="96"/>
      <c r="M29" s="96"/>
      <c r="N29" s="96"/>
      <c r="O29" s="96"/>
      <c r="P29" s="178">
        <f>SUM(D29:O29)</f>
        <v>0</v>
      </c>
      <c r="Q29" s="563"/>
      <c r="R29" s="564"/>
      <c r="S29" s="564"/>
      <c r="T29" s="565"/>
      <c r="U29" s="563"/>
      <c r="V29" s="564"/>
      <c r="W29" s="564"/>
      <c r="X29" s="565"/>
      <c r="Y29" s="563"/>
      <c r="Z29" s="564"/>
      <c r="AA29" s="564"/>
      <c r="AB29" s="567"/>
      <c r="AC29" s="50"/>
      <c r="AD29" s="97"/>
      <c r="AE29" s="90"/>
      <c r="AF29" s="90"/>
      <c r="AG29" s="90"/>
      <c r="AH29" s="90"/>
      <c r="AI29" s="90"/>
      <c r="AJ29" s="90"/>
      <c r="AK29" s="90"/>
      <c r="AL29" s="90"/>
      <c r="AM29" s="90"/>
    </row>
    <row r="30" spans="1:39" ht="25.5" customHeight="1">
      <c r="A30" s="537" t="s">
        <v>191</v>
      </c>
      <c r="B30" s="539" t="s">
        <v>61</v>
      </c>
      <c r="C30" s="541" t="s">
        <v>11</v>
      </c>
      <c r="D30" s="541"/>
      <c r="E30" s="541"/>
      <c r="F30" s="541"/>
      <c r="G30" s="541"/>
      <c r="H30" s="541"/>
      <c r="I30" s="541"/>
      <c r="J30" s="541"/>
      <c r="K30" s="541"/>
      <c r="L30" s="541"/>
      <c r="M30" s="541"/>
      <c r="N30" s="541"/>
      <c r="O30" s="541"/>
      <c r="P30" s="541"/>
      <c r="Q30" s="542" t="s">
        <v>78</v>
      </c>
      <c r="R30" s="543"/>
      <c r="S30" s="543"/>
      <c r="T30" s="543"/>
      <c r="U30" s="543"/>
      <c r="V30" s="543"/>
      <c r="W30" s="543"/>
      <c r="X30" s="543"/>
      <c r="Y30" s="543"/>
      <c r="Z30" s="543"/>
      <c r="AA30" s="543"/>
      <c r="AB30" s="544"/>
      <c r="AE30" s="90"/>
      <c r="AF30" s="90"/>
      <c r="AG30" s="90"/>
      <c r="AH30" s="90"/>
      <c r="AI30" s="90"/>
      <c r="AJ30" s="90"/>
      <c r="AK30" s="90"/>
      <c r="AL30" s="90"/>
      <c r="AM30" s="90"/>
    </row>
    <row r="31" spans="1:39" ht="25.5" customHeight="1">
      <c r="A31" s="538"/>
      <c r="B31" s="540"/>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45" t="s">
        <v>83</v>
      </c>
      <c r="R31" s="546"/>
      <c r="S31" s="546"/>
      <c r="T31" s="546"/>
      <c r="U31" s="546"/>
      <c r="V31" s="546"/>
      <c r="W31" s="546"/>
      <c r="X31" s="546"/>
      <c r="Y31" s="546"/>
      <c r="Z31" s="546"/>
      <c r="AA31" s="546"/>
      <c r="AB31" s="547"/>
      <c r="AE31" s="98"/>
      <c r="AF31" s="98"/>
      <c r="AG31" s="98"/>
      <c r="AH31" s="98"/>
      <c r="AI31" s="98"/>
      <c r="AJ31" s="98"/>
      <c r="AK31" s="98"/>
      <c r="AL31" s="98"/>
      <c r="AM31" s="98"/>
    </row>
    <row r="32" spans="1:39" ht="28.5" customHeight="1">
      <c r="A32" s="548"/>
      <c r="B32" s="549"/>
      <c r="C32" s="93" t="s">
        <v>9</v>
      </c>
      <c r="D32" s="99"/>
      <c r="E32" s="99"/>
      <c r="F32" s="99"/>
      <c r="G32" s="99"/>
      <c r="H32" s="99"/>
      <c r="I32" s="99"/>
      <c r="J32" s="99"/>
      <c r="K32" s="99"/>
      <c r="L32" s="99"/>
      <c r="M32" s="99"/>
      <c r="N32" s="99"/>
      <c r="O32" s="99"/>
      <c r="P32" s="100">
        <f aca="true" t="shared" si="0" ref="P32:P39">SUM(D32:O32)</f>
        <v>0</v>
      </c>
      <c r="Q32" s="550" t="s">
        <v>286</v>
      </c>
      <c r="R32" s="551"/>
      <c r="S32" s="551"/>
      <c r="T32" s="551"/>
      <c r="U32" s="551"/>
      <c r="V32" s="551"/>
      <c r="W32" s="551"/>
      <c r="X32" s="551"/>
      <c r="Y32" s="551"/>
      <c r="Z32" s="551"/>
      <c r="AA32" s="551"/>
      <c r="AB32" s="552"/>
      <c r="AC32" s="101"/>
      <c r="AE32" s="102"/>
      <c r="AF32" s="102"/>
      <c r="AG32" s="102"/>
      <c r="AH32" s="102"/>
      <c r="AI32" s="102"/>
      <c r="AJ32" s="102"/>
      <c r="AK32" s="102"/>
      <c r="AL32" s="102"/>
      <c r="AM32" s="102"/>
    </row>
    <row r="33" spans="1:29" ht="28.5" customHeight="1">
      <c r="A33" s="530"/>
      <c r="B33" s="531"/>
      <c r="C33" s="103" t="s">
        <v>10</v>
      </c>
      <c r="D33" s="104"/>
      <c r="E33" s="104"/>
      <c r="F33" s="104"/>
      <c r="G33" s="104"/>
      <c r="H33" s="104"/>
      <c r="I33" s="104"/>
      <c r="J33" s="104"/>
      <c r="K33" s="104"/>
      <c r="L33" s="104"/>
      <c r="M33" s="104"/>
      <c r="N33" s="104"/>
      <c r="O33" s="104"/>
      <c r="P33" s="105">
        <f t="shared" si="0"/>
        <v>0</v>
      </c>
      <c r="Q33" s="553"/>
      <c r="R33" s="554"/>
      <c r="S33" s="554"/>
      <c r="T33" s="554"/>
      <c r="U33" s="554"/>
      <c r="V33" s="554"/>
      <c r="W33" s="554"/>
      <c r="X33" s="554"/>
      <c r="Y33" s="554"/>
      <c r="Z33" s="554"/>
      <c r="AA33" s="554"/>
      <c r="AB33" s="555"/>
      <c r="AC33" s="101"/>
    </row>
    <row r="34" spans="1:29" ht="28.5" customHeight="1">
      <c r="A34" s="530"/>
      <c r="B34" s="522"/>
      <c r="C34" s="106" t="s">
        <v>9</v>
      </c>
      <c r="D34" s="107"/>
      <c r="E34" s="107"/>
      <c r="F34" s="107"/>
      <c r="G34" s="107"/>
      <c r="H34" s="107"/>
      <c r="I34" s="107"/>
      <c r="J34" s="107"/>
      <c r="K34" s="107"/>
      <c r="L34" s="107"/>
      <c r="M34" s="107"/>
      <c r="N34" s="107"/>
      <c r="O34" s="107"/>
      <c r="P34" s="105">
        <f t="shared" si="0"/>
        <v>0</v>
      </c>
      <c r="Q34" s="524"/>
      <c r="R34" s="525"/>
      <c r="S34" s="525"/>
      <c r="T34" s="525"/>
      <c r="U34" s="525"/>
      <c r="V34" s="525"/>
      <c r="W34" s="525"/>
      <c r="X34" s="525"/>
      <c r="Y34" s="525"/>
      <c r="Z34" s="525"/>
      <c r="AA34" s="525"/>
      <c r="AB34" s="526"/>
      <c r="AC34" s="101"/>
    </row>
    <row r="35" spans="1:29" ht="28.5" customHeight="1">
      <c r="A35" s="530"/>
      <c r="B35" s="531"/>
      <c r="C35" s="103" t="s">
        <v>10</v>
      </c>
      <c r="D35" s="104"/>
      <c r="E35" s="104"/>
      <c r="F35" s="104"/>
      <c r="G35" s="104"/>
      <c r="H35" s="104"/>
      <c r="I35" s="104"/>
      <c r="J35" s="104"/>
      <c r="K35" s="104"/>
      <c r="L35" s="108"/>
      <c r="M35" s="108"/>
      <c r="N35" s="108"/>
      <c r="O35" s="108"/>
      <c r="P35" s="105">
        <f t="shared" si="0"/>
        <v>0</v>
      </c>
      <c r="Q35" s="532"/>
      <c r="R35" s="533"/>
      <c r="S35" s="533"/>
      <c r="T35" s="533"/>
      <c r="U35" s="533"/>
      <c r="V35" s="533"/>
      <c r="W35" s="533"/>
      <c r="X35" s="533"/>
      <c r="Y35" s="533"/>
      <c r="Z35" s="533"/>
      <c r="AA35" s="533"/>
      <c r="AB35" s="534"/>
      <c r="AC35" s="101"/>
    </row>
    <row r="36" spans="1:29" ht="28.5" customHeight="1">
      <c r="A36" s="535"/>
      <c r="B36" s="522"/>
      <c r="C36" s="106" t="s">
        <v>9</v>
      </c>
      <c r="D36" s="107"/>
      <c r="E36" s="107"/>
      <c r="F36" s="107"/>
      <c r="G36" s="107"/>
      <c r="H36" s="107"/>
      <c r="I36" s="107"/>
      <c r="J36" s="107"/>
      <c r="K36" s="107"/>
      <c r="L36" s="107"/>
      <c r="M36" s="107"/>
      <c r="N36" s="107"/>
      <c r="O36" s="107"/>
      <c r="P36" s="105">
        <f t="shared" si="0"/>
        <v>0</v>
      </c>
      <c r="Q36" s="524"/>
      <c r="R36" s="525"/>
      <c r="S36" s="525"/>
      <c r="T36" s="525"/>
      <c r="U36" s="525"/>
      <c r="V36" s="525"/>
      <c r="W36" s="525"/>
      <c r="X36" s="525"/>
      <c r="Y36" s="525"/>
      <c r="Z36" s="525"/>
      <c r="AA36" s="525"/>
      <c r="AB36" s="526"/>
      <c r="AC36" s="101"/>
    </row>
    <row r="37" spans="1:29" ht="28.5" customHeight="1">
      <c r="A37" s="536"/>
      <c r="B37" s="531"/>
      <c r="C37" s="103" t="s">
        <v>10</v>
      </c>
      <c r="D37" s="104"/>
      <c r="E37" s="104"/>
      <c r="F37" s="104"/>
      <c r="G37" s="109"/>
      <c r="H37" s="104"/>
      <c r="I37" s="104"/>
      <c r="J37" s="104"/>
      <c r="K37" s="104"/>
      <c r="L37" s="108"/>
      <c r="M37" s="108"/>
      <c r="N37" s="108"/>
      <c r="O37" s="108"/>
      <c r="P37" s="105">
        <f t="shared" si="0"/>
        <v>0</v>
      </c>
      <c r="Q37" s="532"/>
      <c r="R37" s="533"/>
      <c r="S37" s="533"/>
      <c r="T37" s="533"/>
      <c r="U37" s="533"/>
      <c r="V37" s="533"/>
      <c r="W37" s="533"/>
      <c r="X37" s="533"/>
      <c r="Y37" s="533"/>
      <c r="Z37" s="533"/>
      <c r="AA37" s="533"/>
      <c r="AB37" s="534"/>
      <c r="AC37" s="101"/>
    </row>
    <row r="38" spans="1:29" ht="28.5" customHeight="1">
      <c r="A38" s="520"/>
      <c r="B38" s="522"/>
      <c r="C38" s="106" t="s">
        <v>9</v>
      </c>
      <c r="D38" s="107"/>
      <c r="E38" s="107"/>
      <c r="F38" s="107"/>
      <c r="G38" s="107"/>
      <c r="H38" s="107"/>
      <c r="I38" s="107"/>
      <c r="J38" s="107"/>
      <c r="K38" s="107"/>
      <c r="L38" s="107"/>
      <c r="M38" s="107"/>
      <c r="N38" s="107"/>
      <c r="O38" s="107"/>
      <c r="P38" s="105">
        <f t="shared" si="0"/>
        <v>0</v>
      </c>
      <c r="Q38" s="524"/>
      <c r="R38" s="525"/>
      <c r="S38" s="525"/>
      <c r="T38" s="525"/>
      <c r="U38" s="525"/>
      <c r="V38" s="525"/>
      <c r="W38" s="525"/>
      <c r="X38" s="525"/>
      <c r="Y38" s="525"/>
      <c r="Z38" s="525"/>
      <c r="AA38" s="525"/>
      <c r="AB38" s="526"/>
      <c r="AC38" s="101"/>
    </row>
    <row r="39" spans="1:29" ht="28.5" customHeight="1" thickBot="1">
      <c r="A39" s="521"/>
      <c r="B39" s="523"/>
      <c r="C39" s="94" t="s">
        <v>10</v>
      </c>
      <c r="D39" s="110"/>
      <c r="E39" s="110"/>
      <c r="F39" s="110"/>
      <c r="G39" s="110"/>
      <c r="H39" s="110"/>
      <c r="I39" s="110"/>
      <c r="J39" s="110"/>
      <c r="K39" s="110"/>
      <c r="L39" s="111"/>
      <c r="M39" s="111"/>
      <c r="N39" s="111"/>
      <c r="O39" s="111"/>
      <c r="P39" s="112">
        <f t="shared" si="0"/>
        <v>0</v>
      </c>
      <c r="Q39" s="527"/>
      <c r="R39" s="528"/>
      <c r="S39" s="528"/>
      <c r="T39" s="528"/>
      <c r="U39" s="528"/>
      <c r="V39" s="528"/>
      <c r="W39" s="528"/>
      <c r="X39" s="528"/>
      <c r="Y39" s="528"/>
      <c r="Z39" s="528"/>
      <c r="AA39" s="528"/>
      <c r="AB39" s="529"/>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AY27"/>
  <sheetViews>
    <sheetView zoomScale="70" zoomScaleNormal="70" zoomScalePageLayoutView="0" workbookViewId="0" topLeftCell="A1">
      <selection activeCell="A1" sqref="A1:AY20"/>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39.7109375" style="113" customWidth="1"/>
    <col min="10" max="10" width="39.8515625" style="113" customWidth="1"/>
    <col min="11" max="11" width="18.421875" style="113" customWidth="1"/>
    <col min="12" max="12" width="11.8515625" style="113" customWidth="1"/>
    <col min="13" max="13" width="12.421875" style="113" customWidth="1"/>
    <col min="14" max="14" width="33.28125" style="113" customWidth="1"/>
    <col min="15" max="17" width="8.7109375" style="113" customWidth="1"/>
    <col min="18" max="18" width="8.7109375" style="131" customWidth="1"/>
    <col min="19" max="19" width="8.7109375" style="113" customWidth="1"/>
    <col min="20" max="20" width="16.7109375" style="113" customWidth="1"/>
    <col min="21" max="21" width="24.7109375" style="113" customWidth="1"/>
    <col min="22" max="45" width="7.421875" style="113" customWidth="1"/>
    <col min="46" max="46" width="17.140625" style="113" customWidth="1"/>
    <col min="47" max="47" width="15.8515625" style="217" customWidth="1"/>
    <col min="48" max="48" width="52.140625" style="113" customWidth="1"/>
    <col min="49" max="49" width="60.28125" style="113" customWidth="1"/>
    <col min="50" max="51" width="52.14062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1048" t="s">
        <v>423</v>
      </c>
      <c r="AY1" s="1049"/>
    </row>
    <row r="2" spans="1:51" ht="15.75" customHeight="1">
      <c r="A2" s="1105" t="s">
        <v>17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7"/>
      <c r="AX2" s="1051" t="s">
        <v>418</v>
      </c>
      <c r="AY2" s="1052"/>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1051" t="s">
        <v>424</v>
      </c>
      <c r="AY3" s="1052"/>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788</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1081">
        <v>45117</v>
      </c>
      <c r="E6" s="794"/>
      <c r="F6" s="784" t="s">
        <v>67</v>
      </c>
      <c r="G6" s="786"/>
      <c r="H6" s="1123" t="s">
        <v>70</v>
      </c>
      <c r="I6" s="1123"/>
      <c r="J6" s="121"/>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1122"/>
      <c r="AJ6" s="1122"/>
      <c r="AK6" s="1122"/>
      <c r="AL6" s="1122"/>
      <c r="AM6" s="1122"/>
      <c r="AN6" s="1122"/>
      <c r="AO6" s="1122"/>
      <c r="AP6" s="1122"/>
      <c r="AQ6" s="1122"/>
      <c r="AR6" s="1122"/>
      <c r="AS6" s="1122"/>
      <c r="AT6" s="1122"/>
      <c r="AU6" s="789"/>
      <c r="AV6" s="782"/>
      <c r="AW6" s="782"/>
      <c r="AX6" s="782"/>
      <c r="AY6" s="782"/>
    </row>
    <row r="7" spans="1:51" ht="15" customHeight="1">
      <c r="A7" s="793"/>
      <c r="B7" s="793"/>
      <c r="C7" s="793"/>
      <c r="D7" s="794"/>
      <c r="E7" s="794"/>
      <c r="F7" s="787"/>
      <c r="G7" s="789"/>
      <c r="H7" s="1123" t="s">
        <v>68</v>
      </c>
      <c r="I7" s="1123"/>
      <c r="J7" s="121"/>
      <c r="K7" s="787"/>
      <c r="L7" s="1122"/>
      <c r="M7" s="1122"/>
      <c r="N7" s="1122"/>
      <c r="O7" s="1122"/>
      <c r="P7" s="1122"/>
      <c r="Q7" s="1122"/>
      <c r="R7" s="1122"/>
      <c r="S7" s="1122"/>
      <c r="T7" s="1122"/>
      <c r="U7" s="1122"/>
      <c r="V7" s="231"/>
      <c r="W7" s="231"/>
      <c r="X7" s="231"/>
      <c r="Y7" s="231"/>
      <c r="Z7" s="231"/>
      <c r="AA7" s="231"/>
      <c r="AB7" s="231"/>
      <c r="AC7" s="231"/>
      <c r="AD7" s="231"/>
      <c r="AE7" s="231"/>
      <c r="AF7" s="231"/>
      <c r="AG7" s="117"/>
      <c r="AH7" s="787"/>
      <c r="AI7" s="1122"/>
      <c r="AJ7" s="1122"/>
      <c r="AK7" s="1122"/>
      <c r="AL7" s="1122"/>
      <c r="AM7" s="1122"/>
      <c r="AN7" s="1122"/>
      <c r="AO7" s="1122"/>
      <c r="AP7" s="1122"/>
      <c r="AQ7" s="1122"/>
      <c r="AR7" s="1122"/>
      <c r="AS7" s="1122"/>
      <c r="AT7" s="1122"/>
      <c r="AU7" s="789"/>
      <c r="AV7" s="782"/>
      <c r="AW7" s="782"/>
      <c r="AX7" s="782"/>
      <c r="AY7" s="782"/>
    </row>
    <row r="8" spans="1:51" ht="15" customHeight="1">
      <c r="A8" s="793"/>
      <c r="B8" s="793"/>
      <c r="C8" s="793"/>
      <c r="D8" s="794"/>
      <c r="E8" s="794"/>
      <c r="F8" s="790"/>
      <c r="G8" s="792"/>
      <c r="H8" s="1123" t="s">
        <v>69</v>
      </c>
      <c r="I8" s="1123"/>
      <c r="J8" s="121"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1122"/>
      <c r="AJ8" s="1122"/>
      <c r="AK8" s="1122"/>
      <c r="AL8" s="1122"/>
      <c r="AM8" s="1122"/>
      <c r="AN8" s="1122"/>
      <c r="AO8" s="1122"/>
      <c r="AP8" s="1122"/>
      <c r="AQ8" s="1122"/>
      <c r="AR8" s="1122"/>
      <c r="AS8" s="1122"/>
      <c r="AT8" s="1122"/>
      <c r="AU8" s="789"/>
      <c r="AV8" s="782"/>
      <c r="AW8" s="782"/>
      <c r="AX8" s="782"/>
      <c r="AY8" s="782"/>
    </row>
    <row r="9" spans="1:51" ht="15" customHeight="1">
      <c r="A9" s="762" t="s">
        <v>399</v>
      </c>
      <c r="B9" s="763"/>
      <c r="C9" s="764"/>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1122"/>
      <c r="AJ9" s="1122"/>
      <c r="AK9" s="1122"/>
      <c r="AL9" s="1122"/>
      <c r="AM9" s="1122"/>
      <c r="AN9" s="1122"/>
      <c r="AO9" s="1122"/>
      <c r="AP9" s="1122"/>
      <c r="AQ9" s="1122"/>
      <c r="AR9" s="1122"/>
      <c r="AS9" s="1122"/>
      <c r="AT9" s="1122"/>
      <c r="AU9" s="789"/>
      <c r="AV9" s="782"/>
      <c r="AW9" s="782"/>
      <c r="AX9" s="782"/>
      <c r="AY9" s="782"/>
    </row>
    <row r="10" spans="1:51" ht="15" customHeight="1">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120" t="s">
        <v>169</v>
      </c>
      <c r="B12" s="120" t="s">
        <v>170</v>
      </c>
      <c r="C12" s="120" t="s">
        <v>171</v>
      </c>
      <c r="D12" s="120" t="s">
        <v>178</v>
      </c>
      <c r="E12" s="120" t="s">
        <v>185</v>
      </c>
      <c r="F12" s="120" t="s">
        <v>186</v>
      </c>
      <c r="G12" s="120" t="s">
        <v>277</v>
      </c>
      <c r="H12" s="120" t="s">
        <v>184</v>
      </c>
      <c r="I12" s="775"/>
      <c r="J12" s="775"/>
      <c r="K12" s="775"/>
      <c r="L12" s="775"/>
      <c r="M12" s="775"/>
      <c r="N12" s="775"/>
      <c r="O12" s="120">
        <v>2020</v>
      </c>
      <c r="P12" s="120">
        <v>2021</v>
      </c>
      <c r="Q12" s="120">
        <v>2022</v>
      </c>
      <c r="R12" s="393">
        <v>2023</v>
      </c>
      <c r="S12" s="120">
        <v>2024</v>
      </c>
      <c r="T12" s="775"/>
      <c r="U12" s="775"/>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5"/>
      <c r="AW12" s="775"/>
      <c r="AX12" s="775"/>
      <c r="AY12" s="775"/>
    </row>
    <row r="13" spans="1:51" ht="152.25" customHeight="1">
      <c r="A13" s="121"/>
      <c r="B13" s="121"/>
      <c r="C13" s="121"/>
      <c r="D13" s="121"/>
      <c r="E13" s="121" t="s">
        <v>425</v>
      </c>
      <c r="F13" s="121"/>
      <c r="G13" s="122" t="s">
        <v>719</v>
      </c>
      <c r="H13" s="121"/>
      <c r="I13" s="313" t="s">
        <v>583</v>
      </c>
      <c r="J13" s="313" t="s">
        <v>584</v>
      </c>
      <c r="K13" s="124" t="s">
        <v>430</v>
      </c>
      <c r="L13" s="314" t="s">
        <v>450</v>
      </c>
      <c r="M13" s="308" t="s">
        <v>585</v>
      </c>
      <c r="N13" s="313" t="s">
        <v>586</v>
      </c>
      <c r="O13" s="123"/>
      <c r="P13" s="123"/>
      <c r="Q13" s="123"/>
      <c r="R13" s="399">
        <v>6</v>
      </c>
      <c r="S13" s="123"/>
      <c r="T13" s="121" t="s">
        <v>433</v>
      </c>
      <c r="U13" s="122" t="s">
        <v>587</v>
      </c>
      <c r="V13" s="315">
        <v>1</v>
      </c>
      <c r="W13" s="315">
        <v>1</v>
      </c>
      <c r="X13" s="315"/>
      <c r="Y13" s="315">
        <v>1</v>
      </c>
      <c r="Z13" s="315"/>
      <c r="AA13" s="315"/>
      <c r="AB13" s="315">
        <v>1</v>
      </c>
      <c r="AC13" s="315">
        <v>1</v>
      </c>
      <c r="AD13" s="315"/>
      <c r="AE13" s="315">
        <v>1</v>
      </c>
      <c r="AF13" s="316"/>
      <c r="AG13" s="316"/>
      <c r="AH13" s="485">
        <v>1</v>
      </c>
      <c r="AI13" s="468">
        <v>0</v>
      </c>
      <c r="AJ13" s="468"/>
      <c r="AK13" s="468">
        <v>0</v>
      </c>
      <c r="AL13" s="468"/>
      <c r="AM13" s="468"/>
      <c r="AN13" s="468"/>
      <c r="AO13" s="468"/>
      <c r="AP13" s="468"/>
      <c r="AQ13" s="468"/>
      <c r="AR13" s="468"/>
      <c r="AS13" s="468"/>
      <c r="AT13" s="516">
        <f>SUM(AH13:AS13)</f>
        <v>1</v>
      </c>
      <c r="AU13" s="379">
        <f>+AT13/R13</f>
        <v>0.16666666666666666</v>
      </c>
      <c r="AV13" s="494" t="s">
        <v>895</v>
      </c>
      <c r="AW13" s="466" t="s">
        <v>949</v>
      </c>
      <c r="AX13" s="363" t="s">
        <v>450</v>
      </c>
      <c r="AY13" s="363" t="s">
        <v>450</v>
      </c>
    </row>
    <row r="14" spans="1:51" s="324" customFormat="1" ht="69.75" customHeight="1">
      <c r="A14" s="397"/>
      <c r="B14" s="317"/>
      <c r="C14" s="317"/>
      <c r="D14" s="317"/>
      <c r="E14" s="121" t="s">
        <v>425</v>
      </c>
      <c r="F14" s="317"/>
      <c r="G14" s="122" t="s">
        <v>719</v>
      </c>
      <c r="H14" s="317"/>
      <c r="I14" s="318" t="s">
        <v>588</v>
      </c>
      <c r="J14" s="318" t="s">
        <v>589</v>
      </c>
      <c r="K14" s="319" t="s">
        <v>430</v>
      </c>
      <c r="L14" s="320" t="s">
        <v>450</v>
      </c>
      <c r="M14" s="321" t="s">
        <v>590</v>
      </c>
      <c r="N14" s="318" t="s">
        <v>589</v>
      </c>
      <c r="O14" s="322"/>
      <c r="P14" s="322"/>
      <c r="Q14" s="322"/>
      <c r="R14" s="399">
        <v>1</v>
      </c>
      <c r="S14" s="322"/>
      <c r="T14" s="232" t="s">
        <v>591</v>
      </c>
      <c r="U14" s="232" t="s">
        <v>592</v>
      </c>
      <c r="V14" s="315"/>
      <c r="W14" s="315"/>
      <c r="X14" s="315"/>
      <c r="Y14" s="315"/>
      <c r="Z14" s="315"/>
      <c r="AA14" s="315"/>
      <c r="AB14" s="315"/>
      <c r="AC14" s="315"/>
      <c r="AD14" s="315">
        <v>1</v>
      </c>
      <c r="AE14" s="315"/>
      <c r="AF14" s="316"/>
      <c r="AG14" s="316"/>
      <c r="AH14" s="422"/>
      <c r="AI14" s="323"/>
      <c r="AJ14" s="323"/>
      <c r="AK14" s="323"/>
      <c r="AL14" s="323"/>
      <c r="AM14" s="323"/>
      <c r="AN14" s="323"/>
      <c r="AO14" s="323"/>
      <c r="AP14" s="323"/>
      <c r="AQ14" s="323"/>
      <c r="AR14" s="323"/>
      <c r="AS14" s="323"/>
      <c r="AT14" s="124">
        <f>SUM(AH14:AS14)</f>
        <v>0</v>
      </c>
      <c r="AU14" s="379">
        <f>+AT14/R14</f>
        <v>0</v>
      </c>
      <c r="AV14" s="494" t="s">
        <v>895</v>
      </c>
      <c r="AW14" s="494" t="s">
        <v>895</v>
      </c>
      <c r="AX14" s="363" t="s">
        <v>450</v>
      </c>
      <c r="AY14" s="363" t="s">
        <v>450</v>
      </c>
    </row>
    <row r="15" spans="1:51" s="326" customFormat="1" ht="250.5" customHeight="1">
      <c r="A15" s="398"/>
      <c r="B15" s="325"/>
      <c r="C15" s="325"/>
      <c r="D15" s="325"/>
      <c r="E15" s="121" t="s">
        <v>425</v>
      </c>
      <c r="F15" s="325"/>
      <c r="G15" s="122" t="s">
        <v>719</v>
      </c>
      <c r="H15" s="325"/>
      <c r="I15" s="318" t="s">
        <v>766</v>
      </c>
      <c r="J15" s="318" t="s">
        <v>593</v>
      </c>
      <c r="K15" s="319" t="s">
        <v>453</v>
      </c>
      <c r="L15" s="320" t="s">
        <v>450</v>
      </c>
      <c r="M15" s="321" t="s">
        <v>431</v>
      </c>
      <c r="N15" s="318" t="s">
        <v>594</v>
      </c>
      <c r="O15" s="319"/>
      <c r="P15" s="319"/>
      <c r="Q15" s="319"/>
      <c r="R15" s="400">
        <v>1</v>
      </c>
      <c r="S15" s="319"/>
      <c r="T15" s="325" t="s">
        <v>460</v>
      </c>
      <c r="U15" s="232" t="s">
        <v>595</v>
      </c>
      <c r="V15" s="392">
        <v>1</v>
      </c>
      <c r="W15" s="392">
        <v>1</v>
      </c>
      <c r="X15" s="392">
        <v>1</v>
      </c>
      <c r="Y15" s="392">
        <v>1</v>
      </c>
      <c r="Z15" s="392">
        <v>1</v>
      </c>
      <c r="AA15" s="392">
        <v>1</v>
      </c>
      <c r="AB15" s="392">
        <v>1</v>
      </c>
      <c r="AC15" s="392">
        <v>1</v>
      </c>
      <c r="AD15" s="392">
        <v>1</v>
      </c>
      <c r="AE15" s="392">
        <v>1</v>
      </c>
      <c r="AF15" s="392">
        <v>1</v>
      </c>
      <c r="AG15" s="392">
        <v>1</v>
      </c>
      <c r="AH15" s="392">
        <v>0.8444</v>
      </c>
      <c r="AI15" s="452">
        <v>1.16</v>
      </c>
      <c r="AJ15" s="452">
        <v>1</v>
      </c>
      <c r="AK15" s="452">
        <v>1</v>
      </c>
      <c r="AL15" s="452">
        <v>1</v>
      </c>
      <c r="AM15" s="452">
        <v>1</v>
      </c>
      <c r="AN15" s="319"/>
      <c r="AO15" s="319"/>
      <c r="AP15" s="319"/>
      <c r="AQ15" s="319"/>
      <c r="AR15" s="319"/>
      <c r="AS15" s="319"/>
      <c r="AT15" s="127">
        <f>AVERAGE(AH15:AS15)</f>
        <v>1.0007333333333335</v>
      </c>
      <c r="AU15" s="379">
        <f>+(SUM(AH15:AS15)/+SUM(V15:AG15))</f>
        <v>0.5003666666666667</v>
      </c>
      <c r="AV15" s="517" t="s">
        <v>950</v>
      </c>
      <c r="AW15" s="517" t="s">
        <v>951</v>
      </c>
      <c r="AX15" s="519" t="s">
        <v>933</v>
      </c>
      <c r="AY15" s="363" t="s">
        <v>450</v>
      </c>
    </row>
    <row r="16" spans="1:51" s="326" customFormat="1" ht="179.25" customHeight="1">
      <c r="A16" s="398"/>
      <c r="B16" s="325"/>
      <c r="C16" s="325"/>
      <c r="D16" s="325"/>
      <c r="E16" s="121" t="s">
        <v>425</v>
      </c>
      <c r="F16" s="325"/>
      <c r="G16" s="122" t="s">
        <v>719</v>
      </c>
      <c r="H16" s="325"/>
      <c r="I16" s="318" t="s">
        <v>767</v>
      </c>
      <c r="J16" s="318" t="s">
        <v>768</v>
      </c>
      <c r="K16" s="319" t="s">
        <v>453</v>
      </c>
      <c r="L16" s="320" t="s">
        <v>450</v>
      </c>
      <c r="M16" s="321" t="s">
        <v>431</v>
      </c>
      <c r="N16" s="318" t="s">
        <v>769</v>
      </c>
      <c r="O16" s="319"/>
      <c r="P16" s="319"/>
      <c r="Q16" s="319"/>
      <c r="R16" s="400">
        <v>0.7</v>
      </c>
      <c r="S16" s="319"/>
      <c r="T16" s="325" t="s">
        <v>460</v>
      </c>
      <c r="U16" s="232" t="s">
        <v>595</v>
      </c>
      <c r="V16" s="392">
        <v>0.7</v>
      </c>
      <c r="W16" s="392">
        <v>0.7</v>
      </c>
      <c r="X16" s="392">
        <v>0.7</v>
      </c>
      <c r="Y16" s="392">
        <v>0.7</v>
      </c>
      <c r="Z16" s="392">
        <v>0.7</v>
      </c>
      <c r="AA16" s="392">
        <v>0.7</v>
      </c>
      <c r="AB16" s="392">
        <v>0.7</v>
      </c>
      <c r="AC16" s="392">
        <v>0.7</v>
      </c>
      <c r="AD16" s="392">
        <v>0.7</v>
      </c>
      <c r="AE16" s="392">
        <v>0.7</v>
      </c>
      <c r="AF16" s="392">
        <v>0.7</v>
      </c>
      <c r="AG16" s="392">
        <v>0.7</v>
      </c>
      <c r="AH16" s="382">
        <v>0.4651</v>
      </c>
      <c r="AI16" s="452">
        <v>0.79</v>
      </c>
      <c r="AJ16" s="452">
        <v>0.92</v>
      </c>
      <c r="AK16" s="452">
        <v>0.91</v>
      </c>
      <c r="AL16" s="452">
        <v>0.92</v>
      </c>
      <c r="AM16" s="382">
        <v>0.89</v>
      </c>
      <c r="AN16" s="319"/>
      <c r="AO16" s="319"/>
      <c r="AP16" s="319"/>
      <c r="AQ16" s="319"/>
      <c r="AR16" s="319"/>
      <c r="AS16" s="319"/>
      <c r="AT16" s="127">
        <f>AVERAGE(AH16:AS16)</f>
        <v>0.8158500000000001</v>
      </c>
      <c r="AU16" s="379">
        <f>+(SUM(AH16:AS16)/+SUM(V16:AG16))</f>
        <v>0.58275</v>
      </c>
      <c r="AV16" s="518" t="s">
        <v>952</v>
      </c>
      <c r="AW16" s="517" t="s">
        <v>953</v>
      </c>
      <c r="AX16" s="519" t="s">
        <v>933</v>
      </c>
      <c r="AY16" s="363" t="s">
        <v>450</v>
      </c>
    </row>
    <row r="17" spans="1:51" s="326" customFormat="1" ht="69.75" customHeight="1">
      <c r="A17" s="325"/>
      <c r="B17" s="325"/>
      <c r="C17" s="325"/>
      <c r="D17" s="325"/>
      <c r="E17" s="121" t="s">
        <v>425</v>
      </c>
      <c r="F17" s="325"/>
      <c r="G17" s="122" t="s">
        <v>719</v>
      </c>
      <c r="H17" s="325"/>
      <c r="I17" s="318" t="s">
        <v>596</v>
      </c>
      <c r="J17" s="318" t="s">
        <v>597</v>
      </c>
      <c r="K17" s="319" t="s">
        <v>430</v>
      </c>
      <c r="L17" s="325" t="s">
        <v>450</v>
      </c>
      <c r="M17" s="321" t="s">
        <v>598</v>
      </c>
      <c r="N17" s="318" t="s">
        <v>599</v>
      </c>
      <c r="O17" s="319"/>
      <c r="P17" s="319"/>
      <c r="Q17" s="319"/>
      <c r="R17" s="401">
        <v>2</v>
      </c>
      <c r="S17" s="319"/>
      <c r="T17" s="325" t="s">
        <v>455</v>
      </c>
      <c r="U17" s="232" t="s">
        <v>600</v>
      </c>
      <c r="V17" s="316"/>
      <c r="W17" s="316"/>
      <c r="X17" s="316"/>
      <c r="Y17" s="316"/>
      <c r="Z17" s="316"/>
      <c r="AA17" s="316"/>
      <c r="AB17" s="316">
        <v>1</v>
      </c>
      <c r="AC17" s="316"/>
      <c r="AD17" s="316"/>
      <c r="AE17" s="316"/>
      <c r="AF17" s="316"/>
      <c r="AG17" s="316">
        <v>1</v>
      </c>
      <c r="AH17" s="423"/>
      <c r="AI17" s="319"/>
      <c r="AJ17" s="319"/>
      <c r="AK17" s="319"/>
      <c r="AL17" s="319"/>
      <c r="AM17" s="319"/>
      <c r="AN17" s="319"/>
      <c r="AO17" s="319"/>
      <c r="AP17" s="319"/>
      <c r="AQ17" s="319"/>
      <c r="AR17" s="319"/>
      <c r="AS17" s="319"/>
      <c r="AT17" s="124">
        <f>SUM(AH17:AS17)</f>
        <v>0</v>
      </c>
      <c r="AU17" s="379">
        <f>+AT17/R17</f>
        <v>0</v>
      </c>
      <c r="AV17" s="494" t="s">
        <v>895</v>
      </c>
      <c r="AW17" s="451" t="s">
        <v>933</v>
      </c>
      <c r="AX17" s="363" t="s">
        <v>450</v>
      </c>
      <c r="AY17" s="363" t="s">
        <v>450</v>
      </c>
    </row>
    <row r="18" spans="1:51" ht="54" customHeight="1">
      <c r="A18" s="777" t="s">
        <v>64</v>
      </c>
      <c r="B18" s="777"/>
      <c r="C18" s="777"/>
      <c r="D18" s="773" t="s">
        <v>66</v>
      </c>
      <c r="E18" s="773"/>
      <c r="F18" s="773"/>
      <c r="G18" s="773"/>
      <c r="H18" s="773"/>
      <c r="I18" s="773"/>
      <c r="J18" s="778" t="s">
        <v>300</v>
      </c>
      <c r="K18" s="778"/>
      <c r="L18" s="778"/>
      <c r="M18" s="778"/>
      <c r="N18" s="778"/>
      <c r="O18" s="778"/>
      <c r="P18" s="773" t="s">
        <v>66</v>
      </c>
      <c r="Q18" s="773"/>
      <c r="R18" s="773"/>
      <c r="S18" s="773"/>
      <c r="T18" s="773"/>
      <c r="U18" s="773"/>
      <c r="V18" s="773" t="s">
        <v>66</v>
      </c>
      <c r="W18" s="773"/>
      <c r="X18" s="773"/>
      <c r="Y18" s="773"/>
      <c r="Z18" s="773"/>
      <c r="AA18" s="773"/>
      <c r="AB18" s="773"/>
      <c r="AC18" s="773"/>
      <c r="AD18" s="773" t="s">
        <v>66</v>
      </c>
      <c r="AE18" s="773"/>
      <c r="AF18" s="773"/>
      <c r="AG18" s="773"/>
      <c r="AH18" s="773"/>
      <c r="AI18" s="773"/>
      <c r="AJ18" s="773"/>
      <c r="AK18" s="773"/>
      <c r="AL18" s="773"/>
      <c r="AM18" s="773"/>
      <c r="AN18" s="773"/>
      <c r="AO18" s="773"/>
      <c r="AP18" s="778" t="s">
        <v>318</v>
      </c>
      <c r="AQ18" s="778"/>
      <c r="AR18" s="778"/>
      <c r="AS18" s="778"/>
      <c r="AT18" s="773" t="s">
        <v>13</v>
      </c>
      <c r="AU18" s="773"/>
      <c r="AV18" s="773"/>
      <c r="AW18" s="773"/>
      <c r="AX18" s="773"/>
      <c r="AY18" s="773"/>
    </row>
    <row r="19" spans="1:51" ht="30" customHeight="1">
      <c r="A19" s="777"/>
      <c r="B19" s="777"/>
      <c r="C19" s="777"/>
      <c r="D19" s="773" t="s">
        <v>816</v>
      </c>
      <c r="E19" s="773"/>
      <c r="F19" s="773"/>
      <c r="G19" s="773"/>
      <c r="H19" s="773"/>
      <c r="I19" s="773"/>
      <c r="J19" s="778"/>
      <c r="K19" s="778"/>
      <c r="L19" s="778"/>
      <c r="M19" s="778"/>
      <c r="N19" s="778"/>
      <c r="O19" s="778"/>
      <c r="P19" s="773" t="s">
        <v>954</v>
      </c>
      <c r="Q19" s="773"/>
      <c r="R19" s="773"/>
      <c r="S19" s="773"/>
      <c r="T19" s="773"/>
      <c r="U19" s="773"/>
      <c r="V19" s="773" t="s">
        <v>65</v>
      </c>
      <c r="W19" s="773"/>
      <c r="X19" s="773"/>
      <c r="Y19" s="773"/>
      <c r="Z19" s="773"/>
      <c r="AA19" s="773"/>
      <c r="AB19" s="773"/>
      <c r="AC19" s="773"/>
      <c r="AD19" s="773" t="s">
        <v>65</v>
      </c>
      <c r="AE19" s="773"/>
      <c r="AF19" s="773"/>
      <c r="AG19" s="773"/>
      <c r="AH19" s="773"/>
      <c r="AI19" s="773"/>
      <c r="AJ19" s="773"/>
      <c r="AK19" s="773"/>
      <c r="AL19" s="773"/>
      <c r="AM19" s="773"/>
      <c r="AN19" s="773"/>
      <c r="AO19" s="773"/>
      <c r="AP19" s="778"/>
      <c r="AQ19" s="778"/>
      <c r="AR19" s="778"/>
      <c r="AS19" s="778"/>
      <c r="AT19" s="773" t="s">
        <v>771</v>
      </c>
      <c r="AU19" s="773"/>
      <c r="AV19" s="773"/>
      <c r="AW19" s="773"/>
      <c r="AX19" s="773"/>
      <c r="AY19" s="773"/>
    </row>
    <row r="20" spans="1:51" ht="30" customHeight="1">
      <c r="A20" s="777"/>
      <c r="B20" s="777"/>
      <c r="C20" s="777"/>
      <c r="D20" s="773" t="s">
        <v>817</v>
      </c>
      <c r="E20" s="773"/>
      <c r="F20" s="773"/>
      <c r="G20" s="773"/>
      <c r="H20" s="773"/>
      <c r="I20" s="773"/>
      <c r="J20" s="778"/>
      <c r="K20" s="778"/>
      <c r="L20" s="778"/>
      <c r="M20" s="778"/>
      <c r="N20" s="778"/>
      <c r="O20" s="778"/>
      <c r="P20" s="773" t="s">
        <v>818</v>
      </c>
      <c r="Q20" s="773"/>
      <c r="R20" s="773"/>
      <c r="S20" s="773"/>
      <c r="T20" s="773"/>
      <c r="U20" s="773"/>
      <c r="V20" s="773" t="s">
        <v>297</v>
      </c>
      <c r="W20" s="773"/>
      <c r="X20" s="773"/>
      <c r="Y20" s="773"/>
      <c r="Z20" s="773"/>
      <c r="AA20" s="773"/>
      <c r="AB20" s="773"/>
      <c r="AC20" s="773"/>
      <c r="AD20" s="773" t="s">
        <v>297</v>
      </c>
      <c r="AE20" s="773"/>
      <c r="AF20" s="773"/>
      <c r="AG20" s="773"/>
      <c r="AH20" s="773"/>
      <c r="AI20" s="773"/>
      <c r="AJ20" s="773"/>
      <c r="AK20" s="773"/>
      <c r="AL20" s="773"/>
      <c r="AM20" s="773"/>
      <c r="AN20" s="773"/>
      <c r="AO20" s="773"/>
      <c r="AP20" s="778"/>
      <c r="AQ20" s="778"/>
      <c r="AR20" s="778"/>
      <c r="AS20" s="778"/>
      <c r="AT20" s="773" t="s">
        <v>75</v>
      </c>
      <c r="AU20" s="773"/>
      <c r="AV20" s="773"/>
      <c r="AW20" s="773"/>
      <c r="AX20" s="773"/>
      <c r="AY20" s="773"/>
    </row>
    <row r="27" ht="15">
      <c r="S27"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6" r:id="rId3"/>
  <legacyDrawing r:id="rId2"/>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Y18"/>
  <sheetViews>
    <sheetView zoomScale="70" zoomScaleNormal="70" zoomScalePageLayoutView="0" workbookViewId="0" topLeftCell="AO7">
      <selection activeCell="AW15" sqref="AW15"/>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36.7109375" style="113" customWidth="1"/>
    <col min="8" max="8" width="14.7109375" style="113" customWidth="1"/>
    <col min="9" max="9" width="40.7109375" style="113" customWidth="1"/>
    <col min="10" max="10" width="32.1406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22.57421875" style="113" customWidth="1"/>
    <col min="22" max="45" width="6.7109375" style="113" customWidth="1"/>
    <col min="46" max="46" width="17.140625" style="113" customWidth="1"/>
    <col min="47" max="47" width="15.8515625" style="217" customWidth="1"/>
    <col min="48" max="49" width="48.8515625" style="113" customWidth="1"/>
    <col min="50" max="51" width="33.851562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1048" t="s">
        <v>423</v>
      </c>
      <c r="AY1" s="1049"/>
    </row>
    <row r="2" spans="1:51" ht="15.75" customHeight="1">
      <c r="A2" s="1105" t="s">
        <v>17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7"/>
      <c r="AX2" s="1051" t="s">
        <v>418</v>
      </c>
      <c r="AY2" s="1052"/>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1051" t="s">
        <v>424</v>
      </c>
      <c r="AY3" s="1052"/>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789</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1081">
        <v>45117</v>
      </c>
      <c r="E6" s="794"/>
      <c r="F6" s="784" t="s">
        <v>67</v>
      </c>
      <c r="G6" s="786"/>
      <c r="H6" s="1123" t="s">
        <v>70</v>
      </c>
      <c r="I6" s="1123"/>
      <c r="J6" s="121"/>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1122"/>
      <c r="AJ6" s="1122"/>
      <c r="AK6" s="1122"/>
      <c r="AL6" s="1122"/>
      <c r="AM6" s="1122"/>
      <c r="AN6" s="1122"/>
      <c r="AO6" s="1122"/>
      <c r="AP6" s="1122"/>
      <c r="AQ6" s="1122"/>
      <c r="AR6" s="1122"/>
      <c r="AS6" s="1122"/>
      <c r="AT6" s="1122"/>
      <c r="AU6" s="789"/>
      <c r="AV6" s="782"/>
      <c r="AW6" s="782"/>
      <c r="AX6" s="782"/>
      <c r="AY6" s="782"/>
    </row>
    <row r="7" spans="1:51" ht="15" customHeight="1">
      <c r="A7" s="793"/>
      <c r="B7" s="793"/>
      <c r="C7" s="793"/>
      <c r="D7" s="794"/>
      <c r="E7" s="794"/>
      <c r="F7" s="787"/>
      <c r="G7" s="789"/>
      <c r="H7" s="1123" t="s">
        <v>68</v>
      </c>
      <c r="I7" s="1123"/>
      <c r="J7" s="121"/>
      <c r="K7" s="787"/>
      <c r="L7" s="1122"/>
      <c r="M7" s="1122"/>
      <c r="N7" s="1122"/>
      <c r="O7" s="1122"/>
      <c r="P7" s="1122"/>
      <c r="Q7" s="1122"/>
      <c r="R7" s="1122"/>
      <c r="S7" s="1122"/>
      <c r="T7" s="1122"/>
      <c r="U7" s="1122"/>
      <c r="V7" s="231"/>
      <c r="W7" s="231"/>
      <c r="X7" s="231"/>
      <c r="Y7" s="231"/>
      <c r="Z7" s="231"/>
      <c r="AA7" s="231"/>
      <c r="AB7" s="231"/>
      <c r="AC7" s="231"/>
      <c r="AD7" s="231"/>
      <c r="AE7" s="231"/>
      <c r="AF7" s="231"/>
      <c r="AG7" s="117"/>
      <c r="AH7" s="787"/>
      <c r="AI7" s="1122"/>
      <c r="AJ7" s="1122"/>
      <c r="AK7" s="1122"/>
      <c r="AL7" s="1122"/>
      <c r="AM7" s="1122"/>
      <c r="AN7" s="1122"/>
      <c r="AO7" s="1122"/>
      <c r="AP7" s="1122"/>
      <c r="AQ7" s="1122"/>
      <c r="AR7" s="1122"/>
      <c r="AS7" s="1122"/>
      <c r="AT7" s="1122"/>
      <c r="AU7" s="789"/>
      <c r="AV7" s="782"/>
      <c r="AW7" s="782"/>
      <c r="AX7" s="782"/>
      <c r="AY7" s="782"/>
    </row>
    <row r="8" spans="1:51" ht="15" customHeight="1">
      <c r="A8" s="793"/>
      <c r="B8" s="793"/>
      <c r="C8" s="793"/>
      <c r="D8" s="794"/>
      <c r="E8" s="794"/>
      <c r="F8" s="790"/>
      <c r="G8" s="792"/>
      <c r="H8" s="1123" t="s">
        <v>69</v>
      </c>
      <c r="I8" s="1123"/>
      <c r="J8" s="121"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1122"/>
      <c r="AJ8" s="1122"/>
      <c r="AK8" s="1122"/>
      <c r="AL8" s="1122"/>
      <c r="AM8" s="1122"/>
      <c r="AN8" s="1122"/>
      <c r="AO8" s="1122"/>
      <c r="AP8" s="1122"/>
      <c r="AQ8" s="1122"/>
      <c r="AR8" s="1122"/>
      <c r="AS8" s="1122"/>
      <c r="AT8" s="1122"/>
      <c r="AU8" s="789"/>
      <c r="AV8" s="782"/>
      <c r="AW8" s="782"/>
      <c r="AX8" s="782"/>
      <c r="AY8" s="782"/>
    </row>
    <row r="9" spans="1:51" ht="15" customHeight="1">
      <c r="A9" s="762" t="s">
        <v>399</v>
      </c>
      <c r="B9" s="763"/>
      <c r="C9" s="764"/>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1122"/>
      <c r="AJ9" s="1122"/>
      <c r="AK9" s="1122"/>
      <c r="AL9" s="1122"/>
      <c r="AM9" s="1122"/>
      <c r="AN9" s="1122"/>
      <c r="AO9" s="1122"/>
      <c r="AP9" s="1122"/>
      <c r="AQ9" s="1122"/>
      <c r="AR9" s="1122"/>
      <c r="AS9" s="1122"/>
      <c r="AT9" s="1122"/>
      <c r="AU9" s="789"/>
      <c r="AV9" s="782"/>
      <c r="AW9" s="782"/>
      <c r="AX9" s="782"/>
      <c r="AY9" s="782"/>
    </row>
    <row r="10" spans="1:51" ht="15" customHeight="1">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120" t="s">
        <v>169</v>
      </c>
      <c r="B12" s="120" t="s">
        <v>170</v>
      </c>
      <c r="C12" s="120" t="s">
        <v>171</v>
      </c>
      <c r="D12" s="120" t="s">
        <v>178</v>
      </c>
      <c r="E12" s="120" t="s">
        <v>185</v>
      </c>
      <c r="F12" s="120" t="s">
        <v>186</v>
      </c>
      <c r="G12" s="120" t="s">
        <v>277</v>
      </c>
      <c r="H12" s="120" t="s">
        <v>184</v>
      </c>
      <c r="I12" s="775"/>
      <c r="J12" s="775"/>
      <c r="K12" s="775"/>
      <c r="L12" s="775"/>
      <c r="M12" s="775"/>
      <c r="N12" s="775"/>
      <c r="O12" s="120">
        <v>2020</v>
      </c>
      <c r="P12" s="120">
        <v>2021</v>
      </c>
      <c r="Q12" s="120">
        <v>2022</v>
      </c>
      <c r="R12" s="120">
        <v>2023</v>
      </c>
      <c r="S12" s="120">
        <v>2024</v>
      </c>
      <c r="T12" s="775"/>
      <c r="U12" s="775"/>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5"/>
      <c r="AW12" s="775"/>
      <c r="AX12" s="775"/>
      <c r="AY12" s="775"/>
    </row>
    <row r="13" spans="1:51" ht="102.75" customHeight="1">
      <c r="A13" s="121"/>
      <c r="B13" s="121"/>
      <c r="C13" s="121"/>
      <c r="D13" s="121"/>
      <c r="E13" s="121" t="s">
        <v>425</v>
      </c>
      <c r="F13" s="121"/>
      <c r="G13" s="121" t="s">
        <v>519</v>
      </c>
      <c r="H13" s="121"/>
      <c r="I13" s="294" t="s">
        <v>520</v>
      </c>
      <c r="J13" s="294" t="s">
        <v>521</v>
      </c>
      <c r="K13" s="122" t="s">
        <v>430</v>
      </c>
      <c r="L13" s="122">
        <v>140</v>
      </c>
      <c r="M13" s="122" t="s">
        <v>523</v>
      </c>
      <c r="N13" s="122" t="s">
        <v>524</v>
      </c>
      <c r="O13" s="123"/>
      <c r="P13" s="123"/>
      <c r="Q13" s="123"/>
      <c r="R13" s="121">
        <v>50</v>
      </c>
      <c r="S13" s="123"/>
      <c r="T13" s="123" t="s">
        <v>455</v>
      </c>
      <c r="U13" s="122" t="s">
        <v>525</v>
      </c>
      <c r="V13" s="124"/>
      <c r="W13" s="124"/>
      <c r="X13" s="124"/>
      <c r="Y13" s="124"/>
      <c r="Z13" s="124"/>
      <c r="AA13" s="121">
        <v>25</v>
      </c>
      <c r="AB13" s="121"/>
      <c r="AC13" s="121"/>
      <c r="AD13" s="121"/>
      <c r="AE13" s="121"/>
      <c r="AF13" s="121"/>
      <c r="AG13" s="121">
        <v>25</v>
      </c>
      <c r="AH13" s="124"/>
      <c r="AI13" s="124"/>
      <c r="AJ13" s="124"/>
      <c r="AK13" s="124"/>
      <c r="AL13" s="124"/>
      <c r="AM13" s="124">
        <v>44</v>
      </c>
      <c r="AN13" s="124"/>
      <c r="AO13" s="124"/>
      <c r="AP13" s="124"/>
      <c r="AQ13" s="124"/>
      <c r="AR13" s="124"/>
      <c r="AS13" s="124"/>
      <c r="AT13" s="124">
        <f>SUM(AH13:AS13)</f>
        <v>44</v>
      </c>
      <c r="AU13" s="127">
        <f>+AT13/R13</f>
        <v>0.88</v>
      </c>
      <c r="AV13" s="412" t="s">
        <v>850</v>
      </c>
      <c r="AW13" s="412" t="s">
        <v>850</v>
      </c>
      <c r="AX13" s="417" t="s">
        <v>450</v>
      </c>
      <c r="AY13" s="417" t="s">
        <v>450</v>
      </c>
    </row>
    <row r="14" spans="1:51" ht="186.75" customHeight="1">
      <c r="A14" s="121"/>
      <c r="B14" s="121"/>
      <c r="C14" s="121"/>
      <c r="D14" s="121"/>
      <c r="E14" s="121" t="s">
        <v>425</v>
      </c>
      <c r="F14" s="121"/>
      <c r="G14" s="121" t="s">
        <v>519</v>
      </c>
      <c r="H14" s="121"/>
      <c r="I14" s="294" t="s">
        <v>526</v>
      </c>
      <c r="J14" s="294" t="s">
        <v>527</v>
      </c>
      <c r="K14" s="122" t="s">
        <v>430</v>
      </c>
      <c r="L14" s="121">
        <v>30</v>
      </c>
      <c r="M14" s="121" t="s">
        <v>528</v>
      </c>
      <c r="N14" s="122" t="s">
        <v>529</v>
      </c>
      <c r="O14" s="124"/>
      <c r="P14" s="124"/>
      <c r="Q14" s="124"/>
      <c r="R14" s="121">
        <v>20</v>
      </c>
      <c r="S14" s="124"/>
      <c r="T14" s="121" t="s">
        <v>460</v>
      </c>
      <c r="U14" s="122" t="s">
        <v>530</v>
      </c>
      <c r="V14" s="124"/>
      <c r="W14" s="121">
        <v>2</v>
      </c>
      <c r="X14" s="121">
        <v>2</v>
      </c>
      <c r="Y14" s="121">
        <v>2</v>
      </c>
      <c r="Z14" s="121">
        <v>2</v>
      </c>
      <c r="AA14" s="121">
        <v>2</v>
      </c>
      <c r="AB14" s="121">
        <v>2</v>
      </c>
      <c r="AC14" s="121">
        <v>2</v>
      </c>
      <c r="AD14" s="121">
        <v>2</v>
      </c>
      <c r="AE14" s="121">
        <v>2</v>
      </c>
      <c r="AF14" s="121">
        <v>2</v>
      </c>
      <c r="AG14" s="124"/>
      <c r="AH14" s="124"/>
      <c r="AI14" s="468">
        <v>2</v>
      </c>
      <c r="AJ14" s="468">
        <v>2</v>
      </c>
      <c r="AK14" s="468">
        <v>2</v>
      </c>
      <c r="AL14" s="468">
        <v>2</v>
      </c>
      <c r="AM14" s="124">
        <v>2</v>
      </c>
      <c r="AN14" s="124"/>
      <c r="AO14" s="124"/>
      <c r="AP14" s="124"/>
      <c r="AQ14" s="124"/>
      <c r="AR14" s="124"/>
      <c r="AS14" s="124"/>
      <c r="AT14" s="124">
        <f>SUM(AH14:AS14)</f>
        <v>10</v>
      </c>
      <c r="AU14" s="127">
        <f>+AT14/R14</f>
        <v>0.5</v>
      </c>
      <c r="AV14" s="412" t="s">
        <v>851</v>
      </c>
      <c r="AW14" s="412" t="s">
        <v>852</v>
      </c>
      <c r="AX14" s="417" t="s">
        <v>450</v>
      </c>
      <c r="AY14" s="417" t="s">
        <v>450</v>
      </c>
    </row>
    <row r="15" spans="1:51" ht="184.5" customHeight="1">
      <c r="A15" s="121"/>
      <c r="B15" s="121"/>
      <c r="C15" s="121"/>
      <c r="D15" s="121"/>
      <c r="E15" s="121" t="s">
        <v>425</v>
      </c>
      <c r="F15" s="121"/>
      <c r="G15" s="121" t="s">
        <v>519</v>
      </c>
      <c r="H15" s="121"/>
      <c r="I15" s="294" t="s">
        <v>531</v>
      </c>
      <c r="J15" s="294" t="s">
        <v>532</v>
      </c>
      <c r="K15" s="122" t="s">
        <v>430</v>
      </c>
      <c r="L15" s="121">
        <v>2</v>
      </c>
      <c r="M15" s="124" t="s">
        <v>533</v>
      </c>
      <c r="N15" s="122" t="s">
        <v>465</v>
      </c>
      <c r="O15" s="124"/>
      <c r="P15" s="124"/>
      <c r="Q15" s="124"/>
      <c r="R15" s="121">
        <v>2</v>
      </c>
      <c r="S15" s="124"/>
      <c r="T15" s="122" t="s">
        <v>770</v>
      </c>
      <c r="U15" s="121" t="s">
        <v>465</v>
      </c>
      <c r="V15" s="124"/>
      <c r="W15" s="124"/>
      <c r="X15" s="124"/>
      <c r="Y15" s="124"/>
      <c r="Z15" s="124"/>
      <c r="AA15" s="121">
        <v>1</v>
      </c>
      <c r="AB15" s="121"/>
      <c r="AC15" s="121"/>
      <c r="AD15" s="121"/>
      <c r="AE15" s="121"/>
      <c r="AF15" s="121">
        <v>1</v>
      </c>
      <c r="AG15" s="124"/>
      <c r="AH15" s="124"/>
      <c r="AI15" s="124"/>
      <c r="AJ15" s="124"/>
      <c r="AK15" s="124"/>
      <c r="AL15" s="124"/>
      <c r="AM15" s="124">
        <v>0</v>
      </c>
      <c r="AN15" s="124"/>
      <c r="AO15" s="124"/>
      <c r="AP15" s="124"/>
      <c r="AQ15" s="124"/>
      <c r="AR15" s="124"/>
      <c r="AS15" s="124"/>
      <c r="AT15" s="124">
        <f>SUM(AH15:AS15)</f>
        <v>0</v>
      </c>
      <c r="AU15" s="127">
        <f>+AT15/R15</f>
        <v>0</v>
      </c>
      <c r="AV15" s="412" t="s">
        <v>855</v>
      </c>
      <c r="AW15" s="412" t="s">
        <v>855</v>
      </c>
      <c r="AX15" s="474" t="s">
        <v>853</v>
      </c>
      <c r="AY15" s="474" t="s">
        <v>854</v>
      </c>
    </row>
    <row r="16" spans="1:51" ht="54" customHeight="1">
      <c r="A16" s="777" t="s">
        <v>64</v>
      </c>
      <c r="B16" s="777"/>
      <c r="C16" s="777"/>
      <c r="D16" s="773" t="s">
        <v>66</v>
      </c>
      <c r="E16" s="773"/>
      <c r="F16" s="773"/>
      <c r="G16" s="773"/>
      <c r="H16" s="773"/>
      <c r="I16" s="773"/>
      <c r="J16" s="778" t="s">
        <v>300</v>
      </c>
      <c r="K16" s="778"/>
      <c r="L16" s="778"/>
      <c r="M16" s="778"/>
      <c r="N16" s="778"/>
      <c r="O16" s="778"/>
      <c r="P16" s="773" t="s">
        <v>66</v>
      </c>
      <c r="Q16" s="773"/>
      <c r="R16" s="773"/>
      <c r="S16" s="773"/>
      <c r="T16" s="773"/>
      <c r="U16" s="773"/>
      <c r="V16" s="773" t="s">
        <v>66</v>
      </c>
      <c r="W16" s="773"/>
      <c r="X16" s="773"/>
      <c r="Y16" s="773"/>
      <c r="Z16" s="773"/>
      <c r="AA16" s="773"/>
      <c r="AB16" s="773"/>
      <c r="AC16" s="773"/>
      <c r="AD16" s="773" t="s">
        <v>66</v>
      </c>
      <c r="AE16" s="773"/>
      <c r="AF16" s="773"/>
      <c r="AG16" s="773"/>
      <c r="AH16" s="773"/>
      <c r="AI16" s="773"/>
      <c r="AJ16" s="773"/>
      <c r="AK16" s="773"/>
      <c r="AL16" s="773"/>
      <c r="AM16" s="773"/>
      <c r="AN16" s="773"/>
      <c r="AO16" s="773"/>
      <c r="AP16" s="778" t="s">
        <v>318</v>
      </c>
      <c r="AQ16" s="778"/>
      <c r="AR16" s="778"/>
      <c r="AS16" s="778"/>
      <c r="AT16" s="773" t="s">
        <v>13</v>
      </c>
      <c r="AU16" s="773"/>
      <c r="AV16" s="773"/>
      <c r="AW16" s="773"/>
      <c r="AX16" s="773"/>
      <c r="AY16" s="773"/>
    </row>
    <row r="17" spans="1:51" ht="30" customHeight="1">
      <c r="A17" s="777"/>
      <c r="B17" s="777"/>
      <c r="C17" s="777"/>
      <c r="D17" s="773" t="s">
        <v>802</v>
      </c>
      <c r="E17" s="773"/>
      <c r="F17" s="773"/>
      <c r="G17" s="773"/>
      <c r="H17" s="773"/>
      <c r="I17" s="773"/>
      <c r="J17" s="778"/>
      <c r="K17" s="778"/>
      <c r="L17" s="778"/>
      <c r="M17" s="778"/>
      <c r="N17" s="778"/>
      <c r="O17" s="778"/>
      <c r="P17" s="773" t="s">
        <v>802</v>
      </c>
      <c r="Q17" s="773"/>
      <c r="R17" s="773"/>
      <c r="S17" s="773"/>
      <c r="T17" s="773"/>
      <c r="U17" s="773"/>
      <c r="V17" s="773" t="s">
        <v>65</v>
      </c>
      <c r="W17" s="773"/>
      <c r="X17" s="773"/>
      <c r="Y17" s="773"/>
      <c r="Z17" s="773"/>
      <c r="AA17" s="773"/>
      <c r="AB17" s="773"/>
      <c r="AC17" s="773"/>
      <c r="AD17" s="773" t="s">
        <v>65</v>
      </c>
      <c r="AE17" s="773"/>
      <c r="AF17" s="773"/>
      <c r="AG17" s="773"/>
      <c r="AH17" s="773"/>
      <c r="AI17" s="773"/>
      <c r="AJ17" s="773"/>
      <c r="AK17" s="773"/>
      <c r="AL17" s="773"/>
      <c r="AM17" s="773"/>
      <c r="AN17" s="773"/>
      <c r="AO17" s="773"/>
      <c r="AP17" s="778"/>
      <c r="AQ17" s="778"/>
      <c r="AR17" s="778"/>
      <c r="AS17" s="778"/>
      <c r="AT17" s="773" t="s">
        <v>771</v>
      </c>
      <c r="AU17" s="773"/>
      <c r="AV17" s="773"/>
      <c r="AW17" s="773"/>
      <c r="AX17" s="773"/>
      <c r="AY17" s="773"/>
    </row>
    <row r="18" spans="1:51" ht="30" customHeight="1">
      <c r="A18" s="777"/>
      <c r="B18" s="777"/>
      <c r="C18" s="777"/>
      <c r="D18" s="773" t="s">
        <v>803</v>
      </c>
      <c r="E18" s="773"/>
      <c r="F18" s="773"/>
      <c r="G18" s="773"/>
      <c r="H18" s="773"/>
      <c r="I18" s="773"/>
      <c r="J18" s="778"/>
      <c r="K18" s="778"/>
      <c r="L18" s="778"/>
      <c r="M18" s="778"/>
      <c r="N18" s="778"/>
      <c r="O18" s="778"/>
      <c r="P18" s="773" t="s">
        <v>803</v>
      </c>
      <c r="Q18" s="773"/>
      <c r="R18" s="773"/>
      <c r="S18" s="773"/>
      <c r="T18" s="773"/>
      <c r="U18" s="773"/>
      <c r="V18" s="773" t="s">
        <v>297</v>
      </c>
      <c r="W18" s="773"/>
      <c r="X18" s="773"/>
      <c r="Y18" s="773"/>
      <c r="Z18" s="773"/>
      <c r="AA18" s="773"/>
      <c r="AB18" s="773"/>
      <c r="AC18" s="773"/>
      <c r="AD18" s="773" t="s">
        <v>297</v>
      </c>
      <c r="AE18" s="773"/>
      <c r="AF18" s="773"/>
      <c r="AG18" s="773"/>
      <c r="AH18" s="773"/>
      <c r="AI18" s="773"/>
      <c r="AJ18" s="773"/>
      <c r="AK18" s="773"/>
      <c r="AL18" s="773"/>
      <c r="AM18" s="773"/>
      <c r="AN18" s="773"/>
      <c r="AO18" s="773"/>
      <c r="AP18" s="778"/>
      <c r="AQ18" s="778"/>
      <c r="AR18" s="778"/>
      <c r="AS18" s="778"/>
      <c r="AT18" s="773" t="s">
        <v>75</v>
      </c>
      <c r="AU18" s="773"/>
      <c r="AV18" s="773"/>
      <c r="AW18" s="773"/>
      <c r="AX18" s="773"/>
      <c r="AY18" s="773"/>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6:C18"/>
    <mergeCell ref="D16:I16"/>
    <mergeCell ref="J16:O18"/>
    <mergeCell ref="P16:U16"/>
    <mergeCell ref="V16:AC16"/>
    <mergeCell ref="AD16:AO16"/>
    <mergeCell ref="D18:I18"/>
    <mergeCell ref="AP16:AS18"/>
    <mergeCell ref="AT18:AY18"/>
    <mergeCell ref="AT16:AY16"/>
    <mergeCell ref="D17:I17"/>
    <mergeCell ref="P17:U17"/>
    <mergeCell ref="V17:AC17"/>
    <mergeCell ref="AD17:AO17"/>
    <mergeCell ref="AT17:AY17"/>
    <mergeCell ref="P18:U18"/>
    <mergeCell ref="V18:AC18"/>
    <mergeCell ref="AD18:AO18"/>
  </mergeCells>
  <printOptions/>
  <pageMargins left="0.7" right="0.7" top="0.75" bottom="0.75" header="0.3" footer="0.3"/>
  <pageSetup fitToHeight="1" fitToWidth="1" horizontalDpi="600" verticalDpi="600" orientation="landscape" scale="17" r:id="rId3"/>
  <legacyDrawing r:id="rId2"/>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AY23"/>
  <sheetViews>
    <sheetView zoomScale="57" zoomScaleNormal="57" zoomScalePageLayoutView="0" workbookViewId="0" topLeftCell="AC12">
      <selection activeCell="AV13" sqref="AV13:AW20"/>
    </sheetView>
  </sheetViews>
  <sheetFormatPr defaultColWidth="11.421875" defaultRowHeight="15"/>
  <cols>
    <col min="7" max="8" width="17.421875" style="0" customWidth="1"/>
    <col min="9" max="10" width="28.28125" style="0" customWidth="1"/>
    <col min="14" max="14" width="26.28125" style="0" customWidth="1"/>
    <col min="21" max="21" width="28.00390625" style="0" customWidth="1"/>
    <col min="22" max="47" width="8.8515625" style="0" customWidth="1"/>
    <col min="48" max="49" width="43.28125" style="0" customWidth="1"/>
    <col min="50" max="51" width="27.00390625" style="0" customWidth="1"/>
  </cols>
  <sheetData>
    <row r="1" spans="1:51" ht="15">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1048" t="s">
        <v>423</v>
      </c>
      <c r="AY1" s="1049"/>
    </row>
    <row r="2" spans="1:51" ht="15">
      <c r="A2" s="1105" t="s">
        <v>17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7"/>
      <c r="AX2" s="1051" t="s">
        <v>418</v>
      </c>
      <c r="AY2" s="1052"/>
    </row>
    <row r="3" spans="1:51" ht="15">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1051" t="s">
        <v>424</v>
      </c>
      <c r="AY3" s="1052"/>
    </row>
    <row r="4" spans="1:51" ht="15">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790</v>
      </c>
      <c r="AY4" s="755"/>
    </row>
    <row r="5" spans="1:51" ht="15">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 r="A6" s="793" t="s">
        <v>71</v>
      </c>
      <c r="B6" s="793"/>
      <c r="C6" s="793"/>
      <c r="D6" s="1081">
        <v>45117</v>
      </c>
      <c r="E6" s="794"/>
      <c r="F6" s="784" t="s">
        <v>67</v>
      </c>
      <c r="G6" s="786"/>
      <c r="H6" s="1123" t="s">
        <v>70</v>
      </c>
      <c r="I6" s="1123"/>
      <c r="J6" s="121"/>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1122"/>
      <c r="AJ6" s="1122"/>
      <c r="AK6" s="1122"/>
      <c r="AL6" s="1122"/>
      <c r="AM6" s="1122"/>
      <c r="AN6" s="1122"/>
      <c r="AO6" s="1122"/>
      <c r="AP6" s="1122"/>
      <c r="AQ6" s="1122"/>
      <c r="AR6" s="1122"/>
      <c r="AS6" s="1122"/>
      <c r="AT6" s="1122"/>
      <c r="AU6" s="789"/>
      <c r="AV6" s="782"/>
      <c r="AW6" s="782"/>
      <c r="AX6" s="782"/>
      <c r="AY6" s="782"/>
    </row>
    <row r="7" spans="1:51" ht="15">
      <c r="A7" s="793"/>
      <c r="B7" s="793"/>
      <c r="C7" s="793"/>
      <c r="D7" s="794"/>
      <c r="E7" s="794"/>
      <c r="F7" s="787"/>
      <c r="G7" s="789"/>
      <c r="H7" s="1123" t="s">
        <v>68</v>
      </c>
      <c r="I7" s="1123"/>
      <c r="J7" s="121"/>
      <c r="K7" s="787"/>
      <c r="L7" s="1122"/>
      <c r="M7" s="1122"/>
      <c r="N7" s="1122"/>
      <c r="O7" s="1122"/>
      <c r="P7" s="1122"/>
      <c r="Q7" s="1122"/>
      <c r="R7" s="1122"/>
      <c r="S7" s="1122"/>
      <c r="T7" s="1122"/>
      <c r="U7" s="1122"/>
      <c r="V7" s="231"/>
      <c r="W7" s="231"/>
      <c r="X7" s="231"/>
      <c r="Y7" s="231"/>
      <c r="Z7" s="231"/>
      <c r="AA7" s="231"/>
      <c r="AB7" s="231"/>
      <c r="AC7" s="231"/>
      <c r="AD7" s="231"/>
      <c r="AE7" s="231"/>
      <c r="AF7" s="231"/>
      <c r="AG7" s="117"/>
      <c r="AH7" s="787"/>
      <c r="AI7" s="1122"/>
      <c r="AJ7" s="1122"/>
      <c r="AK7" s="1122"/>
      <c r="AL7" s="1122"/>
      <c r="AM7" s="1122"/>
      <c r="AN7" s="1122"/>
      <c r="AO7" s="1122"/>
      <c r="AP7" s="1122"/>
      <c r="AQ7" s="1122"/>
      <c r="AR7" s="1122"/>
      <c r="AS7" s="1122"/>
      <c r="AT7" s="1122"/>
      <c r="AU7" s="789"/>
      <c r="AV7" s="782"/>
      <c r="AW7" s="782"/>
      <c r="AX7" s="782"/>
      <c r="AY7" s="782"/>
    </row>
    <row r="8" spans="1:51" ht="15">
      <c r="A8" s="793"/>
      <c r="B8" s="793"/>
      <c r="C8" s="793"/>
      <c r="D8" s="794"/>
      <c r="E8" s="794"/>
      <c r="F8" s="790"/>
      <c r="G8" s="792"/>
      <c r="H8" s="1123" t="s">
        <v>69</v>
      </c>
      <c r="I8" s="1123"/>
      <c r="J8" s="121"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1122"/>
      <c r="AJ8" s="1122"/>
      <c r="AK8" s="1122"/>
      <c r="AL8" s="1122"/>
      <c r="AM8" s="1122"/>
      <c r="AN8" s="1122"/>
      <c r="AO8" s="1122"/>
      <c r="AP8" s="1122"/>
      <c r="AQ8" s="1122"/>
      <c r="AR8" s="1122"/>
      <c r="AS8" s="1122"/>
      <c r="AT8" s="1122"/>
      <c r="AU8" s="789"/>
      <c r="AV8" s="782"/>
      <c r="AW8" s="782"/>
      <c r="AX8" s="782"/>
      <c r="AY8" s="782"/>
    </row>
    <row r="9" spans="1:51" ht="15">
      <c r="A9" s="762" t="s">
        <v>399</v>
      </c>
      <c r="B9" s="763"/>
      <c r="C9" s="764"/>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1122"/>
      <c r="AJ9" s="1122"/>
      <c r="AK9" s="1122"/>
      <c r="AL9" s="1122"/>
      <c r="AM9" s="1122"/>
      <c r="AN9" s="1122"/>
      <c r="AO9" s="1122"/>
      <c r="AP9" s="1122"/>
      <c r="AQ9" s="1122"/>
      <c r="AR9" s="1122"/>
      <c r="AS9" s="1122"/>
      <c r="AT9" s="1122"/>
      <c r="AU9" s="789"/>
      <c r="AV9" s="782"/>
      <c r="AW9" s="782"/>
      <c r="AX9" s="782"/>
      <c r="AY9" s="782"/>
    </row>
    <row r="10" spans="1:51" ht="15">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15">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57">
      <c r="A12" s="120" t="s">
        <v>169</v>
      </c>
      <c r="B12" s="120" t="s">
        <v>170</v>
      </c>
      <c r="C12" s="120" t="s">
        <v>171</v>
      </c>
      <c r="D12" s="120" t="s">
        <v>178</v>
      </c>
      <c r="E12" s="120" t="s">
        <v>185</v>
      </c>
      <c r="F12" s="120" t="s">
        <v>186</v>
      </c>
      <c r="G12" s="120" t="s">
        <v>277</v>
      </c>
      <c r="H12" s="120" t="s">
        <v>184</v>
      </c>
      <c r="I12" s="775"/>
      <c r="J12" s="775"/>
      <c r="K12" s="775"/>
      <c r="L12" s="775"/>
      <c r="M12" s="775"/>
      <c r="N12" s="775"/>
      <c r="O12" s="120">
        <v>2020</v>
      </c>
      <c r="P12" s="120">
        <v>2021</v>
      </c>
      <c r="Q12" s="120">
        <v>2022</v>
      </c>
      <c r="R12" s="120">
        <v>2023</v>
      </c>
      <c r="S12" s="120">
        <v>2024</v>
      </c>
      <c r="T12" s="775"/>
      <c r="U12" s="775"/>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5"/>
      <c r="AW12" s="775"/>
      <c r="AX12" s="775"/>
      <c r="AY12" s="775"/>
    </row>
    <row r="13" spans="1:51" ht="126.75" customHeight="1">
      <c r="A13" s="121"/>
      <c r="B13" s="121"/>
      <c r="C13" s="121"/>
      <c r="D13" s="121"/>
      <c r="E13" s="121" t="s">
        <v>425</v>
      </c>
      <c r="F13" s="121"/>
      <c r="G13" s="122" t="s">
        <v>553</v>
      </c>
      <c r="H13" s="122"/>
      <c r="I13" s="152" t="s">
        <v>554</v>
      </c>
      <c r="J13" s="152" t="s">
        <v>555</v>
      </c>
      <c r="K13" s="122" t="s">
        <v>430</v>
      </c>
      <c r="L13" s="122"/>
      <c r="M13" s="122" t="s">
        <v>431</v>
      </c>
      <c r="N13" s="152" t="s">
        <v>556</v>
      </c>
      <c r="O13" s="123"/>
      <c r="P13" s="123"/>
      <c r="Q13" s="123"/>
      <c r="R13" s="293">
        <v>1</v>
      </c>
      <c r="S13" s="123"/>
      <c r="T13" s="123" t="s">
        <v>433</v>
      </c>
      <c r="U13" s="306" t="s">
        <v>557</v>
      </c>
      <c r="V13" s="124"/>
      <c r="W13" s="124"/>
      <c r="X13" s="307">
        <v>0.65</v>
      </c>
      <c r="Y13" s="124"/>
      <c r="Z13" s="124"/>
      <c r="AA13" s="307">
        <v>0.09</v>
      </c>
      <c r="AB13" s="124"/>
      <c r="AC13" s="124"/>
      <c r="AD13" s="236">
        <v>0.11</v>
      </c>
      <c r="AE13" s="124"/>
      <c r="AF13" s="124"/>
      <c r="AG13" s="236">
        <v>0.15</v>
      </c>
      <c r="AH13" s="124"/>
      <c r="AI13" s="124"/>
      <c r="AJ13" s="467">
        <v>0.65</v>
      </c>
      <c r="AK13" s="124"/>
      <c r="AL13" s="124"/>
      <c r="AM13" s="489">
        <v>0.09</v>
      </c>
      <c r="AN13" s="124"/>
      <c r="AO13" s="124"/>
      <c r="AP13" s="236"/>
      <c r="AQ13" s="124"/>
      <c r="AR13" s="124"/>
      <c r="AS13" s="236"/>
      <c r="AT13" s="127">
        <f>SUM(AH13:AS13)</f>
        <v>0.74</v>
      </c>
      <c r="AU13" s="127">
        <f>+AT13/R13</f>
        <v>0.74</v>
      </c>
      <c r="AV13" s="480" t="s">
        <v>905</v>
      </c>
      <c r="AW13" s="480" t="s">
        <v>913</v>
      </c>
      <c r="AX13" s="417" t="s">
        <v>865</v>
      </c>
      <c r="AY13" s="417" t="s">
        <v>450</v>
      </c>
    </row>
    <row r="14" spans="1:51" ht="126.75" customHeight="1">
      <c r="A14" s="121"/>
      <c r="B14" s="121"/>
      <c r="C14" s="121"/>
      <c r="D14" s="121"/>
      <c r="E14" s="121" t="s">
        <v>425</v>
      </c>
      <c r="F14" s="121"/>
      <c r="G14" s="122" t="s">
        <v>553</v>
      </c>
      <c r="H14" s="122"/>
      <c r="I14" s="152" t="s">
        <v>554</v>
      </c>
      <c r="J14" s="308" t="s">
        <v>558</v>
      </c>
      <c r="K14" s="122" t="s">
        <v>430</v>
      </c>
      <c r="L14" s="124"/>
      <c r="M14" s="122" t="s">
        <v>431</v>
      </c>
      <c r="N14" s="309" t="s">
        <v>559</v>
      </c>
      <c r="O14" s="124"/>
      <c r="P14" s="124"/>
      <c r="Q14" s="124"/>
      <c r="R14" s="293">
        <v>1</v>
      </c>
      <c r="S14" s="124"/>
      <c r="T14" s="123" t="s">
        <v>433</v>
      </c>
      <c r="U14" s="310" t="s">
        <v>560</v>
      </c>
      <c r="V14" s="124"/>
      <c r="W14" s="124"/>
      <c r="X14" s="307">
        <v>0.65</v>
      </c>
      <c r="Y14" s="124"/>
      <c r="Z14" s="124"/>
      <c r="AA14" s="307">
        <v>0.09</v>
      </c>
      <c r="AB14" s="124"/>
      <c r="AC14" s="124"/>
      <c r="AD14" s="236">
        <v>0.11</v>
      </c>
      <c r="AE14" s="124"/>
      <c r="AF14" s="124"/>
      <c r="AG14" s="236">
        <v>0.15</v>
      </c>
      <c r="AH14" s="124"/>
      <c r="AI14" s="124"/>
      <c r="AJ14" s="467">
        <v>0.65</v>
      </c>
      <c r="AK14" s="124"/>
      <c r="AL14" s="124"/>
      <c r="AM14" s="489">
        <v>0.09</v>
      </c>
      <c r="AN14" s="124"/>
      <c r="AO14" s="124"/>
      <c r="AP14" s="236"/>
      <c r="AQ14" s="124"/>
      <c r="AR14" s="124"/>
      <c r="AS14" s="236"/>
      <c r="AT14" s="127">
        <f aca="true" t="shared" si="0" ref="AT14:AT20">SUM(AH14:AS14)</f>
        <v>0.74</v>
      </c>
      <c r="AU14" s="127">
        <f aca="true" t="shared" si="1" ref="AU14:AU20">+AT14/R14</f>
        <v>0.74</v>
      </c>
      <c r="AV14" s="480" t="s">
        <v>906</v>
      </c>
      <c r="AW14" s="480" t="s">
        <v>914</v>
      </c>
      <c r="AX14" s="417" t="s">
        <v>865</v>
      </c>
      <c r="AY14" s="417" t="s">
        <v>450</v>
      </c>
    </row>
    <row r="15" spans="1:51" ht="126.75" customHeight="1">
      <c r="A15" s="121"/>
      <c r="B15" s="121"/>
      <c r="C15" s="121"/>
      <c r="D15" s="121"/>
      <c r="E15" s="121" t="s">
        <v>425</v>
      </c>
      <c r="F15" s="121"/>
      <c r="G15" s="122" t="s">
        <v>553</v>
      </c>
      <c r="H15" s="122"/>
      <c r="I15" s="152" t="s">
        <v>554</v>
      </c>
      <c r="J15" s="308" t="s">
        <v>561</v>
      </c>
      <c r="K15" s="122" t="s">
        <v>430</v>
      </c>
      <c r="L15" s="124"/>
      <c r="M15" s="122" t="s">
        <v>431</v>
      </c>
      <c r="N15" s="309" t="s">
        <v>562</v>
      </c>
      <c r="O15" s="124"/>
      <c r="P15" s="124"/>
      <c r="Q15" s="124"/>
      <c r="R15" s="293">
        <v>1</v>
      </c>
      <c r="S15" s="124"/>
      <c r="T15" s="123" t="s">
        <v>433</v>
      </c>
      <c r="U15" s="152" t="s">
        <v>563</v>
      </c>
      <c r="V15" s="124"/>
      <c r="W15" s="124"/>
      <c r="X15" s="307">
        <v>0.65</v>
      </c>
      <c r="Y15" s="124"/>
      <c r="Z15" s="124"/>
      <c r="AA15" s="307">
        <v>0.09</v>
      </c>
      <c r="AB15" s="124"/>
      <c r="AC15" s="124"/>
      <c r="AD15" s="236">
        <v>0.11</v>
      </c>
      <c r="AE15" s="124"/>
      <c r="AF15" s="124"/>
      <c r="AG15" s="236">
        <v>0.15</v>
      </c>
      <c r="AH15" s="124"/>
      <c r="AI15" s="124"/>
      <c r="AJ15" s="467">
        <v>0.63</v>
      </c>
      <c r="AK15" s="124"/>
      <c r="AL15" s="124"/>
      <c r="AM15" s="476"/>
      <c r="AN15" s="124"/>
      <c r="AO15" s="124"/>
      <c r="AP15" s="236"/>
      <c r="AQ15" s="124"/>
      <c r="AR15" s="124"/>
      <c r="AS15" s="236"/>
      <c r="AT15" s="127">
        <f t="shared" si="0"/>
        <v>0.63</v>
      </c>
      <c r="AU15" s="127">
        <f t="shared" si="1"/>
        <v>0.63</v>
      </c>
      <c r="AV15" s="480" t="s">
        <v>907</v>
      </c>
      <c r="AW15" s="480" t="s">
        <v>915</v>
      </c>
      <c r="AX15" s="417" t="s">
        <v>865</v>
      </c>
      <c r="AY15" s="417" t="s">
        <v>450</v>
      </c>
    </row>
    <row r="16" spans="1:51" ht="126.75" customHeight="1">
      <c r="A16" s="121"/>
      <c r="B16" s="121"/>
      <c r="C16" s="121"/>
      <c r="D16" s="121"/>
      <c r="E16" s="121" t="s">
        <v>425</v>
      </c>
      <c r="F16" s="121"/>
      <c r="G16" s="122" t="s">
        <v>553</v>
      </c>
      <c r="H16" s="122" t="s">
        <v>307</v>
      </c>
      <c r="I16" s="152" t="s">
        <v>554</v>
      </c>
      <c r="J16" s="308" t="s">
        <v>564</v>
      </c>
      <c r="K16" s="122" t="s">
        <v>430</v>
      </c>
      <c r="L16" s="124"/>
      <c r="M16" s="122" t="s">
        <v>431</v>
      </c>
      <c r="N16" s="309" t="s">
        <v>565</v>
      </c>
      <c r="O16" s="124"/>
      <c r="P16" s="124"/>
      <c r="Q16" s="124"/>
      <c r="R16" s="293">
        <v>1</v>
      </c>
      <c r="S16" s="124"/>
      <c r="T16" s="123" t="s">
        <v>433</v>
      </c>
      <c r="U16" s="310" t="s">
        <v>566</v>
      </c>
      <c r="V16" s="124"/>
      <c r="W16" s="124"/>
      <c r="X16" s="236">
        <v>0.25</v>
      </c>
      <c r="Y16" s="124"/>
      <c r="Z16" s="124"/>
      <c r="AA16" s="236">
        <v>0.25</v>
      </c>
      <c r="AB16" s="124"/>
      <c r="AC16" s="124"/>
      <c r="AD16" s="236">
        <v>0.25</v>
      </c>
      <c r="AE16" s="124"/>
      <c r="AF16" s="124"/>
      <c r="AG16" s="236">
        <v>0.25</v>
      </c>
      <c r="AH16" s="124"/>
      <c r="AI16" s="124"/>
      <c r="AJ16" s="467">
        <v>0.25</v>
      </c>
      <c r="AK16" s="124"/>
      <c r="AL16" s="124"/>
      <c r="AM16" s="488">
        <v>0.25</v>
      </c>
      <c r="AN16" s="124"/>
      <c r="AO16" s="124"/>
      <c r="AP16" s="236"/>
      <c r="AQ16" s="124"/>
      <c r="AR16" s="124"/>
      <c r="AS16" s="236"/>
      <c r="AT16" s="127">
        <f t="shared" si="0"/>
        <v>0.5</v>
      </c>
      <c r="AU16" s="127">
        <f t="shared" si="1"/>
        <v>0.5</v>
      </c>
      <c r="AV16" s="480" t="s">
        <v>908</v>
      </c>
      <c r="AW16" s="480" t="s">
        <v>916</v>
      </c>
      <c r="AX16" s="417" t="s">
        <v>865</v>
      </c>
      <c r="AY16" s="417" t="s">
        <v>450</v>
      </c>
    </row>
    <row r="17" spans="1:51" ht="126.75" customHeight="1">
      <c r="A17" s="121"/>
      <c r="B17" s="121"/>
      <c r="C17" s="121"/>
      <c r="D17" s="121"/>
      <c r="E17" s="121" t="s">
        <v>425</v>
      </c>
      <c r="F17" s="121"/>
      <c r="G17" s="122" t="s">
        <v>553</v>
      </c>
      <c r="H17" s="122"/>
      <c r="I17" s="152" t="s">
        <v>554</v>
      </c>
      <c r="J17" s="308" t="s">
        <v>567</v>
      </c>
      <c r="K17" s="122" t="s">
        <v>430</v>
      </c>
      <c r="L17" s="124"/>
      <c r="M17" s="122" t="s">
        <v>431</v>
      </c>
      <c r="N17" s="308" t="s">
        <v>568</v>
      </c>
      <c r="O17" s="124"/>
      <c r="P17" s="124"/>
      <c r="Q17" s="124"/>
      <c r="R17" s="293">
        <v>1</v>
      </c>
      <c r="S17" s="124"/>
      <c r="T17" s="123" t="s">
        <v>433</v>
      </c>
      <c r="U17" s="310" t="s">
        <v>569</v>
      </c>
      <c r="V17" s="124"/>
      <c r="W17" s="124"/>
      <c r="X17" s="236">
        <v>0.25</v>
      </c>
      <c r="Y17" s="124"/>
      <c r="Z17" s="124"/>
      <c r="AA17" s="236">
        <v>0.25</v>
      </c>
      <c r="AB17" s="124"/>
      <c r="AC17" s="124"/>
      <c r="AD17" s="236">
        <v>0.25</v>
      </c>
      <c r="AE17" s="124"/>
      <c r="AF17" s="124"/>
      <c r="AG17" s="236">
        <v>0.25</v>
      </c>
      <c r="AH17" s="124"/>
      <c r="AI17" s="124"/>
      <c r="AJ17" s="467">
        <v>0.25</v>
      </c>
      <c r="AK17" s="124"/>
      <c r="AL17" s="124"/>
      <c r="AM17" s="488">
        <v>0.25</v>
      </c>
      <c r="AN17" s="124"/>
      <c r="AO17" s="124"/>
      <c r="AP17" s="236"/>
      <c r="AQ17" s="124"/>
      <c r="AR17" s="124"/>
      <c r="AS17" s="236"/>
      <c r="AT17" s="127">
        <f t="shared" si="0"/>
        <v>0.5</v>
      </c>
      <c r="AU17" s="127">
        <f t="shared" si="1"/>
        <v>0.5</v>
      </c>
      <c r="AV17" s="480" t="s">
        <v>909</v>
      </c>
      <c r="AW17" s="480" t="s">
        <v>920</v>
      </c>
      <c r="AX17" s="417" t="s">
        <v>865</v>
      </c>
      <c r="AY17" s="417" t="s">
        <v>450</v>
      </c>
    </row>
    <row r="18" spans="1:51" ht="126.75" customHeight="1">
      <c r="A18" s="121"/>
      <c r="B18" s="121"/>
      <c r="C18" s="121"/>
      <c r="D18" s="121"/>
      <c r="E18" s="121" t="s">
        <v>425</v>
      </c>
      <c r="F18" s="121"/>
      <c r="G18" s="122" t="s">
        <v>553</v>
      </c>
      <c r="H18" s="122"/>
      <c r="I18" s="152" t="s">
        <v>554</v>
      </c>
      <c r="J18" s="308" t="s">
        <v>570</v>
      </c>
      <c r="K18" s="122" t="s">
        <v>430</v>
      </c>
      <c r="L18" s="124"/>
      <c r="M18" s="122" t="s">
        <v>431</v>
      </c>
      <c r="N18" s="308" t="s">
        <v>571</v>
      </c>
      <c r="O18" s="124"/>
      <c r="P18" s="124"/>
      <c r="Q18" s="124"/>
      <c r="R18" s="293">
        <v>1</v>
      </c>
      <c r="S18" s="124"/>
      <c r="T18" s="123" t="s">
        <v>433</v>
      </c>
      <c r="U18" s="152" t="s">
        <v>572</v>
      </c>
      <c r="V18" s="124"/>
      <c r="W18" s="124"/>
      <c r="X18" s="236">
        <v>0.25</v>
      </c>
      <c r="Y18" s="124"/>
      <c r="Z18" s="124"/>
      <c r="AA18" s="236">
        <v>0.25</v>
      </c>
      <c r="AB18" s="124"/>
      <c r="AC18" s="124"/>
      <c r="AD18" s="236">
        <v>0.25</v>
      </c>
      <c r="AE18" s="124"/>
      <c r="AF18" s="124"/>
      <c r="AG18" s="236">
        <v>0.25</v>
      </c>
      <c r="AH18" s="124"/>
      <c r="AI18" s="124"/>
      <c r="AJ18" s="467">
        <v>0.25</v>
      </c>
      <c r="AK18" s="124"/>
      <c r="AL18" s="124"/>
      <c r="AM18" s="488">
        <v>0.25</v>
      </c>
      <c r="AN18" s="124"/>
      <c r="AO18" s="124"/>
      <c r="AP18" s="236"/>
      <c r="AQ18" s="124"/>
      <c r="AR18" s="124"/>
      <c r="AS18" s="236"/>
      <c r="AT18" s="127">
        <f t="shared" si="0"/>
        <v>0.5</v>
      </c>
      <c r="AU18" s="127">
        <f t="shared" si="1"/>
        <v>0.5</v>
      </c>
      <c r="AV18" s="480" t="s">
        <v>910</v>
      </c>
      <c r="AW18" s="480" t="s">
        <v>917</v>
      </c>
      <c r="AX18" s="417" t="s">
        <v>865</v>
      </c>
      <c r="AY18" s="417" t="s">
        <v>450</v>
      </c>
    </row>
    <row r="19" spans="1:51" ht="126.75" customHeight="1">
      <c r="A19" s="121"/>
      <c r="B19" s="121"/>
      <c r="C19" s="121"/>
      <c r="D19" s="121"/>
      <c r="E19" s="121" t="s">
        <v>425</v>
      </c>
      <c r="F19" s="121"/>
      <c r="G19" s="122" t="s">
        <v>553</v>
      </c>
      <c r="H19" s="122"/>
      <c r="I19" s="152" t="s">
        <v>554</v>
      </c>
      <c r="J19" s="308" t="s">
        <v>573</v>
      </c>
      <c r="K19" s="122" t="s">
        <v>430</v>
      </c>
      <c r="L19" s="124"/>
      <c r="M19" s="122" t="s">
        <v>431</v>
      </c>
      <c r="N19" s="309" t="s">
        <v>574</v>
      </c>
      <c r="O19" s="124"/>
      <c r="P19" s="124"/>
      <c r="Q19" s="124"/>
      <c r="R19" s="293">
        <v>1</v>
      </c>
      <c r="S19" s="124"/>
      <c r="T19" s="123" t="s">
        <v>433</v>
      </c>
      <c r="U19" s="310" t="s">
        <v>575</v>
      </c>
      <c r="V19" s="124"/>
      <c r="W19" s="124"/>
      <c r="X19" s="236">
        <v>0.14</v>
      </c>
      <c r="Y19" s="124"/>
      <c r="Z19" s="124"/>
      <c r="AA19" s="236">
        <v>0.21</v>
      </c>
      <c r="AB19" s="124"/>
      <c r="AC19" s="124"/>
      <c r="AD19" s="236">
        <v>0.23</v>
      </c>
      <c r="AE19" s="124"/>
      <c r="AF19" s="124"/>
      <c r="AG19" s="236">
        <v>0.42</v>
      </c>
      <c r="AH19" s="124"/>
      <c r="AI19" s="124"/>
      <c r="AJ19" s="467">
        <v>0.14</v>
      </c>
      <c r="AK19" s="124"/>
      <c r="AL19" s="124"/>
      <c r="AM19" s="488">
        <v>0.21</v>
      </c>
      <c r="AN19" s="124"/>
      <c r="AO19" s="124"/>
      <c r="AP19" s="236"/>
      <c r="AQ19" s="124"/>
      <c r="AR19" s="124"/>
      <c r="AS19" s="236"/>
      <c r="AT19" s="127">
        <f t="shared" si="0"/>
        <v>0.35</v>
      </c>
      <c r="AU19" s="127">
        <f t="shared" si="1"/>
        <v>0.35</v>
      </c>
      <c r="AV19" s="480" t="s">
        <v>911</v>
      </c>
      <c r="AW19" s="480" t="s">
        <v>918</v>
      </c>
      <c r="AX19" s="417" t="s">
        <v>865</v>
      </c>
      <c r="AY19" s="417" t="s">
        <v>450</v>
      </c>
    </row>
    <row r="20" spans="1:51" ht="126.75" customHeight="1">
      <c r="A20" s="121"/>
      <c r="B20" s="121"/>
      <c r="C20" s="121"/>
      <c r="D20" s="121"/>
      <c r="E20" s="121" t="s">
        <v>425</v>
      </c>
      <c r="F20" s="121"/>
      <c r="G20" s="122" t="s">
        <v>553</v>
      </c>
      <c r="H20" s="122"/>
      <c r="I20" s="152" t="s">
        <v>554</v>
      </c>
      <c r="J20" s="308" t="s">
        <v>576</v>
      </c>
      <c r="K20" s="122" t="s">
        <v>430</v>
      </c>
      <c r="L20" s="124"/>
      <c r="M20" s="122" t="s">
        <v>431</v>
      </c>
      <c r="N20" s="308" t="s">
        <v>577</v>
      </c>
      <c r="O20" s="124"/>
      <c r="P20" s="124"/>
      <c r="Q20" s="124"/>
      <c r="R20" s="293">
        <v>1</v>
      </c>
      <c r="S20" s="124"/>
      <c r="T20" s="123" t="s">
        <v>433</v>
      </c>
      <c r="U20" s="152" t="s">
        <v>578</v>
      </c>
      <c r="V20" s="124"/>
      <c r="W20" s="124"/>
      <c r="X20" s="236">
        <v>0.14</v>
      </c>
      <c r="Y20" s="124"/>
      <c r="Z20" s="124"/>
      <c r="AA20" s="236">
        <v>0.21</v>
      </c>
      <c r="AB20" s="124"/>
      <c r="AC20" s="124"/>
      <c r="AD20" s="236">
        <v>0.23</v>
      </c>
      <c r="AE20" s="124"/>
      <c r="AF20" s="124"/>
      <c r="AG20" s="236">
        <v>0.42</v>
      </c>
      <c r="AH20" s="124"/>
      <c r="AI20" s="124"/>
      <c r="AJ20" s="467">
        <v>0.14</v>
      </c>
      <c r="AK20" s="124"/>
      <c r="AL20" s="124"/>
      <c r="AM20" s="488">
        <v>0.21</v>
      </c>
      <c r="AN20" s="124"/>
      <c r="AO20" s="124"/>
      <c r="AP20" s="236"/>
      <c r="AQ20" s="124"/>
      <c r="AR20" s="124"/>
      <c r="AS20" s="236"/>
      <c r="AT20" s="127">
        <f t="shared" si="0"/>
        <v>0.35</v>
      </c>
      <c r="AU20" s="127">
        <f t="shared" si="1"/>
        <v>0.35</v>
      </c>
      <c r="AV20" s="480" t="s">
        <v>912</v>
      </c>
      <c r="AW20" s="480" t="s">
        <v>919</v>
      </c>
      <c r="AX20" s="417" t="s">
        <v>865</v>
      </c>
      <c r="AY20" s="417" t="s">
        <v>450</v>
      </c>
    </row>
    <row r="21" spans="1:51" s="113" customFormat="1" ht="54" customHeight="1">
      <c r="A21" s="777" t="s">
        <v>64</v>
      </c>
      <c r="B21" s="777"/>
      <c r="C21" s="777"/>
      <c r="D21" s="773" t="s">
        <v>66</v>
      </c>
      <c r="E21" s="773"/>
      <c r="F21" s="773"/>
      <c r="G21" s="773"/>
      <c r="H21" s="773"/>
      <c r="I21" s="773"/>
      <c r="J21" s="778" t="s">
        <v>300</v>
      </c>
      <c r="K21" s="778"/>
      <c r="L21" s="778"/>
      <c r="M21" s="778"/>
      <c r="N21" s="778"/>
      <c r="O21" s="778"/>
      <c r="P21" s="773" t="s">
        <v>66</v>
      </c>
      <c r="Q21" s="773"/>
      <c r="R21" s="773"/>
      <c r="S21" s="773"/>
      <c r="T21" s="773"/>
      <c r="U21" s="773"/>
      <c r="V21" s="773" t="s">
        <v>66</v>
      </c>
      <c r="W21" s="773"/>
      <c r="X21" s="773"/>
      <c r="Y21" s="773"/>
      <c r="Z21" s="773"/>
      <c r="AA21" s="773"/>
      <c r="AB21" s="773"/>
      <c r="AC21" s="773"/>
      <c r="AD21" s="773" t="s">
        <v>66</v>
      </c>
      <c r="AE21" s="773"/>
      <c r="AF21" s="773"/>
      <c r="AG21" s="773"/>
      <c r="AH21" s="773"/>
      <c r="AI21" s="773"/>
      <c r="AJ21" s="773"/>
      <c r="AK21" s="773"/>
      <c r="AL21" s="773"/>
      <c r="AM21" s="773"/>
      <c r="AN21" s="773"/>
      <c r="AO21" s="773"/>
      <c r="AP21" s="778" t="s">
        <v>318</v>
      </c>
      <c r="AQ21" s="778"/>
      <c r="AR21" s="778"/>
      <c r="AS21" s="778"/>
      <c r="AT21" s="773" t="s">
        <v>13</v>
      </c>
      <c r="AU21" s="773"/>
      <c r="AV21" s="773"/>
      <c r="AW21" s="773"/>
      <c r="AX21" s="773"/>
      <c r="AY21" s="773"/>
    </row>
    <row r="22" spans="1:51" s="113" customFormat="1" ht="30" customHeight="1">
      <c r="A22" s="777"/>
      <c r="B22" s="777"/>
      <c r="C22" s="777"/>
      <c r="D22" s="773" t="s">
        <v>810</v>
      </c>
      <c r="E22" s="773"/>
      <c r="F22" s="773"/>
      <c r="G22" s="773"/>
      <c r="H22" s="773"/>
      <c r="I22" s="773"/>
      <c r="J22" s="778"/>
      <c r="K22" s="778"/>
      <c r="L22" s="778"/>
      <c r="M22" s="778"/>
      <c r="N22" s="778"/>
      <c r="O22" s="778"/>
      <c r="P22" s="773" t="s">
        <v>811</v>
      </c>
      <c r="Q22" s="773"/>
      <c r="R22" s="773"/>
      <c r="S22" s="773"/>
      <c r="T22" s="773"/>
      <c r="U22" s="773"/>
      <c r="V22" s="773" t="s">
        <v>65</v>
      </c>
      <c r="W22" s="773"/>
      <c r="X22" s="773"/>
      <c r="Y22" s="773"/>
      <c r="Z22" s="773"/>
      <c r="AA22" s="773"/>
      <c r="AB22" s="773"/>
      <c r="AC22" s="773"/>
      <c r="AD22" s="773" t="s">
        <v>65</v>
      </c>
      <c r="AE22" s="773"/>
      <c r="AF22" s="773"/>
      <c r="AG22" s="773"/>
      <c r="AH22" s="773"/>
      <c r="AI22" s="773"/>
      <c r="AJ22" s="773"/>
      <c r="AK22" s="773"/>
      <c r="AL22" s="773"/>
      <c r="AM22" s="773"/>
      <c r="AN22" s="773"/>
      <c r="AO22" s="773"/>
      <c r="AP22" s="778"/>
      <c r="AQ22" s="778"/>
      <c r="AR22" s="778"/>
      <c r="AS22" s="778"/>
      <c r="AT22" s="773" t="s">
        <v>771</v>
      </c>
      <c r="AU22" s="773"/>
      <c r="AV22" s="773"/>
      <c r="AW22" s="773"/>
      <c r="AX22" s="773"/>
      <c r="AY22" s="773"/>
    </row>
    <row r="23" spans="1:51" s="113" customFormat="1" ht="30" customHeight="1">
      <c r="A23" s="777"/>
      <c r="B23" s="777"/>
      <c r="C23" s="777"/>
      <c r="D23" s="773" t="s">
        <v>813</v>
      </c>
      <c r="E23" s="773"/>
      <c r="F23" s="773"/>
      <c r="G23" s="773"/>
      <c r="H23" s="773"/>
      <c r="I23" s="773"/>
      <c r="J23" s="778"/>
      <c r="K23" s="778"/>
      <c r="L23" s="778"/>
      <c r="M23" s="778"/>
      <c r="N23" s="778"/>
      <c r="O23" s="778"/>
      <c r="P23" s="773" t="s">
        <v>812</v>
      </c>
      <c r="Q23" s="773"/>
      <c r="R23" s="773"/>
      <c r="S23" s="773"/>
      <c r="T23" s="773"/>
      <c r="U23" s="773"/>
      <c r="V23" s="773" t="s">
        <v>297</v>
      </c>
      <c r="W23" s="773"/>
      <c r="X23" s="773"/>
      <c r="Y23" s="773"/>
      <c r="Z23" s="773"/>
      <c r="AA23" s="773"/>
      <c r="AB23" s="773"/>
      <c r="AC23" s="773"/>
      <c r="AD23" s="773" t="s">
        <v>297</v>
      </c>
      <c r="AE23" s="773"/>
      <c r="AF23" s="773"/>
      <c r="AG23" s="773"/>
      <c r="AH23" s="773"/>
      <c r="AI23" s="773"/>
      <c r="AJ23" s="773"/>
      <c r="AK23" s="773"/>
      <c r="AL23" s="773"/>
      <c r="AM23" s="773"/>
      <c r="AN23" s="773"/>
      <c r="AO23" s="773"/>
      <c r="AP23" s="778"/>
      <c r="AQ23" s="778"/>
      <c r="AR23" s="778"/>
      <c r="AS23" s="778"/>
      <c r="AT23" s="773" t="s">
        <v>75</v>
      </c>
      <c r="AU23" s="773"/>
      <c r="AV23" s="773"/>
      <c r="AW23" s="773"/>
      <c r="AX23" s="773"/>
      <c r="AY23" s="773"/>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1:C23"/>
    <mergeCell ref="D21:I21"/>
    <mergeCell ref="J21:O23"/>
    <mergeCell ref="P21:U21"/>
    <mergeCell ref="V21:AC21"/>
    <mergeCell ref="AD21:AO21"/>
    <mergeCell ref="D23:I23"/>
    <mergeCell ref="AP21:AS23"/>
    <mergeCell ref="AT23:AY23"/>
    <mergeCell ref="AT21:AY21"/>
    <mergeCell ref="D22:I22"/>
    <mergeCell ref="P22:U22"/>
    <mergeCell ref="V22:AC22"/>
    <mergeCell ref="AD22:AO22"/>
    <mergeCell ref="AT22:AY22"/>
    <mergeCell ref="P23:U23"/>
    <mergeCell ref="V23:AC23"/>
    <mergeCell ref="AD23:AO23"/>
  </mergeCells>
  <printOptions/>
  <pageMargins left="0.7" right="0.7" top="0.75" bottom="0.75" header="0.3" footer="0.3"/>
  <pageSetup fitToHeight="0" fitToWidth="1" horizontalDpi="600" verticalDpi="600" orientation="landscape" scale="18" r:id="rId3"/>
  <legacyDrawing r:id="rId2"/>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AY25"/>
  <sheetViews>
    <sheetView zoomScale="85" zoomScaleNormal="85" zoomScalePageLayoutView="0" workbookViewId="0" topLeftCell="S9">
      <pane xSplit="3" ySplit="4" topLeftCell="V17" activePane="bottomRight" state="frozen"/>
      <selection pane="topLeft" activeCell="S9" sqref="S9"/>
      <selection pane="topRight" activeCell="V9" sqref="V9"/>
      <selection pane="bottomLeft" activeCell="S13" sqref="S13"/>
      <selection pane="bottomRight" activeCell="AL17" sqref="AL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7" width="8.7109375" style="113" customWidth="1"/>
    <col min="18" max="18" width="8.7109375" style="131" customWidth="1"/>
    <col min="19"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48.8515625" style="113" customWidth="1"/>
    <col min="50" max="51" width="24.42187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1048" t="s">
        <v>423</v>
      </c>
      <c r="AY1" s="1049"/>
    </row>
    <row r="2" spans="1:51" ht="15.75" customHeight="1">
      <c r="A2" s="1105" t="s">
        <v>17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7"/>
      <c r="AX2" s="1051" t="s">
        <v>418</v>
      </c>
      <c r="AY2" s="1052"/>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1051" t="s">
        <v>424</v>
      </c>
      <c r="AY3" s="1052"/>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791</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1081">
        <v>45117</v>
      </c>
      <c r="E6" s="794"/>
      <c r="F6" s="784" t="s">
        <v>67</v>
      </c>
      <c r="G6" s="786"/>
      <c r="H6" s="1123" t="s">
        <v>70</v>
      </c>
      <c r="I6" s="1123"/>
      <c r="J6" s="121"/>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1122"/>
      <c r="AJ6" s="1122"/>
      <c r="AK6" s="1122"/>
      <c r="AL6" s="1122"/>
      <c r="AM6" s="1122"/>
      <c r="AN6" s="1122"/>
      <c r="AO6" s="1122"/>
      <c r="AP6" s="1122"/>
      <c r="AQ6" s="1122"/>
      <c r="AR6" s="1122"/>
      <c r="AS6" s="1122"/>
      <c r="AT6" s="1122"/>
      <c r="AU6" s="789"/>
      <c r="AV6" s="782"/>
      <c r="AW6" s="782"/>
      <c r="AX6" s="782"/>
      <c r="AY6" s="782"/>
    </row>
    <row r="7" spans="1:51" ht="15" customHeight="1">
      <c r="A7" s="793"/>
      <c r="B7" s="793"/>
      <c r="C7" s="793"/>
      <c r="D7" s="794"/>
      <c r="E7" s="794"/>
      <c r="F7" s="787"/>
      <c r="G7" s="789"/>
      <c r="H7" s="1123" t="s">
        <v>68</v>
      </c>
      <c r="I7" s="1123"/>
      <c r="J7" s="121"/>
      <c r="K7" s="787"/>
      <c r="L7" s="1122"/>
      <c r="M7" s="1122"/>
      <c r="N7" s="1122"/>
      <c r="O7" s="1122"/>
      <c r="P7" s="1122"/>
      <c r="Q7" s="1122"/>
      <c r="R7" s="1122"/>
      <c r="S7" s="1122"/>
      <c r="T7" s="1122"/>
      <c r="U7" s="1122"/>
      <c r="V7" s="231"/>
      <c r="W7" s="231"/>
      <c r="X7" s="231"/>
      <c r="Y7" s="231"/>
      <c r="Z7" s="231"/>
      <c r="AA7" s="231"/>
      <c r="AB7" s="231"/>
      <c r="AC7" s="231"/>
      <c r="AD7" s="231"/>
      <c r="AE7" s="231"/>
      <c r="AF7" s="231"/>
      <c r="AG7" s="117"/>
      <c r="AH7" s="787"/>
      <c r="AI7" s="1122"/>
      <c r="AJ7" s="1122"/>
      <c r="AK7" s="1122"/>
      <c r="AL7" s="1122"/>
      <c r="AM7" s="1122"/>
      <c r="AN7" s="1122"/>
      <c r="AO7" s="1122"/>
      <c r="AP7" s="1122"/>
      <c r="AQ7" s="1122"/>
      <c r="AR7" s="1122"/>
      <c r="AS7" s="1122"/>
      <c r="AT7" s="1122"/>
      <c r="AU7" s="789"/>
      <c r="AV7" s="782"/>
      <c r="AW7" s="782"/>
      <c r="AX7" s="782"/>
      <c r="AY7" s="782"/>
    </row>
    <row r="8" spans="1:51" ht="15" customHeight="1">
      <c r="A8" s="793"/>
      <c r="B8" s="793"/>
      <c r="C8" s="793"/>
      <c r="D8" s="794"/>
      <c r="E8" s="794"/>
      <c r="F8" s="790"/>
      <c r="G8" s="792"/>
      <c r="H8" s="1123" t="s">
        <v>69</v>
      </c>
      <c r="I8" s="1123"/>
      <c r="J8" s="121"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1122"/>
      <c r="AJ8" s="1122"/>
      <c r="AK8" s="1122"/>
      <c r="AL8" s="1122"/>
      <c r="AM8" s="1122"/>
      <c r="AN8" s="1122"/>
      <c r="AO8" s="1122"/>
      <c r="AP8" s="1122"/>
      <c r="AQ8" s="1122"/>
      <c r="AR8" s="1122"/>
      <c r="AS8" s="1122"/>
      <c r="AT8" s="1122"/>
      <c r="AU8" s="789"/>
      <c r="AV8" s="782"/>
      <c r="AW8" s="782"/>
      <c r="AX8" s="782"/>
      <c r="AY8" s="782"/>
    </row>
    <row r="9" spans="1:51" ht="15" customHeight="1">
      <c r="A9" s="762" t="s">
        <v>399</v>
      </c>
      <c r="B9" s="763"/>
      <c r="C9" s="764"/>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1122"/>
      <c r="AJ9" s="1122"/>
      <c r="AK9" s="1122"/>
      <c r="AL9" s="1122"/>
      <c r="AM9" s="1122"/>
      <c r="AN9" s="1122"/>
      <c r="AO9" s="1122"/>
      <c r="AP9" s="1122"/>
      <c r="AQ9" s="1122"/>
      <c r="AR9" s="1122"/>
      <c r="AS9" s="1122"/>
      <c r="AT9" s="1122"/>
      <c r="AU9" s="789"/>
      <c r="AV9" s="782"/>
      <c r="AW9" s="782"/>
      <c r="AX9" s="782"/>
      <c r="AY9" s="782"/>
    </row>
    <row r="10" spans="1:51" ht="15" customHeight="1">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120" t="s">
        <v>169</v>
      </c>
      <c r="B12" s="120" t="s">
        <v>170</v>
      </c>
      <c r="C12" s="120" t="s">
        <v>171</v>
      </c>
      <c r="D12" s="120" t="s">
        <v>178</v>
      </c>
      <c r="E12" s="120" t="s">
        <v>185</v>
      </c>
      <c r="F12" s="120" t="s">
        <v>186</v>
      </c>
      <c r="G12" s="120" t="s">
        <v>277</v>
      </c>
      <c r="H12" s="120" t="s">
        <v>184</v>
      </c>
      <c r="I12" s="775"/>
      <c r="J12" s="775"/>
      <c r="K12" s="775"/>
      <c r="L12" s="775"/>
      <c r="M12" s="775"/>
      <c r="N12" s="775"/>
      <c r="O12" s="120">
        <v>2020</v>
      </c>
      <c r="P12" s="120">
        <v>2021</v>
      </c>
      <c r="Q12" s="120">
        <v>2022</v>
      </c>
      <c r="R12" s="120">
        <v>2023</v>
      </c>
      <c r="S12" s="120">
        <v>2024</v>
      </c>
      <c r="T12" s="775"/>
      <c r="U12" s="775"/>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5"/>
      <c r="AW12" s="775"/>
      <c r="AX12" s="775"/>
      <c r="AY12" s="775"/>
    </row>
    <row r="13" spans="1:51" ht="195">
      <c r="A13" s="121"/>
      <c r="B13" s="121"/>
      <c r="C13" s="121"/>
      <c r="D13" s="121"/>
      <c r="E13" s="121" t="s">
        <v>425</v>
      </c>
      <c r="F13" s="121"/>
      <c r="G13" s="122" t="s">
        <v>427</v>
      </c>
      <c r="H13" s="122" t="s">
        <v>844</v>
      </c>
      <c r="I13" s="232" t="s">
        <v>428</v>
      </c>
      <c r="J13" s="233" t="s">
        <v>429</v>
      </c>
      <c r="K13" s="122" t="s">
        <v>430</v>
      </c>
      <c r="L13" s="121"/>
      <c r="M13" s="122" t="s">
        <v>431</v>
      </c>
      <c r="N13" s="122" t="s">
        <v>432</v>
      </c>
      <c r="O13" s="123"/>
      <c r="P13" s="123"/>
      <c r="Q13" s="123"/>
      <c r="R13" s="234">
        <v>1</v>
      </c>
      <c r="S13" s="123"/>
      <c r="T13" s="235" t="s">
        <v>433</v>
      </c>
      <c r="U13" s="232" t="s">
        <v>434</v>
      </c>
      <c r="V13" s="236"/>
      <c r="W13" s="236"/>
      <c r="X13" s="236">
        <v>0.25</v>
      </c>
      <c r="Y13" s="236"/>
      <c r="Z13" s="236"/>
      <c r="AA13" s="236">
        <v>0.25</v>
      </c>
      <c r="AB13" s="236"/>
      <c r="AC13" s="236"/>
      <c r="AD13" s="236">
        <v>0.25</v>
      </c>
      <c r="AE13" s="236"/>
      <c r="AF13" s="236"/>
      <c r="AG13" s="236">
        <v>0.25</v>
      </c>
      <c r="AH13" s="124"/>
      <c r="AI13" s="124"/>
      <c r="AJ13" s="127">
        <v>0.25</v>
      </c>
      <c r="AK13" s="128"/>
      <c r="AL13" s="381"/>
      <c r="AM13" s="491">
        <v>0.25</v>
      </c>
      <c r="AN13" s="124"/>
      <c r="AO13" s="124"/>
      <c r="AP13" s="124"/>
      <c r="AQ13" s="124"/>
      <c r="AR13" s="124"/>
      <c r="AS13" s="124"/>
      <c r="AT13" s="127">
        <f>SUM(AH13:AS13)</f>
        <v>0.5</v>
      </c>
      <c r="AU13" s="379">
        <f>+AT13/R13</f>
        <v>0.5</v>
      </c>
      <c r="AV13" s="494" t="s">
        <v>893</v>
      </c>
      <c r="AW13" s="494" t="s">
        <v>894</v>
      </c>
      <c r="AX13" s="498" t="s">
        <v>865</v>
      </c>
      <c r="AY13" s="499" t="s">
        <v>450</v>
      </c>
    </row>
    <row r="14" spans="1:51" ht="195">
      <c r="A14" s="121"/>
      <c r="B14" s="121"/>
      <c r="C14" s="121"/>
      <c r="D14" s="121"/>
      <c r="E14" s="121" t="s">
        <v>425</v>
      </c>
      <c r="F14" s="121"/>
      <c r="G14" s="122" t="s">
        <v>427</v>
      </c>
      <c r="H14" s="122" t="s">
        <v>844</v>
      </c>
      <c r="I14" s="232" t="s">
        <v>435</v>
      </c>
      <c r="J14" s="233" t="s">
        <v>436</v>
      </c>
      <c r="K14" s="124" t="s">
        <v>430</v>
      </c>
      <c r="L14" s="124"/>
      <c r="M14" s="122" t="s">
        <v>437</v>
      </c>
      <c r="N14" s="237" t="s">
        <v>438</v>
      </c>
      <c r="O14" s="124"/>
      <c r="P14" s="124"/>
      <c r="Q14" s="124"/>
      <c r="R14" s="235">
        <v>1</v>
      </c>
      <c r="S14" s="124"/>
      <c r="T14" s="235" t="s">
        <v>439</v>
      </c>
      <c r="U14" s="232" t="s">
        <v>440</v>
      </c>
      <c r="V14" s="236"/>
      <c r="W14" s="236"/>
      <c r="X14" s="236"/>
      <c r="Y14" s="236"/>
      <c r="Z14" s="236"/>
      <c r="AA14" s="236"/>
      <c r="AB14" s="236"/>
      <c r="AC14" s="236"/>
      <c r="AD14" s="236"/>
      <c r="AE14" s="236"/>
      <c r="AF14" s="236"/>
      <c r="AG14" s="238">
        <v>1</v>
      </c>
      <c r="AH14" s="124"/>
      <c r="AI14" s="124"/>
      <c r="AJ14" s="124"/>
      <c r="AK14" s="128"/>
      <c r="AL14" s="381"/>
      <c r="AM14" s="492"/>
      <c r="AN14" s="124"/>
      <c r="AO14" s="124"/>
      <c r="AP14" s="124"/>
      <c r="AQ14" s="124"/>
      <c r="AR14" s="124"/>
      <c r="AS14" s="124"/>
      <c r="AT14" s="124">
        <f aca="true" t="shared" si="0" ref="AT14:AT22">SUM(AH14:AS14)</f>
        <v>0</v>
      </c>
      <c r="AU14" s="379">
        <f aca="true" t="shared" si="1" ref="AU14:AU22">+AT14/R14</f>
        <v>0</v>
      </c>
      <c r="AV14" s="494" t="s">
        <v>895</v>
      </c>
      <c r="AW14" s="494" t="s">
        <v>896</v>
      </c>
      <c r="AX14" s="498" t="s">
        <v>450</v>
      </c>
      <c r="AY14" s="499" t="s">
        <v>450</v>
      </c>
    </row>
    <row r="15" spans="1:51" ht="300">
      <c r="A15" s="121"/>
      <c r="B15" s="121"/>
      <c r="C15" s="121"/>
      <c r="D15" s="121"/>
      <c r="E15" s="121" t="s">
        <v>425</v>
      </c>
      <c r="F15" s="121"/>
      <c r="G15" s="122" t="s">
        <v>427</v>
      </c>
      <c r="H15" s="122" t="s">
        <v>844</v>
      </c>
      <c r="I15" s="232" t="s">
        <v>441</v>
      </c>
      <c r="J15" s="233" t="s">
        <v>442</v>
      </c>
      <c r="K15" s="124" t="s">
        <v>430</v>
      </c>
      <c r="L15" s="124"/>
      <c r="M15" s="121" t="s">
        <v>437</v>
      </c>
      <c r="N15" s="237" t="s">
        <v>443</v>
      </c>
      <c r="O15" s="124"/>
      <c r="P15" s="124"/>
      <c r="Q15" s="124"/>
      <c r="R15" s="235">
        <v>12</v>
      </c>
      <c r="S15" s="124"/>
      <c r="T15" s="235" t="s">
        <v>444</v>
      </c>
      <c r="U15" s="232" t="s">
        <v>445</v>
      </c>
      <c r="V15" s="236"/>
      <c r="W15" s="236"/>
      <c r="X15" s="238"/>
      <c r="Y15" s="238">
        <v>4</v>
      </c>
      <c r="Z15" s="238"/>
      <c r="AA15" s="238"/>
      <c r="AB15" s="238"/>
      <c r="AC15" s="238">
        <v>4</v>
      </c>
      <c r="AD15" s="238"/>
      <c r="AE15" s="238"/>
      <c r="AF15" s="238"/>
      <c r="AG15" s="238">
        <v>4</v>
      </c>
      <c r="AH15" s="124"/>
      <c r="AI15" s="124"/>
      <c r="AJ15" s="124"/>
      <c r="AK15" s="128">
        <v>4</v>
      </c>
      <c r="AL15" s="381"/>
      <c r="AM15" s="492"/>
      <c r="AN15" s="124"/>
      <c r="AO15" s="124"/>
      <c r="AP15" s="124"/>
      <c r="AQ15" s="124"/>
      <c r="AR15" s="124"/>
      <c r="AS15" s="124"/>
      <c r="AT15" s="124">
        <f t="shared" si="0"/>
        <v>4</v>
      </c>
      <c r="AU15" s="379">
        <f t="shared" si="1"/>
        <v>0.3333333333333333</v>
      </c>
      <c r="AV15" s="494" t="s">
        <v>895</v>
      </c>
      <c r="AW15" s="494" t="s">
        <v>897</v>
      </c>
      <c r="AX15" s="487" t="s">
        <v>865</v>
      </c>
      <c r="AY15" s="499" t="s">
        <v>450</v>
      </c>
    </row>
    <row r="16" spans="1:51" ht="190.5" customHeight="1">
      <c r="A16" s="121"/>
      <c r="B16" s="121"/>
      <c r="C16" s="121"/>
      <c r="D16" s="121"/>
      <c r="E16" s="121" t="s">
        <v>425</v>
      </c>
      <c r="F16" s="121"/>
      <c r="G16" s="122" t="s">
        <v>427</v>
      </c>
      <c r="H16" s="122" t="s">
        <v>844</v>
      </c>
      <c r="I16" s="232" t="s">
        <v>446</v>
      </c>
      <c r="J16" s="233" t="s">
        <v>447</v>
      </c>
      <c r="K16" s="124" t="s">
        <v>430</v>
      </c>
      <c r="L16" s="124"/>
      <c r="M16" s="122" t="s">
        <v>437</v>
      </c>
      <c r="N16" s="233" t="s">
        <v>448</v>
      </c>
      <c r="O16" s="124"/>
      <c r="P16" s="124"/>
      <c r="Q16" s="124"/>
      <c r="R16" s="235">
        <v>6</v>
      </c>
      <c r="S16" s="124"/>
      <c r="T16" s="235" t="s">
        <v>444</v>
      </c>
      <c r="U16" s="232" t="s">
        <v>449</v>
      </c>
      <c r="V16" s="236"/>
      <c r="W16" s="236"/>
      <c r="X16" s="236"/>
      <c r="Y16" s="239">
        <v>2</v>
      </c>
      <c r="Z16" s="239"/>
      <c r="AA16" s="240"/>
      <c r="AB16" s="239"/>
      <c r="AC16" s="239">
        <v>2</v>
      </c>
      <c r="AD16" s="236"/>
      <c r="AE16" s="236"/>
      <c r="AF16" s="236"/>
      <c r="AG16" s="238">
        <v>2</v>
      </c>
      <c r="AH16" s="124"/>
      <c r="AI16" s="124"/>
      <c r="AJ16" s="124"/>
      <c r="AK16" s="128">
        <v>4</v>
      </c>
      <c r="AL16" s="381"/>
      <c r="AM16" s="492"/>
      <c r="AN16" s="124"/>
      <c r="AO16" s="124"/>
      <c r="AP16" s="124"/>
      <c r="AQ16" s="124"/>
      <c r="AR16" s="124"/>
      <c r="AS16" s="124"/>
      <c r="AT16" s="124">
        <f t="shared" si="0"/>
        <v>4</v>
      </c>
      <c r="AU16" s="379">
        <f>+AT16/R16</f>
        <v>0.6666666666666666</v>
      </c>
      <c r="AV16" s="494" t="s">
        <v>895</v>
      </c>
      <c r="AW16" s="494" t="s">
        <v>898</v>
      </c>
      <c r="AX16" s="487" t="s">
        <v>865</v>
      </c>
      <c r="AY16" s="499" t="s">
        <v>450</v>
      </c>
    </row>
    <row r="17" spans="1:51" ht="180">
      <c r="A17" s="121"/>
      <c r="B17" s="121"/>
      <c r="C17" s="121"/>
      <c r="D17" s="121"/>
      <c r="E17" s="121" t="s">
        <v>425</v>
      </c>
      <c r="F17" s="121"/>
      <c r="G17" s="122" t="s">
        <v>427</v>
      </c>
      <c r="H17" s="121" t="s">
        <v>450</v>
      </c>
      <c r="I17" s="232" t="s">
        <v>451</v>
      </c>
      <c r="J17" s="233" t="s">
        <v>452</v>
      </c>
      <c r="K17" s="124" t="s">
        <v>453</v>
      </c>
      <c r="L17" s="235"/>
      <c r="M17" s="121" t="s">
        <v>431</v>
      </c>
      <c r="N17" s="122" t="s">
        <v>454</v>
      </c>
      <c r="O17" s="124"/>
      <c r="P17" s="124"/>
      <c r="Q17" s="124"/>
      <c r="R17" s="234">
        <v>1</v>
      </c>
      <c r="S17" s="124"/>
      <c r="T17" s="235" t="s">
        <v>455</v>
      </c>
      <c r="U17" s="232" t="s">
        <v>456</v>
      </c>
      <c r="V17" s="236"/>
      <c r="W17" s="236"/>
      <c r="X17" s="236"/>
      <c r="Y17" s="236"/>
      <c r="Z17" s="236"/>
      <c r="AA17" s="236">
        <v>1</v>
      </c>
      <c r="AB17" s="236"/>
      <c r="AC17" s="236"/>
      <c r="AD17" s="236"/>
      <c r="AE17" s="236"/>
      <c r="AF17" s="236"/>
      <c r="AG17" s="236">
        <v>1</v>
      </c>
      <c r="AH17" s="124"/>
      <c r="AI17" s="124"/>
      <c r="AJ17" s="124"/>
      <c r="AK17" s="128"/>
      <c r="AL17" s="477">
        <v>1</v>
      </c>
      <c r="AM17" s="490">
        <v>1</v>
      </c>
      <c r="AN17" s="124"/>
      <c r="AO17" s="124"/>
      <c r="AP17" s="124"/>
      <c r="AQ17" s="124"/>
      <c r="AR17" s="124"/>
      <c r="AS17" s="124"/>
      <c r="AT17" s="484">
        <f>AVERAGE(AH17:AS17)</f>
        <v>1</v>
      </c>
      <c r="AU17" s="478">
        <f>+(SUM(AH17:AS17)/+SUM(V17:AG17))</f>
        <v>1</v>
      </c>
      <c r="AV17" s="479" t="s">
        <v>895</v>
      </c>
      <c r="AW17" s="494" t="s">
        <v>899</v>
      </c>
      <c r="AX17" s="498" t="s">
        <v>450</v>
      </c>
      <c r="AY17" s="499" t="s">
        <v>450</v>
      </c>
    </row>
    <row r="18" spans="1:51" ht="156" customHeight="1">
      <c r="A18" s="121"/>
      <c r="B18" s="121"/>
      <c r="C18" s="121"/>
      <c r="D18" s="121"/>
      <c r="E18" s="121" t="s">
        <v>425</v>
      </c>
      <c r="F18" s="121"/>
      <c r="G18" s="122" t="s">
        <v>427</v>
      </c>
      <c r="H18" s="121" t="s">
        <v>450</v>
      </c>
      <c r="I18" s="232" t="s">
        <v>457</v>
      </c>
      <c r="J18" s="233" t="s">
        <v>458</v>
      </c>
      <c r="K18" s="124" t="s">
        <v>453</v>
      </c>
      <c r="L18" s="235"/>
      <c r="M18" s="121" t="s">
        <v>431</v>
      </c>
      <c r="N18" s="122" t="s">
        <v>459</v>
      </c>
      <c r="O18" s="124"/>
      <c r="P18" s="124"/>
      <c r="Q18" s="124"/>
      <c r="R18" s="234">
        <v>1</v>
      </c>
      <c r="S18" s="124"/>
      <c r="T18" s="235" t="s">
        <v>460</v>
      </c>
      <c r="U18" s="232" t="s">
        <v>461</v>
      </c>
      <c r="V18" s="236">
        <v>1</v>
      </c>
      <c r="W18" s="236">
        <v>1</v>
      </c>
      <c r="X18" s="236">
        <v>1</v>
      </c>
      <c r="Y18" s="236">
        <v>1</v>
      </c>
      <c r="Z18" s="236">
        <v>1</v>
      </c>
      <c r="AA18" s="236">
        <v>1</v>
      </c>
      <c r="AB18" s="236">
        <v>1</v>
      </c>
      <c r="AC18" s="236">
        <v>1</v>
      </c>
      <c r="AD18" s="236">
        <v>1</v>
      </c>
      <c r="AE18" s="236">
        <v>1</v>
      </c>
      <c r="AF18" s="236">
        <v>1</v>
      </c>
      <c r="AG18" s="236">
        <v>1</v>
      </c>
      <c r="AH18" s="127">
        <v>1</v>
      </c>
      <c r="AI18" s="127">
        <v>1</v>
      </c>
      <c r="AJ18" s="127">
        <v>1</v>
      </c>
      <c r="AK18" s="462">
        <v>1</v>
      </c>
      <c r="AL18" s="380">
        <v>1</v>
      </c>
      <c r="AM18" s="491">
        <v>1</v>
      </c>
      <c r="AN18" s="124"/>
      <c r="AO18" s="124"/>
      <c r="AP18" s="124"/>
      <c r="AQ18" s="124"/>
      <c r="AR18" s="124"/>
      <c r="AS18" s="124"/>
      <c r="AT18" s="127">
        <f>AVERAGE(AH18:AS18)</f>
        <v>1</v>
      </c>
      <c r="AU18" s="379">
        <f>+(SUM(AH18:AS18)/+SUM(V18:AG18))</f>
        <v>0.5</v>
      </c>
      <c r="AV18" s="495" t="s">
        <v>900</v>
      </c>
      <c r="AW18" s="495" t="s">
        <v>901</v>
      </c>
      <c r="AX18" s="487" t="s">
        <v>865</v>
      </c>
      <c r="AY18" s="499" t="s">
        <v>450</v>
      </c>
    </row>
    <row r="19" spans="1:51" ht="345">
      <c r="A19" s="121"/>
      <c r="B19" s="121"/>
      <c r="C19" s="121"/>
      <c r="D19" s="121"/>
      <c r="E19" s="121" t="s">
        <v>425</v>
      </c>
      <c r="F19" s="121"/>
      <c r="G19" s="122" t="s">
        <v>427</v>
      </c>
      <c r="H19" s="122" t="s">
        <v>844</v>
      </c>
      <c r="I19" s="232" t="s">
        <v>462</v>
      </c>
      <c r="J19" s="232" t="s">
        <v>463</v>
      </c>
      <c r="K19" s="121" t="s">
        <v>453</v>
      </c>
      <c r="L19" s="124"/>
      <c r="M19" s="122" t="s">
        <v>431</v>
      </c>
      <c r="N19" s="232" t="s">
        <v>464</v>
      </c>
      <c r="O19" s="124"/>
      <c r="P19" s="124"/>
      <c r="Q19" s="124"/>
      <c r="R19" s="234">
        <v>1</v>
      </c>
      <c r="S19" s="124"/>
      <c r="T19" s="235" t="s">
        <v>444</v>
      </c>
      <c r="U19" s="232" t="s">
        <v>465</v>
      </c>
      <c r="V19" s="236"/>
      <c r="W19" s="236"/>
      <c r="X19" s="236"/>
      <c r="Y19" s="236">
        <v>1</v>
      </c>
      <c r="Z19" s="236"/>
      <c r="AA19" s="236"/>
      <c r="AB19" s="236"/>
      <c r="AC19" s="236">
        <v>1</v>
      </c>
      <c r="AD19" s="236"/>
      <c r="AE19" s="236"/>
      <c r="AF19" s="236"/>
      <c r="AG19" s="236">
        <v>1</v>
      </c>
      <c r="AH19" s="124"/>
      <c r="AI19" s="124"/>
      <c r="AJ19" s="124"/>
      <c r="AK19" s="462">
        <v>1</v>
      </c>
      <c r="AL19" s="381"/>
      <c r="AM19" s="492"/>
      <c r="AN19" s="124"/>
      <c r="AO19" s="124"/>
      <c r="AP19" s="124"/>
      <c r="AQ19" s="124"/>
      <c r="AR19" s="124"/>
      <c r="AS19" s="124"/>
      <c r="AT19" s="127">
        <f t="shared" si="0"/>
        <v>1</v>
      </c>
      <c r="AU19" s="379">
        <f>+(SUM(AH19:AS19)/+SUM(V19:AG19))</f>
        <v>0.3333333333333333</v>
      </c>
      <c r="AV19" s="494" t="s">
        <v>895</v>
      </c>
      <c r="AW19" s="494" t="s">
        <v>902</v>
      </c>
      <c r="AX19" s="487" t="s">
        <v>865</v>
      </c>
      <c r="AY19" s="499" t="s">
        <v>450</v>
      </c>
    </row>
    <row r="20" spans="1:51" ht="268.5" customHeight="1">
      <c r="A20" s="121"/>
      <c r="B20" s="121"/>
      <c r="C20" s="121"/>
      <c r="D20" s="121"/>
      <c r="E20" s="121" t="s">
        <v>425</v>
      </c>
      <c r="F20" s="121"/>
      <c r="G20" s="122" t="s">
        <v>427</v>
      </c>
      <c r="H20" s="122" t="s">
        <v>844</v>
      </c>
      <c r="I20" s="232" t="s">
        <v>466</v>
      </c>
      <c r="J20" s="233" t="s">
        <v>467</v>
      </c>
      <c r="K20" s="124" t="s">
        <v>430</v>
      </c>
      <c r="L20" s="124"/>
      <c r="M20" s="121" t="s">
        <v>437</v>
      </c>
      <c r="N20" s="237" t="s">
        <v>468</v>
      </c>
      <c r="O20" s="124"/>
      <c r="P20" s="124"/>
      <c r="Q20" s="124"/>
      <c r="R20" s="235">
        <v>2</v>
      </c>
      <c r="S20" s="124"/>
      <c r="T20" s="235" t="s">
        <v>455</v>
      </c>
      <c r="U20" s="232" t="s">
        <v>469</v>
      </c>
      <c r="V20" s="236"/>
      <c r="W20" s="236"/>
      <c r="X20" s="236"/>
      <c r="Y20" s="236"/>
      <c r="Z20" s="236"/>
      <c r="AA20" s="238"/>
      <c r="AB20" s="239">
        <v>1</v>
      </c>
      <c r="AC20" s="236"/>
      <c r="AD20" s="236"/>
      <c r="AE20" s="236"/>
      <c r="AF20" s="236"/>
      <c r="AG20" s="238">
        <v>1</v>
      </c>
      <c r="AH20" s="124"/>
      <c r="AI20" s="124"/>
      <c r="AJ20" s="124"/>
      <c r="AK20" s="128"/>
      <c r="AL20" s="381"/>
      <c r="AM20" s="485"/>
      <c r="AN20" s="124"/>
      <c r="AO20" s="124"/>
      <c r="AP20" s="124"/>
      <c r="AQ20" s="124"/>
      <c r="AR20" s="124"/>
      <c r="AS20" s="124"/>
      <c r="AT20" s="124">
        <f t="shared" si="0"/>
        <v>0</v>
      </c>
      <c r="AU20" s="379">
        <f t="shared" si="1"/>
        <v>0</v>
      </c>
      <c r="AV20" s="494" t="s">
        <v>895</v>
      </c>
      <c r="AW20" s="494" t="s">
        <v>895</v>
      </c>
      <c r="AX20" s="498" t="s">
        <v>450</v>
      </c>
      <c r="AY20" s="499" t="s">
        <v>450</v>
      </c>
    </row>
    <row r="21" spans="1:51" ht="184.5" customHeight="1">
      <c r="A21" s="121"/>
      <c r="B21" s="121"/>
      <c r="C21" s="121"/>
      <c r="D21" s="121"/>
      <c r="E21" s="121" t="s">
        <v>425</v>
      </c>
      <c r="F21" s="121"/>
      <c r="G21" s="122" t="s">
        <v>427</v>
      </c>
      <c r="H21" s="122" t="s">
        <v>844</v>
      </c>
      <c r="I21" s="232" t="s">
        <v>470</v>
      </c>
      <c r="J21" s="233" t="s">
        <v>471</v>
      </c>
      <c r="K21" s="124" t="s">
        <v>430</v>
      </c>
      <c r="L21" s="124"/>
      <c r="M21" s="121" t="s">
        <v>437</v>
      </c>
      <c r="N21" s="122" t="s">
        <v>472</v>
      </c>
      <c r="O21" s="124"/>
      <c r="P21" s="124"/>
      <c r="Q21" s="124"/>
      <c r="R21" s="241">
        <v>12</v>
      </c>
      <c r="S21" s="124"/>
      <c r="T21" s="235" t="s">
        <v>460</v>
      </c>
      <c r="U21" s="232" t="s">
        <v>473</v>
      </c>
      <c r="V21" s="121">
        <v>1</v>
      </c>
      <c r="W21" s="459">
        <v>1</v>
      </c>
      <c r="X21" s="459">
        <v>1</v>
      </c>
      <c r="Y21" s="459">
        <v>1</v>
      </c>
      <c r="Z21" s="459">
        <v>1</v>
      </c>
      <c r="AA21" s="459">
        <v>1</v>
      </c>
      <c r="AB21" s="459">
        <v>1</v>
      </c>
      <c r="AC21" s="459">
        <v>1</v>
      </c>
      <c r="AD21" s="459">
        <v>1</v>
      </c>
      <c r="AE21" s="459">
        <v>1</v>
      </c>
      <c r="AF21" s="459">
        <v>1</v>
      </c>
      <c r="AG21" s="459">
        <v>1</v>
      </c>
      <c r="AH21" s="459">
        <v>1</v>
      </c>
      <c r="AI21" s="459">
        <v>1</v>
      </c>
      <c r="AJ21" s="459">
        <v>1</v>
      </c>
      <c r="AK21" s="459">
        <v>1</v>
      </c>
      <c r="AL21" s="128">
        <v>1</v>
      </c>
      <c r="AM21" s="485">
        <v>1</v>
      </c>
      <c r="AN21" s="459"/>
      <c r="AO21" s="459"/>
      <c r="AP21" s="459"/>
      <c r="AQ21" s="459"/>
      <c r="AR21" s="459"/>
      <c r="AS21" s="459"/>
      <c r="AT21" s="124">
        <f t="shared" si="0"/>
        <v>6</v>
      </c>
      <c r="AU21" s="379">
        <f t="shared" si="1"/>
        <v>0.5</v>
      </c>
      <c r="AV21" s="495" t="s">
        <v>903</v>
      </c>
      <c r="AW21" s="495" t="s">
        <v>904</v>
      </c>
      <c r="AX21" s="487" t="s">
        <v>865</v>
      </c>
      <c r="AY21" s="499" t="s">
        <v>450</v>
      </c>
    </row>
    <row r="22" spans="1:51" ht="96" customHeight="1">
      <c r="A22" s="121"/>
      <c r="B22" s="121"/>
      <c r="C22" s="121"/>
      <c r="D22" s="121"/>
      <c r="E22" s="121" t="s">
        <v>425</v>
      </c>
      <c r="F22" s="121"/>
      <c r="G22" s="122" t="s">
        <v>427</v>
      </c>
      <c r="H22" s="122" t="s">
        <v>844</v>
      </c>
      <c r="I22" s="232" t="s">
        <v>474</v>
      </c>
      <c r="J22" s="233" t="s">
        <v>475</v>
      </c>
      <c r="K22" s="124" t="s">
        <v>430</v>
      </c>
      <c r="L22" s="124"/>
      <c r="M22" s="121" t="s">
        <v>437</v>
      </c>
      <c r="N22" s="237" t="s">
        <v>476</v>
      </c>
      <c r="O22" s="124"/>
      <c r="P22" s="124"/>
      <c r="Q22" s="124"/>
      <c r="R22" s="235">
        <v>2</v>
      </c>
      <c r="S22" s="124"/>
      <c r="T22" s="235" t="s">
        <v>455</v>
      </c>
      <c r="U22" s="232" t="s">
        <v>477</v>
      </c>
      <c r="V22" s="236"/>
      <c r="W22" s="236"/>
      <c r="X22" s="236"/>
      <c r="Y22" s="236"/>
      <c r="Z22" s="236"/>
      <c r="AA22" s="236"/>
      <c r="AB22" s="238">
        <v>1</v>
      </c>
      <c r="AC22" s="236"/>
      <c r="AD22" s="236"/>
      <c r="AE22" s="236"/>
      <c r="AF22" s="236"/>
      <c r="AG22" s="238">
        <v>1</v>
      </c>
      <c r="AH22" s="124"/>
      <c r="AI22" s="124"/>
      <c r="AJ22" s="124"/>
      <c r="AK22" s="128"/>
      <c r="AL22" s="381"/>
      <c r="AM22" s="492"/>
      <c r="AN22" s="124"/>
      <c r="AO22" s="124"/>
      <c r="AP22" s="124"/>
      <c r="AQ22" s="124"/>
      <c r="AR22" s="124"/>
      <c r="AS22" s="124"/>
      <c r="AT22" s="124">
        <f t="shared" si="0"/>
        <v>0</v>
      </c>
      <c r="AU22" s="379">
        <f t="shared" si="1"/>
        <v>0</v>
      </c>
      <c r="AV22" s="494" t="s">
        <v>895</v>
      </c>
      <c r="AW22" s="494" t="s">
        <v>896</v>
      </c>
      <c r="AX22" s="498" t="s">
        <v>450</v>
      </c>
      <c r="AY22" s="499" t="s">
        <v>450</v>
      </c>
    </row>
    <row r="23" spans="1:51" ht="54" customHeight="1">
      <c r="A23" s="777" t="s">
        <v>64</v>
      </c>
      <c r="B23" s="777"/>
      <c r="C23" s="777"/>
      <c r="D23" s="773" t="s">
        <v>66</v>
      </c>
      <c r="E23" s="773"/>
      <c r="F23" s="773"/>
      <c r="G23" s="773"/>
      <c r="H23" s="773"/>
      <c r="I23" s="773"/>
      <c r="J23" s="778" t="s">
        <v>300</v>
      </c>
      <c r="K23" s="778"/>
      <c r="L23" s="778"/>
      <c r="M23" s="778"/>
      <c r="N23" s="778"/>
      <c r="O23" s="778"/>
      <c r="P23" s="773" t="s">
        <v>66</v>
      </c>
      <c r="Q23" s="773"/>
      <c r="R23" s="773"/>
      <c r="S23" s="773"/>
      <c r="T23" s="773"/>
      <c r="U23" s="773"/>
      <c r="V23" s="773" t="s">
        <v>66</v>
      </c>
      <c r="W23" s="773"/>
      <c r="X23" s="773"/>
      <c r="Y23" s="773"/>
      <c r="Z23" s="773"/>
      <c r="AA23" s="773"/>
      <c r="AB23" s="773"/>
      <c r="AC23" s="773"/>
      <c r="AD23" s="773" t="s">
        <v>66</v>
      </c>
      <c r="AE23" s="773"/>
      <c r="AF23" s="773"/>
      <c r="AG23" s="773"/>
      <c r="AH23" s="773"/>
      <c r="AI23" s="773"/>
      <c r="AJ23" s="773"/>
      <c r="AK23" s="773"/>
      <c r="AL23" s="773"/>
      <c r="AM23" s="773"/>
      <c r="AN23" s="773"/>
      <c r="AO23" s="773"/>
      <c r="AP23" s="778" t="s">
        <v>318</v>
      </c>
      <c r="AQ23" s="778"/>
      <c r="AR23" s="778"/>
      <c r="AS23" s="778"/>
      <c r="AT23" s="773" t="s">
        <v>13</v>
      </c>
      <c r="AU23" s="773"/>
      <c r="AV23" s="773"/>
      <c r="AW23" s="773"/>
      <c r="AX23" s="773"/>
      <c r="AY23" s="773"/>
    </row>
    <row r="24" spans="1:51" ht="30" customHeight="1">
      <c r="A24" s="777"/>
      <c r="B24" s="777"/>
      <c r="C24" s="777"/>
      <c r="D24" s="773" t="s">
        <v>797</v>
      </c>
      <c r="E24" s="773"/>
      <c r="F24" s="773"/>
      <c r="G24" s="773"/>
      <c r="H24" s="773"/>
      <c r="I24" s="773"/>
      <c r="J24" s="778"/>
      <c r="K24" s="778"/>
      <c r="L24" s="778"/>
      <c r="M24" s="778"/>
      <c r="N24" s="778"/>
      <c r="O24" s="778"/>
      <c r="P24" s="773" t="s">
        <v>799</v>
      </c>
      <c r="Q24" s="773"/>
      <c r="R24" s="773"/>
      <c r="S24" s="773"/>
      <c r="T24" s="773"/>
      <c r="U24" s="773"/>
      <c r="V24" s="773" t="s">
        <v>800</v>
      </c>
      <c r="W24" s="773"/>
      <c r="X24" s="773"/>
      <c r="Y24" s="773"/>
      <c r="Z24" s="773"/>
      <c r="AA24" s="773"/>
      <c r="AB24" s="773"/>
      <c r="AC24" s="773"/>
      <c r="AD24" s="773" t="s">
        <v>65</v>
      </c>
      <c r="AE24" s="773"/>
      <c r="AF24" s="773"/>
      <c r="AG24" s="773"/>
      <c r="AH24" s="773"/>
      <c r="AI24" s="773"/>
      <c r="AJ24" s="773"/>
      <c r="AK24" s="773"/>
      <c r="AL24" s="773"/>
      <c r="AM24" s="773"/>
      <c r="AN24" s="773"/>
      <c r="AO24" s="773"/>
      <c r="AP24" s="778"/>
      <c r="AQ24" s="778"/>
      <c r="AR24" s="778"/>
      <c r="AS24" s="778"/>
      <c r="AT24" s="773" t="s">
        <v>771</v>
      </c>
      <c r="AU24" s="773"/>
      <c r="AV24" s="773"/>
      <c r="AW24" s="773"/>
      <c r="AX24" s="773"/>
      <c r="AY24" s="773"/>
    </row>
    <row r="25" spans="1:51" ht="30" customHeight="1">
      <c r="A25" s="777"/>
      <c r="B25" s="777"/>
      <c r="C25" s="777"/>
      <c r="D25" s="773" t="s">
        <v>798</v>
      </c>
      <c r="E25" s="773"/>
      <c r="F25" s="773"/>
      <c r="G25" s="773"/>
      <c r="H25" s="773"/>
      <c r="I25" s="773"/>
      <c r="J25" s="778"/>
      <c r="K25" s="778"/>
      <c r="L25" s="778"/>
      <c r="M25" s="778"/>
      <c r="N25" s="778"/>
      <c r="O25" s="778"/>
      <c r="P25" s="773" t="s">
        <v>798</v>
      </c>
      <c r="Q25" s="773"/>
      <c r="R25" s="773"/>
      <c r="S25" s="773"/>
      <c r="T25" s="773"/>
      <c r="U25" s="773"/>
      <c r="V25" s="773" t="s">
        <v>801</v>
      </c>
      <c r="W25" s="773"/>
      <c r="X25" s="773"/>
      <c r="Y25" s="773"/>
      <c r="Z25" s="773"/>
      <c r="AA25" s="773"/>
      <c r="AB25" s="773"/>
      <c r="AC25" s="773"/>
      <c r="AD25" s="773" t="s">
        <v>297</v>
      </c>
      <c r="AE25" s="773"/>
      <c r="AF25" s="773"/>
      <c r="AG25" s="773"/>
      <c r="AH25" s="773"/>
      <c r="AI25" s="773"/>
      <c r="AJ25" s="773"/>
      <c r="AK25" s="773"/>
      <c r="AL25" s="773"/>
      <c r="AM25" s="773"/>
      <c r="AN25" s="773"/>
      <c r="AO25" s="773"/>
      <c r="AP25" s="778"/>
      <c r="AQ25" s="778"/>
      <c r="AR25" s="778"/>
      <c r="AS25" s="778"/>
      <c r="AT25" s="773" t="s">
        <v>75</v>
      </c>
      <c r="AU25" s="773"/>
      <c r="AV25" s="773"/>
      <c r="AW25" s="773"/>
      <c r="AX25" s="773"/>
      <c r="AY25" s="773"/>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3:C25"/>
    <mergeCell ref="D23:I23"/>
    <mergeCell ref="J23:O25"/>
    <mergeCell ref="P23:U23"/>
    <mergeCell ref="V23:AC23"/>
    <mergeCell ref="AD23:AO23"/>
    <mergeCell ref="D25:I25"/>
    <mergeCell ref="AP23:AS25"/>
    <mergeCell ref="AT25:AY25"/>
    <mergeCell ref="AT23:AY23"/>
    <mergeCell ref="D24:I24"/>
    <mergeCell ref="P24:U24"/>
    <mergeCell ref="V24:AC24"/>
    <mergeCell ref="AD24:AO24"/>
    <mergeCell ref="AT24:AY24"/>
    <mergeCell ref="P25:U25"/>
    <mergeCell ref="V25:AC25"/>
    <mergeCell ref="AD25:AO25"/>
  </mergeCells>
  <printOptions/>
  <pageMargins left="0.7" right="0.7" top="0.75" bottom="0.75" header="0.3" footer="0.3"/>
  <pageSetup fitToHeight="1" fitToWidth="1" horizontalDpi="600" verticalDpi="600" orientation="landscape" scale="19" r:id="rId4"/>
  <drawing r:id="rId3"/>
  <legacyDrawing r:id="rId2"/>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AY22"/>
  <sheetViews>
    <sheetView zoomScale="80" zoomScaleNormal="80" zoomScalePageLayoutView="0" workbookViewId="0" topLeftCell="T1">
      <selection activeCell="AU13" sqref="AU13"/>
    </sheetView>
  </sheetViews>
  <sheetFormatPr defaultColWidth="10.8515625" defaultRowHeight="15"/>
  <cols>
    <col min="1" max="1" width="19.28125" style="113" customWidth="1"/>
    <col min="2" max="2" width="10.00390625" style="113" customWidth="1"/>
    <col min="3" max="3" width="17.28125" style="113" customWidth="1"/>
    <col min="4" max="6" width="8.28125" style="113" customWidth="1"/>
    <col min="7" max="8" width="14.7109375" style="113" customWidth="1"/>
    <col min="9" max="9" width="36.421875" style="113" customWidth="1"/>
    <col min="10" max="10" width="29.28125" style="113" customWidth="1"/>
    <col min="11" max="11" width="16.8515625" style="113" customWidth="1"/>
    <col min="12" max="12" width="15.28125" style="113" customWidth="1"/>
    <col min="13" max="13" width="12.7109375" style="113" customWidth="1"/>
    <col min="14" max="14" width="27.421875" style="113" customWidth="1"/>
    <col min="15" max="19" width="8.7109375" style="113" customWidth="1"/>
    <col min="20" max="20" width="22.28125" style="113" customWidth="1"/>
    <col min="21" max="21" width="19.8515625" style="113" customWidth="1"/>
    <col min="22" max="45" width="5.8515625" style="113" customWidth="1"/>
    <col min="46" max="46" width="17.140625" style="113" customWidth="1"/>
    <col min="47" max="47" width="15.8515625" style="217" customWidth="1"/>
    <col min="48" max="49" width="55.8515625" style="113" customWidth="1"/>
    <col min="50" max="51" width="27.710937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1048" t="s">
        <v>423</v>
      </c>
      <c r="AY1" s="1049"/>
    </row>
    <row r="2" spans="1:51" ht="15.75" customHeight="1">
      <c r="A2" s="1105" t="s">
        <v>17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7"/>
      <c r="AX2" s="1051" t="s">
        <v>418</v>
      </c>
      <c r="AY2" s="1052"/>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1051" t="s">
        <v>424</v>
      </c>
      <c r="AY3" s="1052"/>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792</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1081">
        <v>45117</v>
      </c>
      <c r="E6" s="794"/>
      <c r="F6" s="784" t="s">
        <v>67</v>
      </c>
      <c r="G6" s="786"/>
      <c r="H6" s="1123" t="s">
        <v>70</v>
      </c>
      <c r="I6" s="1123"/>
      <c r="J6" s="121"/>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1122"/>
      <c r="AJ6" s="1122"/>
      <c r="AK6" s="1122"/>
      <c r="AL6" s="1122"/>
      <c r="AM6" s="1122"/>
      <c r="AN6" s="1122"/>
      <c r="AO6" s="1122"/>
      <c r="AP6" s="1122"/>
      <c r="AQ6" s="1122"/>
      <c r="AR6" s="1122"/>
      <c r="AS6" s="1122"/>
      <c r="AT6" s="1122"/>
      <c r="AU6" s="789"/>
      <c r="AV6" s="782"/>
      <c r="AW6" s="782"/>
      <c r="AX6" s="782"/>
      <c r="AY6" s="782"/>
    </row>
    <row r="7" spans="1:51" ht="15" customHeight="1">
      <c r="A7" s="793"/>
      <c r="B7" s="793"/>
      <c r="C7" s="793"/>
      <c r="D7" s="794"/>
      <c r="E7" s="794"/>
      <c r="F7" s="787"/>
      <c r="G7" s="789"/>
      <c r="H7" s="1123" t="s">
        <v>68</v>
      </c>
      <c r="I7" s="1123"/>
      <c r="J7" s="121"/>
      <c r="K7" s="787"/>
      <c r="L7" s="1122"/>
      <c r="M7" s="1122"/>
      <c r="N7" s="1122"/>
      <c r="O7" s="1122"/>
      <c r="P7" s="1122"/>
      <c r="Q7" s="1122"/>
      <c r="R7" s="1122"/>
      <c r="S7" s="1122"/>
      <c r="T7" s="1122"/>
      <c r="U7" s="1122"/>
      <c r="V7" s="231"/>
      <c r="W7" s="231"/>
      <c r="X7" s="231"/>
      <c r="Y7" s="231"/>
      <c r="Z7" s="231"/>
      <c r="AA7" s="231"/>
      <c r="AB7" s="231"/>
      <c r="AC7" s="231"/>
      <c r="AD7" s="231"/>
      <c r="AE7" s="231"/>
      <c r="AF7" s="231"/>
      <c r="AG7" s="117"/>
      <c r="AH7" s="787"/>
      <c r="AI7" s="1122"/>
      <c r="AJ7" s="1122"/>
      <c r="AK7" s="1122"/>
      <c r="AL7" s="1122"/>
      <c r="AM7" s="1122"/>
      <c r="AN7" s="1122"/>
      <c r="AO7" s="1122"/>
      <c r="AP7" s="1122"/>
      <c r="AQ7" s="1122"/>
      <c r="AR7" s="1122"/>
      <c r="AS7" s="1122"/>
      <c r="AT7" s="1122"/>
      <c r="AU7" s="789"/>
      <c r="AV7" s="782"/>
      <c r="AW7" s="782"/>
      <c r="AX7" s="782"/>
      <c r="AY7" s="782"/>
    </row>
    <row r="8" spans="1:51" ht="15" customHeight="1">
      <c r="A8" s="793"/>
      <c r="B8" s="793"/>
      <c r="C8" s="793"/>
      <c r="D8" s="794"/>
      <c r="E8" s="794"/>
      <c r="F8" s="790"/>
      <c r="G8" s="792"/>
      <c r="H8" s="1123" t="s">
        <v>69</v>
      </c>
      <c r="I8" s="1123"/>
      <c r="J8" s="121" t="s">
        <v>425</v>
      </c>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1122"/>
      <c r="AJ8" s="1122"/>
      <c r="AK8" s="1122"/>
      <c r="AL8" s="1122"/>
      <c r="AM8" s="1122"/>
      <c r="AN8" s="1122"/>
      <c r="AO8" s="1122"/>
      <c r="AP8" s="1122"/>
      <c r="AQ8" s="1122"/>
      <c r="AR8" s="1122"/>
      <c r="AS8" s="1122"/>
      <c r="AT8" s="1122"/>
      <c r="AU8" s="789"/>
      <c r="AV8" s="782"/>
      <c r="AW8" s="782"/>
      <c r="AX8" s="782"/>
      <c r="AY8" s="782"/>
    </row>
    <row r="9" spans="1:51" ht="15" customHeight="1">
      <c r="A9" s="762" t="s">
        <v>399</v>
      </c>
      <c r="B9" s="763"/>
      <c r="C9" s="764"/>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1122"/>
      <c r="AJ9" s="1122"/>
      <c r="AK9" s="1122"/>
      <c r="AL9" s="1122"/>
      <c r="AM9" s="1122"/>
      <c r="AN9" s="1122"/>
      <c r="AO9" s="1122"/>
      <c r="AP9" s="1122"/>
      <c r="AQ9" s="1122"/>
      <c r="AR9" s="1122"/>
      <c r="AS9" s="1122"/>
      <c r="AT9" s="1122"/>
      <c r="AU9" s="789"/>
      <c r="AV9" s="782"/>
      <c r="AW9" s="782"/>
      <c r="AX9" s="782"/>
      <c r="AY9" s="782"/>
    </row>
    <row r="10" spans="1:51" ht="15" customHeight="1">
      <c r="A10" s="795" t="s">
        <v>287</v>
      </c>
      <c r="B10" s="796"/>
      <c r="C10" s="797"/>
      <c r="D10" s="802" t="s">
        <v>500</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292" t="s">
        <v>169</v>
      </c>
      <c r="B12" s="292" t="s">
        <v>170</v>
      </c>
      <c r="C12" s="292" t="s">
        <v>171</v>
      </c>
      <c r="D12" s="292" t="s">
        <v>178</v>
      </c>
      <c r="E12" s="292" t="s">
        <v>185</v>
      </c>
      <c r="F12" s="292" t="s">
        <v>186</v>
      </c>
      <c r="G12" s="292" t="s">
        <v>277</v>
      </c>
      <c r="H12" s="292" t="s">
        <v>184</v>
      </c>
      <c r="I12" s="775"/>
      <c r="J12" s="775"/>
      <c r="K12" s="775"/>
      <c r="L12" s="775"/>
      <c r="M12" s="775"/>
      <c r="N12" s="775"/>
      <c r="O12" s="292">
        <v>2020</v>
      </c>
      <c r="P12" s="292">
        <v>2021</v>
      </c>
      <c r="Q12" s="292">
        <v>2022</v>
      </c>
      <c r="R12" s="292">
        <v>2023</v>
      </c>
      <c r="S12" s="292">
        <v>2024</v>
      </c>
      <c r="T12" s="775"/>
      <c r="U12" s="775"/>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75"/>
      <c r="AW12" s="775"/>
      <c r="AX12" s="775"/>
      <c r="AY12" s="775"/>
    </row>
    <row r="13" spans="1:51" ht="124.5" customHeight="1">
      <c r="A13" s="310"/>
      <c r="B13" s="121"/>
      <c r="C13" s="121"/>
      <c r="D13" s="121"/>
      <c r="E13" s="459" t="s">
        <v>425</v>
      </c>
      <c r="F13" s="121"/>
      <c r="G13" s="383" t="s">
        <v>720</v>
      </c>
      <c r="H13" s="121"/>
      <c r="I13" s="232" t="s">
        <v>721</v>
      </c>
      <c r="J13" s="402" t="s">
        <v>722</v>
      </c>
      <c r="K13" s="384" t="s">
        <v>453</v>
      </c>
      <c r="L13" s="122"/>
      <c r="M13" s="384" t="s">
        <v>431</v>
      </c>
      <c r="N13" s="402" t="s">
        <v>723</v>
      </c>
      <c r="O13" s="123"/>
      <c r="P13" s="123"/>
      <c r="Q13" s="123"/>
      <c r="R13" s="385">
        <v>1</v>
      </c>
      <c r="S13" s="123"/>
      <c r="T13" s="386" t="s">
        <v>433</v>
      </c>
      <c r="U13" s="403" t="s">
        <v>724</v>
      </c>
      <c r="V13" s="124"/>
      <c r="W13" s="124"/>
      <c r="X13" s="307">
        <v>1</v>
      </c>
      <c r="Y13" s="124"/>
      <c r="Z13" s="124"/>
      <c r="AA13" s="307">
        <v>1</v>
      </c>
      <c r="AB13" s="124"/>
      <c r="AC13" s="124"/>
      <c r="AD13" s="307">
        <v>1</v>
      </c>
      <c r="AE13" s="124"/>
      <c r="AF13" s="124"/>
      <c r="AG13" s="307">
        <v>1</v>
      </c>
      <c r="AH13" s="124"/>
      <c r="AI13" s="124"/>
      <c r="AJ13" s="127">
        <v>1</v>
      </c>
      <c r="AK13" s="124"/>
      <c r="AL13" s="124"/>
      <c r="AM13" s="484">
        <v>1</v>
      </c>
      <c r="AN13" s="124"/>
      <c r="AO13" s="124"/>
      <c r="AP13" s="124"/>
      <c r="AQ13" s="124"/>
      <c r="AR13" s="124"/>
      <c r="AS13" s="124"/>
      <c r="AT13" s="127">
        <f aca="true" t="shared" si="0" ref="AT13:AT18">AVERAGE(AH13:AS13)</f>
        <v>1</v>
      </c>
      <c r="AU13" s="379">
        <f aca="true" t="shared" si="1" ref="AU13:AU18">+(SUM(AH13:AS13)/+SUM(V13:AG13))</f>
        <v>0.5</v>
      </c>
      <c r="AV13" s="497" t="s">
        <v>871</v>
      </c>
      <c r="AW13" s="497" t="s">
        <v>872</v>
      </c>
      <c r="AX13" s="487" t="s">
        <v>865</v>
      </c>
      <c r="AY13" s="487" t="s">
        <v>450</v>
      </c>
    </row>
    <row r="14" spans="1:51" ht="124.5" customHeight="1">
      <c r="A14" s="310"/>
      <c r="B14" s="121"/>
      <c r="C14" s="121"/>
      <c r="D14" s="121"/>
      <c r="E14" s="459" t="s">
        <v>425</v>
      </c>
      <c r="F14" s="121"/>
      <c r="G14" s="383" t="s">
        <v>720</v>
      </c>
      <c r="H14" s="121"/>
      <c r="I14" s="232" t="s">
        <v>725</v>
      </c>
      <c r="J14" s="402" t="s">
        <v>726</v>
      </c>
      <c r="K14" s="384" t="s">
        <v>453</v>
      </c>
      <c r="L14" s="124"/>
      <c r="M14" s="384" t="s">
        <v>431</v>
      </c>
      <c r="N14" s="402" t="s">
        <v>727</v>
      </c>
      <c r="O14" s="124"/>
      <c r="P14" s="124"/>
      <c r="Q14" s="124"/>
      <c r="R14" s="385">
        <v>1</v>
      </c>
      <c r="S14" s="124"/>
      <c r="T14" s="386" t="s">
        <v>433</v>
      </c>
      <c r="U14" s="402" t="s">
        <v>728</v>
      </c>
      <c r="V14" s="124"/>
      <c r="W14" s="124"/>
      <c r="X14" s="307">
        <v>1</v>
      </c>
      <c r="Y14" s="124"/>
      <c r="Z14" s="124"/>
      <c r="AA14" s="307">
        <v>1</v>
      </c>
      <c r="AB14" s="124"/>
      <c r="AC14" s="124"/>
      <c r="AD14" s="307">
        <v>1</v>
      </c>
      <c r="AE14" s="124"/>
      <c r="AF14" s="124"/>
      <c r="AG14" s="307">
        <v>1</v>
      </c>
      <c r="AH14" s="124"/>
      <c r="AI14" s="124"/>
      <c r="AJ14" s="127">
        <v>1</v>
      </c>
      <c r="AK14" s="124"/>
      <c r="AL14" s="124"/>
      <c r="AM14" s="484">
        <v>1</v>
      </c>
      <c r="AN14" s="124"/>
      <c r="AO14" s="124"/>
      <c r="AP14" s="124"/>
      <c r="AQ14" s="124"/>
      <c r="AR14" s="124"/>
      <c r="AS14" s="124"/>
      <c r="AT14" s="484">
        <f t="shared" si="0"/>
        <v>1</v>
      </c>
      <c r="AU14" s="379">
        <f t="shared" si="1"/>
        <v>0.5</v>
      </c>
      <c r="AV14" s="497" t="s">
        <v>873</v>
      </c>
      <c r="AW14" s="497" t="s">
        <v>874</v>
      </c>
      <c r="AX14" s="487" t="s">
        <v>865</v>
      </c>
      <c r="AY14" s="487" t="s">
        <v>450</v>
      </c>
    </row>
    <row r="15" spans="1:51" ht="124.5" customHeight="1">
      <c r="A15" s="310"/>
      <c r="B15" s="121"/>
      <c r="C15" s="121"/>
      <c r="D15" s="121"/>
      <c r="E15" s="459" t="s">
        <v>425</v>
      </c>
      <c r="F15" s="121"/>
      <c r="G15" s="383" t="s">
        <v>720</v>
      </c>
      <c r="H15" s="121"/>
      <c r="I15" s="232" t="s">
        <v>729</v>
      </c>
      <c r="J15" s="402" t="s">
        <v>730</v>
      </c>
      <c r="K15" s="384" t="s">
        <v>453</v>
      </c>
      <c r="L15" s="124"/>
      <c r="M15" s="384" t="s">
        <v>431</v>
      </c>
      <c r="N15" s="402" t="s">
        <v>731</v>
      </c>
      <c r="O15" s="124"/>
      <c r="P15" s="124"/>
      <c r="Q15" s="124"/>
      <c r="R15" s="385">
        <v>1</v>
      </c>
      <c r="S15" s="124"/>
      <c r="T15" s="386" t="s">
        <v>433</v>
      </c>
      <c r="U15" s="402" t="s">
        <v>732</v>
      </c>
      <c r="V15" s="124"/>
      <c r="W15" s="124"/>
      <c r="X15" s="307">
        <v>1</v>
      </c>
      <c r="Y15" s="124"/>
      <c r="Z15" s="124"/>
      <c r="AA15" s="307">
        <v>1</v>
      </c>
      <c r="AB15" s="124"/>
      <c r="AC15" s="124"/>
      <c r="AD15" s="307">
        <v>1</v>
      </c>
      <c r="AE15" s="124"/>
      <c r="AF15" s="124"/>
      <c r="AG15" s="307">
        <v>1</v>
      </c>
      <c r="AH15" s="124"/>
      <c r="AI15" s="124"/>
      <c r="AJ15" s="127">
        <v>1</v>
      </c>
      <c r="AK15" s="124"/>
      <c r="AL15" s="124"/>
      <c r="AM15" s="484">
        <v>1</v>
      </c>
      <c r="AN15" s="124"/>
      <c r="AO15" s="124"/>
      <c r="AP15" s="124"/>
      <c r="AQ15" s="124"/>
      <c r="AR15" s="124"/>
      <c r="AS15" s="124"/>
      <c r="AT15" s="484">
        <f t="shared" si="0"/>
        <v>1</v>
      </c>
      <c r="AU15" s="379">
        <f t="shared" si="1"/>
        <v>0.5</v>
      </c>
      <c r="AV15" s="497" t="s">
        <v>875</v>
      </c>
      <c r="AW15" s="497" t="s">
        <v>876</v>
      </c>
      <c r="AX15" s="487" t="s">
        <v>865</v>
      </c>
      <c r="AY15" s="487" t="s">
        <v>450</v>
      </c>
    </row>
    <row r="16" spans="1:51" ht="124.5" customHeight="1">
      <c r="A16" s="310"/>
      <c r="B16" s="121"/>
      <c r="C16" s="121"/>
      <c r="D16" s="121"/>
      <c r="E16" s="459" t="s">
        <v>425</v>
      </c>
      <c r="F16" s="121"/>
      <c r="G16" s="383" t="s">
        <v>720</v>
      </c>
      <c r="H16" s="121"/>
      <c r="I16" s="232" t="s">
        <v>733</v>
      </c>
      <c r="J16" s="402" t="s">
        <v>734</v>
      </c>
      <c r="K16" s="384" t="s">
        <v>735</v>
      </c>
      <c r="L16" s="124"/>
      <c r="M16" s="384" t="s">
        <v>431</v>
      </c>
      <c r="N16" s="402" t="s">
        <v>736</v>
      </c>
      <c r="O16" s="124"/>
      <c r="P16" s="124"/>
      <c r="Q16" s="124"/>
      <c r="R16" s="385">
        <v>1</v>
      </c>
      <c r="S16" s="124"/>
      <c r="T16" s="386" t="s">
        <v>433</v>
      </c>
      <c r="U16" s="402" t="s">
        <v>737</v>
      </c>
      <c r="V16" s="124"/>
      <c r="W16" s="124"/>
      <c r="X16" s="307">
        <v>1</v>
      </c>
      <c r="Y16" s="124"/>
      <c r="Z16" s="124"/>
      <c r="AA16" s="307">
        <v>1</v>
      </c>
      <c r="AB16" s="124"/>
      <c r="AC16" s="124"/>
      <c r="AD16" s="307">
        <v>1</v>
      </c>
      <c r="AE16" s="124"/>
      <c r="AF16" s="124"/>
      <c r="AG16" s="307">
        <v>1</v>
      </c>
      <c r="AH16" s="124"/>
      <c r="AI16" s="124"/>
      <c r="AJ16" s="127">
        <v>1</v>
      </c>
      <c r="AK16" s="124"/>
      <c r="AL16" s="124"/>
      <c r="AM16" s="484">
        <v>1</v>
      </c>
      <c r="AN16" s="124"/>
      <c r="AO16" s="124"/>
      <c r="AP16" s="124"/>
      <c r="AQ16" s="124"/>
      <c r="AR16" s="124"/>
      <c r="AS16" s="124"/>
      <c r="AT16" s="484">
        <f t="shared" si="0"/>
        <v>1</v>
      </c>
      <c r="AU16" s="379">
        <f t="shared" si="1"/>
        <v>0.5</v>
      </c>
      <c r="AV16" s="486" t="s">
        <v>877</v>
      </c>
      <c r="AW16" s="486" t="s">
        <v>878</v>
      </c>
      <c r="AX16" s="487" t="s">
        <v>865</v>
      </c>
      <c r="AY16" s="487" t="s">
        <v>450</v>
      </c>
    </row>
    <row r="17" spans="1:51" ht="124.5" customHeight="1">
      <c r="A17" s="310"/>
      <c r="B17" s="121"/>
      <c r="C17" s="121"/>
      <c r="D17" s="121"/>
      <c r="E17" s="459" t="s">
        <v>425</v>
      </c>
      <c r="F17" s="121"/>
      <c r="G17" s="383" t="s">
        <v>720</v>
      </c>
      <c r="H17" s="121"/>
      <c r="I17" s="232" t="s">
        <v>738</v>
      </c>
      <c r="J17" s="402" t="s">
        <v>739</v>
      </c>
      <c r="K17" s="384" t="s">
        <v>735</v>
      </c>
      <c r="L17" s="124"/>
      <c r="M17" s="384" t="s">
        <v>431</v>
      </c>
      <c r="N17" s="402" t="s">
        <v>740</v>
      </c>
      <c r="O17" s="124"/>
      <c r="P17" s="124"/>
      <c r="Q17" s="124"/>
      <c r="R17" s="385">
        <v>1</v>
      </c>
      <c r="S17" s="124"/>
      <c r="T17" s="386" t="s">
        <v>433</v>
      </c>
      <c r="U17" s="402" t="s">
        <v>741</v>
      </c>
      <c r="V17" s="124"/>
      <c r="W17" s="124"/>
      <c r="X17" s="307">
        <v>1</v>
      </c>
      <c r="Y17" s="124"/>
      <c r="Z17" s="124"/>
      <c r="AA17" s="307">
        <v>1</v>
      </c>
      <c r="AB17" s="124"/>
      <c r="AC17" s="124"/>
      <c r="AD17" s="307">
        <v>1</v>
      </c>
      <c r="AE17" s="124"/>
      <c r="AF17" s="124"/>
      <c r="AG17" s="307">
        <v>1</v>
      </c>
      <c r="AH17" s="124"/>
      <c r="AI17" s="124"/>
      <c r="AJ17" s="127">
        <v>1</v>
      </c>
      <c r="AK17" s="124"/>
      <c r="AL17" s="124"/>
      <c r="AM17" s="484">
        <v>1</v>
      </c>
      <c r="AN17" s="124"/>
      <c r="AO17" s="124"/>
      <c r="AP17" s="124"/>
      <c r="AQ17" s="124"/>
      <c r="AR17" s="124"/>
      <c r="AS17" s="124"/>
      <c r="AT17" s="484">
        <f t="shared" si="0"/>
        <v>1</v>
      </c>
      <c r="AU17" s="379">
        <f t="shared" si="1"/>
        <v>0.5</v>
      </c>
      <c r="AV17" s="497" t="s">
        <v>879</v>
      </c>
      <c r="AW17" s="497" t="s">
        <v>880</v>
      </c>
      <c r="AX17" s="487" t="s">
        <v>865</v>
      </c>
      <c r="AY17" s="487" t="s">
        <v>450</v>
      </c>
    </row>
    <row r="18" spans="1:51" ht="124.5" customHeight="1">
      <c r="A18" s="310"/>
      <c r="B18" s="121"/>
      <c r="C18" s="121"/>
      <c r="D18" s="121"/>
      <c r="E18" s="459" t="s">
        <v>425</v>
      </c>
      <c r="F18" s="121"/>
      <c r="G18" s="383" t="s">
        <v>720</v>
      </c>
      <c r="H18" s="121"/>
      <c r="I18" s="232" t="s">
        <v>742</v>
      </c>
      <c r="J18" s="402" t="s">
        <v>743</v>
      </c>
      <c r="K18" s="384" t="s">
        <v>735</v>
      </c>
      <c r="L18" s="124"/>
      <c r="M18" s="384" t="s">
        <v>431</v>
      </c>
      <c r="N18" s="402" t="s">
        <v>744</v>
      </c>
      <c r="O18" s="124"/>
      <c r="P18" s="124"/>
      <c r="Q18" s="124"/>
      <c r="R18" s="385">
        <v>1</v>
      </c>
      <c r="S18" s="124"/>
      <c r="T18" s="386" t="s">
        <v>433</v>
      </c>
      <c r="U18" s="402" t="s">
        <v>745</v>
      </c>
      <c r="V18" s="124"/>
      <c r="W18" s="124"/>
      <c r="X18" s="307">
        <v>1</v>
      </c>
      <c r="Y18" s="124"/>
      <c r="Z18" s="124"/>
      <c r="AA18" s="307">
        <v>1</v>
      </c>
      <c r="AB18" s="124"/>
      <c r="AC18" s="124"/>
      <c r="AD18" s="307">
        <v>1</v>
      </c>
      <c r="AE18" s="124"/>
      <c r="AF18" s="124"/>
      <c r="AG18" s="307">
        <v>1</v>
      </c>
      <c r="AH18" s="124"/>
      <c r="AI18" s="124"/>
      <c r="AJ18" s="127">
        <v>1</v>
      </c>
      <c r="AK18" s="124"/>
      <c r="AL18" s="124"/>
      <c r="AM18" s="484">
        <v>1</v>
      </c>
      <c r="AN18" s="124"/>
      <c r="AO18" s="124"/>
      <c r="AP18" s="124"/>
      <c r="AQ18" s="124"/>
      <c r="AR18" s="124"/>
      <c r="AS18" s="124"/>
      <c r="AT18" s="484">
        <f t="shared" si="0"/>
        <v>1</v>
      </c>
      <c r="AU18" s="379">
        <f t="shared" si="1"/>
        <v>0.5</v>
      </c>
      <c r="AV18" s="497" t="s">
        <v>881</v>
      </c>
      <c r="AW18" s="497" t="s">
        <v>882</v>
      </c>
      <c r="AX18" s="487" t="s">
        <v>865</v>
      </c>
      <c r="AY18" s="487" t="s">
        <v>450</v>
      </c>
    </row>
    <row r="19" spans="1:51" ht="124.5" customHeight="1">
      <c r="A19" s="310"/>
      <c r="B19" s="121"/>
      <c r="C19" s="121"/>
      <c r="D19" s="121"/>
      <c r="E19" s="459" t="s">
        <v>425</v>
      </c>
      <c r="F19" s="121"/>
      <c r="G19" s="383" t="s">
        <v>720</v>
      </c>
      <c r="H19" s="121"/>
      <c r="I19" s="122" t="s">
        <v>746</v>
      </c>
      <c r="J19" s="402" t="s">
        <v>747</v>
      </c>
      <c r="K19" s="384" t="s">
        <v>430</v>
      </c>
      <c r="L19" s="124"/>
      <c r="M19" s="384" t="s">
        <v>431</v>
      </c>
      <c r="N19" s="402" t="s">
        <v>748</v>
      </c>
      <c r="O19" s="124"/>
      <c r="P19" s="124"/>
      <c r="Q19" s="124"/>
      <c r="R19" s="385">
        <v>1</v>
      </c>
      <c r="S19" s="124"/>
      <c r="T19" s="386" t="s">
        <v>433</v>
      </c>
      <c r="U19" s="402" t="s">
        <v>749</v>
      </c>
      <c r="V19" s="124"/>
      <c r="W19" s="124"/>
      <c r="X19" s="307">
        <v>0.25</v>
      </c>
      <c r="Y19" s="124"/>
      <c r="Z19" s="124"/>
      <c r="AA19" s="307">
        <v>0.25</v>
      </c>
      <c r="AB19" s="124"/>
      <c r="AC19" s="124"/>
      <c r="AD19" s="307">
        <v>0.25</v>
      </c>
      <c r="AE19" s="124"/>
      <c r="AF19" s="124"/>
      <c r="AG19" s="307">
        <v>0.25</v>
      </c>
      <c r="AH19" s="124"/>
      <c r="AI19" s="124"/>
      <c r="AJ19" s="127">
        <v>0.25</v>
      </c>
      <c r="AK19" s="124"/>
      <c r="AL19" s="124"/>
      <c r="AM19" s="484">
        <v>0.25</v>
      </c>
      <c r="AN19" s="124"/>
      <c r="AO19" s="124"/>
      <c r="AP19" s="124"/>
      <c r="AQ19" s="124"/>
      <c r="AR19" s="124"/>
      <c r="AS19" s="124"/>
      <c r="AT19" s="127">
        <f>SUM(AH19:AS19)</f>
        <v>0.5</v>
      </c>
      <c r="AU19" s="379">
        <f>+AT19/R19</f>
        <v>0.5</v>
      </c>
      <c r="AV19" s="497" t="s">
        <v>883</v>
      </c>
      <c r="AW19" s="497" t="s">
        <v>884</v>
      </c>
      <c r="AX19" s="487" t="s">
        <v>865</v>
      </c>
      <c r="AY19" s="487" t="s">
        <v>450</v>
      </c>
    </row>
    <row r="20" spans="1:51" ht="54" customHeight="1">
      <c r="A20" s="777" t="s">
        <v>64</v>
      </c>
      <c r="B20" s="777"/>
      <c r="C20" s="777"/>
      <c r="D20" s="773" t="s">
        <v>66</v>
      </c>
      <c r="E20" s="773"/>
      <c r="F20" s="773"/>
      <c r="G20" s="773"/>
      <c r="H20" s="773"/>
      <c r="I20" s="773"/>
      <c r="J20" s="778" t="s">
        <v>300</v>
      </c>
      <c r="K20" s="778"/>
      <c r="L20" s="778"/>
      <c r="M20" s="778"/>
      <c r="N20" s="778"/>
      <c r="O20" s="778"/>
      <c r="P20" s="773" t="s">
        <v>66</v>
      </c>
      <c r="Q20" s="773"/>
      <c r="R20" s="773"/>
      <c r="S20" s="773"/>
      <c r="T20" s="773"/>
      <c r="U20" s="773"/>
      <c r="V20" s="773" t="s">
        <v>66</v>
      </c>
      <c r="W20" s="773"/>
      <c r="X20" s="773"/>
      <c r="Y20" s="773"/>
      <c r="Z20" s="773"/>
      <c r="AA20" s="773"/>
      <c r="AB20" s="773"/>
      <c r="AC20" s="773"/>
      <c r="AD20" s="773" t="s">
        <v>66</v>
      </c>
      <c r="AE20" s="773"/>
      <c r="AF20" s="773"/>
      <c r="AG20" s="773"/>
      <c r="AH20" s="773"/>
      <c r="AI20" s="773"/>
      <c r="AJ20" s="773"/>
      <c r="AK20" s="773"/>
      <c r="AL20" s="773"/>
      <c r="AM20" s="773"/>
      <c r="AN20" s="773"/>
      <c r="AO20" s="773"/>
      <c r="AP20" s="778" t="s">
        <v>318</v>
      </c>
      <c r="AQ20" s="778"/>
      <c r="AR20" s="778"/>
      <c r="AS20" s="778"/>
      <c r="AT20" s="773" t="s">
        <v>13</v>
      </c>
      <c r="AU20" s="773"/>
      <c r="AV20" s="773"/>
      <c r="AW20" s="773"/>
      <c r="AX20" s="773"/>
      <c r="AY20" s="773"/>
    </row>
    <row r="21" spans="1:51" ht="30" customHeight="1">
      <c r="A21" s="777"/>
      <c r="B21" s="777"/>
      <c r="C21" s="777"/>
      <c r="D21" s="773" t="s">
        <v>804</v>
      </c>
      <c r="E21" s="773"/>
      <c r="F21" s="773"/>
      <c r="G21" s="773"/>
      <c r="H21" s="773"/>
      <c r="I21" s="773"/>
      <c r="J21" s="778"/>
      <c r="K21" s="778"/>
      <c r="L21" s="778"/>
      <c r="M21" s="778"/>
      <c r="N21" s="778"/>
      <c r="O21" s="778"/>
      <c r="P21" s="773" t="s">
        <v>806</v>
      </c>
      <c r="Q21" s="773"/>
      <c r="R21" s="773"/>
      <c r="S21" s="773"/>
      <c r="T21" s="773"/>
      <c r="U21" s="773"/>
      <c r="V21" s="773" t="s">
        <v>65</v>
      </c>
      <c r="W21" s="773"/>
      <c r="X21" s="773"/>
      <c r="Y21" s="773"/>
      <c r="Z21" s="773"/>
      <c r="AA21" s="773"/>
      <c r="AB21" s="773"/>
      <c r="AC21" s="773"/>
      <c r="AD21" s="773" t="s">
        <v>65</v>
      </c>
      <c r="AE21" s="773"/>
      <c r="AF21" s="773"/>
      <c r="AG21" s="773"/>
      <c r="AH21" s="773"/>
      <c r="AI21" s="773"/>
      <c r="AJ21" s="773"/>
      <c r="AK21" s="773"/>
      <c r="AL21" s="773"/>
      <c r="AM21" s="773"/>
      <c r="AN21" s="773"/>
      <c r="AO21" s="773"/>
      <c r="AP21" s="778"/>
      <c r="AQ21" s="778"/>
      <c r="AR21" s="778"/>
      <c r="AS21" s="778"/>
      <c r="AT21" s="773" t="s">
        <v>771</v>
      </c>
      <c r="AU21" s="773"/>
      <c r="AV21" s="773"/>
      <c r="AW21" s="773"/>
      <c r="AX21" s="773"/>
      <c r="AY21" s="773"/>
    </row>
    <row r="22" spans="1:51" ht="30" customHeight="1">
      <c r="A22" s="777"/>
      <c r="B22" s="777"/>
      <c r="C22" s="777"/>
      <c r="D22" s="773" t="s">
        <v>805</v>
      </c>
      <c r="E22" s="773"/>
      <c r="F22" s="773"/>
      <c r="G22" s="773"/>
      <c r="H22" s="773"/>
      <c r="I22" s="773"/>
      <c r="J22" s="778"/>
      <c r="K22" s="778"/>
      <c r="L22" s="778"/>
      <c r="M22" s="778"/>
      <c r="N22" s="778"/>
      <c r="O22" s="778"/>
      <c r="P22" s="773" t="s">
        <v>807</v>
      </c>
      <c r="Q22" s="773"/>
      <c r="R22" s="773"/>
      <c r="S22" s="773"/>
      <c r="T22" s="773"/>
      <c r="U22" s="773"/>
      <c r="V22" s="773" t="s">
        <v>297</v>
      </c>
      <c r="W22" s="773"/>
      <c r="X22" s="773"/>
      <c r="Y22" s="773"/>
      <c r="Z22" s="773"/>
      <c r="AA22" s="773"/>
      <c r="AB22" s="773"/>
      <c r="AC22" s="773"/>
      <c r="AD22" s="773" t="s">
        <v>297</v>
      </c>
      <c r="AE22" s="773"/>
      <c r="AF22" s="773"/>
      <c r="AG22" s="773"/>
      <c r="AH22" s="773"/>
      <c r="AI22" s="773"/>
      <c r="AJ22" s="773"/>
      <c r="AK22" s="773"/>
      <c r="AL22" s="773"/>
      <c r="AM22" s="773"/>
      <c r="AN22" s="773"/>
      <c r="AO22" s="773"/>
      <c r="AP22" s="778"/>
      <c r="AQ22" s="778"/>
      <c r="AR22" s="778"/>
      <c r="AS22" s="778"/>
      <c r="AT22" s="773" t="s">
        <v>75</v>
      </c>
      <c r="AU22" s="773"/>
      <c r="AV22" s="773"/>
      <c r="AW22" s="773"/>
      <c r="AX22" s="773"/>
      <c r="AY22" s="773"/>
    </row>
  </sheetData>
  <sheetProtection/>
  <mergeCells count="56">
    <mergeCell ref="AT22:AY22"/>
    <mergeCell ref="AT20:AY20"/>
    <mergeCell ref="D21:I21"/>
    <mergeCell ref="P21:U21"/>
    <mergeCell ref="V21:AC21"/>
    <mergeCell ref="AD21:AO21"/>
    <mergeCell ref="AT21:AY21"/>
    <mergeCell ref="P22:U22"/>
    <mergeCell ref="V22:AC22"/>
    <mergeCell ref="AD22:AO22"/>
    <mergeCell ref="AH11:AS11"/>
    <mergeCell ref="AT11:AU11"/>
    <mergeCell ref="A20:C22"/>
    <mergeCell ref="D20:I20"/>
    <mergeCell ref="J20:O22"/>
    <mergeCell ref="P20:U20"/>
    <mergeCell ref="V20:AC20"/>
    <mergeCell ref="AD20:AO20"/>
    <mergeCell ref="D22:I22"/>
    <mergeCell ref="AP20:AS22"/>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paperSize="5" scale="24" r:id="rId3"/>
  <legacyDrawing r:id="rId2"/>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1131" t="s">
        <v>20</v>
      </c>
      <c r="D1" s="1131"/>
      <c r="E1" s="1131"/>
      <c r="F1" s="1131"/>
      <c r="G1" s="1132" t="s">
        <v>22</v>
      </c>
      <c r="H1" s="1133"/>
      <c r="I1" s="1133"/>
      <c r="J1" s="1134"/>
      <c r="K1" s="1130" t="s">
        <v>23</v>
      </c>
      <c r="L1" s="1130"/>
      <c r="M1" s="1130"/>
      <c r="N1" s="1130"/>
    </row>
    <row r="2" spans="3:14" ht="15">
      <c r="C2" s="5"/>
      <c r="D2" s="5"/>
      <c r="E2" s="5"/>
      <c r="F2" s="5" t="s">
        <v>21</v>
      </c>
      <c r="G2" s="31"/>
      <c r="H2" s="5"/>
      <c r="I2" s="5"/>
      <c r="J2" s="32" t="s">
        <v>21</v>
      </c>
      <c r="K2" s="5"/>
      <c r="L2" s="5"/>
      <c r="M2" s="5"/>
      <c r="N2" s="5" t="s">
        <v>21</v>
      </c>
    </row>
    <row r="3" spans="1:14" ht="15">
      <c r="A3" s="1129"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129"/>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129"/>
      <c r="B5" s="6">
        <v>3</v>
      </c>
      <c r="C5" s="7">
        <v>0.05</v>
      </c>
      <c r="D5" s="7">
        <v>0.05</v>
      </c>
      <c r="E5" s="7">
        <v>0.1</v>
      </c>
      <c r="F5" s="8">
        <f>(C5+D5+E5)</f>
        <v>0.2</v>
      </c>
      <c r="G5" s="33">
        <v>0.1</v>
      </c>
      <c r="H5" s="7">
        <v>0.1</v>
      </c>
      <c r="I5" s="7">
        <v>0.1</v>
      </c>
      <c r="J5" s="34">
        <f>(G5+H5+I5)</f>
        <v>0.30000000000000004</v>
      </c>
      <c r="K5" s="25"/>
      <c r="L5" s="6"/>
      <c r="M5" s="6"/>
      <c r="N5" s="6"/>
    </row>
    <row r="6" spans="1:14" ht="15">
      <c r="A6" s="1129"/>
      <c r="B6" s="6">
        <v>4</v>
      </c>
      <c r="C6" s="7">
        <v>0.1</v>
      </c>
      <c r="D6" s="7">
        <v>0.1</v>
      </c>
      <c r="E6" s="7">
        <v>0.2</v>
      </c>
      <c r="F6" s="8">
        <f>(C6+D6+E6)</f>
        <v>0.4</v>
      </c>
      <c r="G6" s="33">
        <v>0</v>
      </c>
      <c r="H6" s="7">
        <v>0</v>
      </c>
      <c r="I6" s="7">
        <v>0.1</v>
      </c>
      <c r="J6" s="34">
        <f>(G6+H6+I6)</f>
        <v>0.1</v>
      </c>
      <c r="K6" s="25"/>
      <c r="L6" s="6"/>
      <c r="M6" s="6"/>
      <c r="N6" s="6"/>
    </row>
    <row r="7" spans="1:14" ht="15">
      <c r="A7" s="1129"/>
      <c r="B7" s="6">
        <v>5</v>
      </c>
      <c r="C7" s="7">
        <v>0</v>
      </c>
      <c r="D7" s="7">
        <v>0</v>
      </c>
      <c r="E7" s="7">
        <v>0</v>
      </c>
      <c r="F7" s="8">
        <f>(C7+D7+E7)</f>
        <v>0</v>
      </c>
      <c r="G7" s="33">
        <v>0</v>
      </c>
      <c r="H7" s="7">
        <v>0</v>
      </c>
      <c r="I7" s="7">
        <v>0</v>
      </c>
      <c r="J7" s="34">
        <f>(G7+H7+I7)</f>
        <v>0</v>
      </c>
      <c r="K7" s="25"/>
      <c r="L7" s="6"/>
      <c r="M7" s="6"/>
      <c r="N7" s="6"/>
    </row>
    <row r="8" spans="1:14" ht="15">
      <c r="A8" s="1129" t="s">
        <v>25</v>
      </c>
      <c r="B8" s="10">
        <v>6</v>
      </c>
      <c r="C8" s="11">
        <v>0.1</v>
      </c>
      <c r="D8" s="11">
        <v>0.1</v>
      </c>
      <c r="E8" s="11">
        <v>0.1</v>
      </c>
      <c r="F8" s="12">
        <f>C8+D8+E8</f>
        <v>0.30000000000000004</v>
      </c>
      <c r="G8" s="35"/>
      <c r="H8" s="10"/>
      <c r="I8" s="10"/>
      <c r="J8" s="36"/>
      <c r="K8" s="26"/>
      <c r="L8" s="10"/>
      <c r="M8" s="10"/>
      <c r="N8" s="10"/>
    </row>
    <row r="9" spans="1:14" ht="15">
      <c r="A9" s="1129"/>
      <c r="B9" s="10">
        <v>7</v>
      </c>
      <c r="C9" s="10"/>
      <c r="D9" s="10"/>
      <c r="E9" s="10"/>
      <c r="F9" s="20"/>
      <c r="G9" s="37"/>
      <c r="H9" s="10"/>
      <c r="I9" s="10"/>
      <c r="J9" s="36"/>
      <c r="K9" s="26"/>
      <c r="L9" s="10"/>
      <c r="M9" s="10"/>
      <c r="N9" s="10"/>
    </row>
    <row r="10" spans="1:14" ht="15">
      <c r="A10" s="1129"/>
      <c r="B10" s="10">
        <v>8</v>
      </c>
      <c r="C10" s="10"/>
      <c r="D10" s="10"/>
      <c r="E10" s="10"/>
      <c r="F10" s="20"/>
      <c r="G10" s="37"/>
      <c r="H10" s="10"/>
      <c r="I10" s="10"/>
      <c r="J10" s="36"/>
      <c r="K10" s="26"/>
      <c r="L10" s="10"/>
      <c r="M10" s="10"/>
      <c r="N10" s="10"/>
    </row>
    <row r="11" spans="1:14" ht="15">
      <c r="A11" s="1129"/>
      <c r="B11" s="10">
        <v>9</v>
      </c>
      <c r="C11" s="10"/>
      <c r="D11" s="10"/>
      <c r="E11" s="10"/>
      <c r="F11" s="20"/>
      <c r="G11" s="37"/>
      <c r="H11" s="10"/>
      <c r="I11" s="10"/>
      <c r="J11" s="36"/>
      <c r="K11" s="26"/>
      <c r="L11" s="10"/>
      <c r="M11" s="10"/>
      <c r="N11" s="10"/>
    </row>
    <row r="12" spans="1:14" ht="15">
      <c r="A12" s="1129" t="s">
        <v>26</v>
      </c>
      <c r="B12" s="15">
        <v>10</v>
      </c>
      <c r="C12" s="15"/>
      <c r="D12" s="15"/>
      <c r="E12" s="15"/>
      <c r="F12" s="21"/>
      <c r="G12" s="38"/>
      <c r="H12" s="15"/>
      <c r="I12" s="15"/>
      <c r="J12" s="39"/>
      <c r="K12" s="27"/>
      <c r="L12" s="15"/>
      <c r="M12" s="15"/>
      <c r="N12" s="15"/>
    </row>
    <row r="13" spans="1:14" ht="15">
      <c r="A13" s="1129"/>
      <c r="B13" s="15">
        <v>11</v>
      </c>
      <c r="C13" s="15"/>
      <c r="D13" s="15"/>
      <c r="E13" s="15"/>
      <c r="F13" s="21"/>
      <c r="G13" s="38"/>
      <c r="H13" s="15"/>
      <c r="I13" s="15"/>
      <c r="J13" s="39"/>
      <c r="K13" s="27"/>
      <c r="L13" s="15"/>
      <c r="M13" s="15"/>
      <c r="N13" s="15"/>
    </row>
    <row r="14" spans="1:14" ht="15">
      <c r="A14" s="1129"/>
      <c r="B14" s="15">
        <v>12</v>
      </c>
      <c r="C14" s="15"/>
      <c r="D14" s="15"/>
      <c r="E14" s="15"/>
      <c r="F14" s="21"/>
      <c r="G14" s="38"/>
      <c r="H14" s="15"/>
      <c r="I14" s="15"/>
      <c r="J14" s="39"/>
      <c r="K14" s="27"/>
      <c r="L14" s="15"/>
      <c r="M14" s="15"/>
      <c r="N14" s="15"/>
    </row>
    <row r="15" spans="1:14" ht="15">
      <c r="A15" s="1129"/>
      <c r="B15" s="15">
        <v>13</v>
      </c>
      <c r="C15" s="15"/>
      <c r="D15" s="15"/>
      <c r="E15" s="15"/>
      <c r="F15" s="21"/>
      <c r="G15" s="38"/>
      <c r="H15" s="15"/>
      <c r="I15" s="15"/>
      <c r="J15" s="39"/>
      <c r="K15" s="27"/>
      <c r="L15" s="15"/>
      <c r="M15" s="15"/>
      <c r="N15" s="15"/>
    </row>
    <row r="16" spans="1:14" ht="15">
      <c r="A16" s="1129" t="s">
        <v>27</v>
      </c>
      <c r="B16" s="16">
        <v>14</v>
      </c>
      <c r="C16" s="16"/>
      <c r="D16" s="16"/>
      <c r="E16" s="16"/>
      <c r="F16" s="22"/>
      <c r="G16" s="40"/>
      <c r="H16" s="16"/>
      <c r="I16" s="16"/>
      <c r="J16" s="41"/>
      <c r="K16" s="28"/>
      <c r="L16" s="16"/>
      <c r="M16" s="16"/>
      <c r="N16" s="16"/>
    </row>
    <row r="17" spans="1:14" ht="15">
      <c r="A17" s="1129"/>
      <c r="B17" s="16">
        <v>15</v>
      </c>
      <c r="C17" s="16"/>
      <c r="D17" s="16"/>
      <c r="E17" s="16"/>
      <c r="F17" s="22"/>
      <c r="G17" s="40"/>
      <c r="H17" s="16"/>
      <c r="I17" s="16"/>
      <c r="J17" s="41"/>
      <c r="K17" s="28"/>
      <c r="L17" s="16"/>
      <c r="M17" s="16"/>
      <c r="N17" s="16"/>
    </row>
    <row r="18" spans="1:14" ht="15">
      <c r="A18" s="1129"/>
      <c r="B18" s="16">
        <v>16</v>
      </c>
      <c r="C18" s="16"/>
      <c r="D18" s="16"/>
      <c r="E18" s="16"/>
      <c r="F18" s="22"/>
      <c r="G18" s="40"/>
      <c r="H18" s="16"/>
      <c r="I18" s="16"/>
      <c r="J18" s="41"/>
      <c r="K18" s="28"/>
      <c r="L18" s="16"/>
      <c r="M18" s="16"/>
      <c r="N18" s="16"/>
    </row>
    <row r="19" spans="1:14" ht="15">
      <c r="A19" s="1129" t="s">
        <v>28</v>
      </c>
      <c r="B19" s="19">
        <v>17</v>
      </c>
      <c r="C19" s="19"/>
      <c r="D19" s="19"/>
      <c r="E19" s="19"/>
      <c r="F19" s="23"/>
      <c r="G19" s="42"/>
      <c r="H19" s="19"/>
      <c r="I19" s="19"/>
      <c r="J19" s="43"/>
      <c r="K19" s="29"/>
      <c r="L19" s="19"/>
      <c r="M19" s="19"/>
      <c r="N19" s="19"/>
    </row>
    <row r="20" spans="1:14" ht="15">
      <c r="A20" s="1129"/>
      <c r="B20" s="19">
        <v>18</v>
      </c>
      <c r="C20" s="19"/>
      <c r="D20" s="19"/>
      <c r="E20" s="19"/>
      <c r="F20" s="23"/>
      <c r="G20" s="42"/>
      <c r="H20" s="19"/>
      <c r="I20" s="19"/>
      <c r="J20" s="43"/>
      <c r="K20" s="29"/>
      <c r="L20" s="19"/>
      <c r="M20" s="19"/>
      <c r="N20" s="19"/>
    </row>
    <row r="21" spans="1:14" ht="15">
      <c r="A21" s="1129"/>
      <c r="B21" s="19">
        <v>19</v>
      </c>
      <c r="C21" s="19"/>
      <c r="D21" s="19"/>
      <c r="E21" s="19"/>
      <c r="F21" s="23"/>
      <c r="G21" s="42"/>
      <c r="H21" s="19"/>
      <c r="I21" s="19"/>
      <c r="J21" s="43"/>
      <c r="K21" s="29"/>
      <c r="L21" s="19"/>
      <c r="M21" s="19"/>
      <c r="N21" s="19"/>
    </row>
    <row r="22" spans="1:14" ht="15">
      <c r="A22" s="1129"/>
      <c r="B22" s="19">
        <v>20</v>
      </c>
      <c r="C22" s="19"/>
      <c r="D22" s="19"/>
      <c r="E22" s="19"/>
      <c r="F22" s="23"/>
      <c r="G22" s="42"/>
      <c r="H22" s="19"/>
      <c r="I22" s="19"/>
      <c r="J22" s="43"/>
      <c r="K22" s="29"/>
      <c r="L22" s="19"/>
      <c r="M22" s="19"/>
      <c r="N22" s="19"/>
    </row>
    <row r="23" spans="1:14" ht="15">
      <c r="A23" s="1129" t="s">
        <v>29</v>
      </c>
      <c r="B23" s="14">
        <v>21</v>
      </c>
      <c r="C23" s="14"/>
      <c r="D23" s="14"/>
      <c r="E23" s="14"/>
      <c r="F23" s="24"/>
      <c r="G23" s="44"/>
      <c r="H23" s="14"/>
      <c r="I23" s="14"/>
      <c r="J23" s="45"/>
      <c r="K23" s="30"/>
      <c r="L23" s="14"/>
      <c r="M23" s="14"/>
      <c r="N23" s="14"/>
    </row>
    <row r="24" spans="1:14" ht="15">
      <c r="A24" s="1129"/>
      <c r="B24" s="14">
        <v>22</v>
      </c>
      <c r="C24" s="14"/>
      <c r="D24" s="14"/>
      <c r="E24" s="14"/>
      <c r="F24" s="24"/>
      <c r="G24" s="44"/>
      <c r="H24" s="14"/>
      <c r="I24" s="14"/>
      <c r="J24" s="45"/>
      <c r="K24" s="30"/>
      <c r="L24" s="14"/>
      <c r="M24" s="14"/>
      <c r="N24" s="14"/>
    </row>
    <row r="25" spans="1:14" ht="15">
      <c r="A25" s="1129"/>
      <c r="B25" s="14">
        <v>23</v>
      </c>
      <c r="C25" s="14"/>
      <c r="D25" s="14"/>
      <c r="E25" s="14"/>
      <c r="F25" s="24"/>
      <c r="G25" s="44"/>
      <c r="H25" s="14"/>
      <c r="I25" s="14"/>
      <c r="J25" s="45"/>
      <c r="K25" s="30"/>
      <c r="L25" s="14"/>
      <c r="M25" s="14"/>
      <c r="N25" s="14"/>
    </row>
    <row r="26" spans="1:14" ht="15">
      <c r="A26" s="1129"/>
      <c r="B26" s="14">
        <v>24</v>
      </c>
      <c r="C26" s="14"/>
      <c r="D26" s="14"/>
      <c r="E26" s="14"/>
      <c r="F26" s="24"/>
      <c r="G26" s="44"/>
      <c r="H26" s="14"/>
      <c r="I26" s="14"/>
      <c r="J26" s="45"/>
      <c r="K26" s="30"/>
      <c r="L26" s="14"/>
      <c r="M26" s="14"/>
      <c r="N26" s="14"/>
    </row>
    <row r="27" spans="1:14" ht="15">
      <c r="A27" s="1129" t="s">
        <v>30</v>
      </c>
      <c r="B27" s="10">
        <v>25</v>
      </c>
      <c r="C27" s="10"/>
      <c r="D27" s="10"/>
      <c r="E27" s="10"/>
      <c r="F27" s="10"/>
      <c r="G27" s="10"/>
      <c r="H27" s="10"/>
      <c r="I27" s="10"/>
      <c r="J27" s="10"/>
      <c r="K27" s="10"/>
      <c r="L27" s="10"/>
      <c r="M27" s="10"/>
      <c r="N27" s="10"/>
    </row>
    <row r="28" spans="1:14" ht="15">
      <c r="A28" s="1129"/>
      <c r="B28" s="10">
        <v>26</v>
      </c>
      <c r="C28" s="10"/>
      <c r="D28" s="10"/>
      <c r="E28" s="10"/>
      <c r="F28" s="10"/>
      <c r="G28" s="10"/>
      <c r="H28" s="10"/>
      <c r="I28" s="10"/>
      <c r="J28" s="10"/>
      <c r="K28" s="10"/>
      <c r="L28" s="10"/>
      <c r="M28" s="10"/>
      <c r="N28" s="10"/>
    </row>
    <row r="29" spans="1:14" ht="15">
      <c r="A29" s="1129"/>
      <c r="B29" s="10">
        <v>27</v>
      </c>
      <c r="C29" s="10"/>
      <c r="D29" s="10"/>
      <c r="E29" s="10"/>
      <c r="F29" s="10"/>
      <c r="G29" s="10"/>
      <c r="H29" s="10"/>
      <c r="I29" s="10"/>
      <c r="J29" s="10"/>
      <c r="K29" s="10"/>
      <c r="L29" s="10"/>
      <c r="M29" s="10"/>
      <c r="N29" s="10"/>
    </row>
    <row r="30" spans="1:14" ht="15">
      <c r="A30" s="1129"/>
      <c r="B30" s="10">
        <v>28</v>
      </c>
      <c r="C30" s="10"/>
      <c r="D30" s="10"/>
      <c r="E30" s="10"/>
      <c r="F30" s="10"/>
      <c r="G30" s="10"/>
      <c r="H30" s="10"/>
      <c r="I30" s="10"/>
      <c r="J30" s="10"/>
      <c r="K30" s="10"/>
      <c r="L30" s="10"/>
      <c r="M30" s="10"/>
      <c r="N30" s="10"/>
    </row>
    <row r="31" spans="1:14" ht="15">
      <c r="A31" s="1129"/>
      <c r="B31" s="10">
        <v>29</v>
      </c>
      <c r="C31" s="10"/>
      <c r="D31" s="10"/>
      <c r="E31" s="10"/>
      <c r="F31" s="10"/>
      <c r="G31" s="10"/>
      <c r="H31" s="10"/>
      <c r="I31" s="10"/>
      <c r="J31" s="10"/>
      <c r="K31" s="10"/>
      <c r="L31" s="10"/>
      <c r="M31" s="10"/>
      <c r="N31" s="10"/>
    </row>
    <row r="32" spans="1:14" ht="15">
      <c r="A32" s="1129" t="s">
        <v>31</v>
      </c>
      <c r="B32" s="17">
        <v>30</v>
      </c>
      <c r="C32" s="17"/>
      <c r="D32" s="17"/>
      <c r="E32" s="17"/>
      <c r="F32" s="17"/>
      <c r="G32" s="17"/>
      <c r="H32" s="17"/>
      <c r="I32" s="17"/>
      <c r="J32" s="17"/>
      <c r="K32" s="17"/>
      <c r="L32" s="17"/>
      <c r="M32" s="17"/>
      <c r="N32" s="17"/>
    </row>
    <row r="33" spans="1:14" ht="15">
      <c r="A33" s="1129"/>
      <c r="B33" s="17">
        <v>31</v>
      </c>
      <c r="C33" s="17"/>
      <c r="D33" s="17"/>
      <c r="E33" s="17"/>
      <c r="F33" s="17"/>
      <c r="G33" s="17"/>
      <c r="H33" s="17"/>
      <c r="I33" s="17"/>
      <c r="J33" s="17"/>
      <c r="K33" s="17"/>
      <c r="L33" s="17"/>
      <c r="M33" s="17"/>
      <c r="N33" s="17"/>
    </row>
    <row r="34" spans="1:14" ht="15">
      <c r="A34" s="1129"/>
      <c r="B34" s="17">
        <v>32</v>
      </c>
      <c r="C34" s="17"/>
      <c r="D34" s="17"/>
      <c r="E34" s="17"/>
      <c r="F34" s="17"/>
      <c r="G34" s="17"/>
      <c r="H34" s="17"/>
      <c r="I34" s="17"/>
      <c r="J34" s="17"/>
      <c r="K34" s="17"/>
      <c r="L34" s="17"/>
      <c r="M34" s="17"/>
      <c r="N34" s="17"/>
    </row>
    <row r="35" spans="1:14" ht="15">
      <c r="A35" s="1129" t="s">
        <v>32</v>
      </c>
      <c r="B35" s="18">
        <v>33</v>
      </c>
      <c r="C35" s="15"/>
      <c r="D35" s="15"/>
      <c r="E35" s="15"/>
      <c r="F35" s="15"/>
      <c r="G35" s="15"/>
      <c r="H35" s="15"/>
      <c r="I35" s="15"/>
      <c r="J35" s="15"/>
      <c r="K35" s="15"/>
      <c r="L35" s="15"/>
      <c r="M35" s="15"/>
      <c r="N35" s="15"/>
    </row>
    <row r="36" spans="1:14" ht="15">
      <c r="A36" s="1129"/>
      <c r="B36" s="15">
        <v>34</v>
      </c>
      <c r="C36" s="15"/>
      <c r="D36" s="15"/>
      <c r="E36" s="15"/>
      <c r="F36" s="15"/>
      <c r="G36" s="15"/>
      <c r="H36" s="15"/>
      <c r="I36" s="15"/>
      <c r="J36" s="15"/>
      <c r="K36" s="15"/>
      <c r="L36" s="15"/>
      <c r="M36" s="15"/>
      <c r="N36" s="15"/>
    </row>
    <row r="37" spans="1:14" ht="15">
      <c r="A37" s="1129"/>
      <c r="B37" s="46">
        <v>35</v>
      </c>
      <c r="C37" s="15"/>
      <c r="D37" s="15"/>
      <c r="E37" s="15"/>
      <c r="F37" s="15"/>
      <c r="G37" s="15"/>
      <c r="H37" s="15"/>
      <c r="I37" s="15"/>
      <c r="J37" s="15"/>
      <c r="K37" s="15"/>
      <c r="L37" s="15"/>
      <c r="M37" s="15"/>
      <c r="N37" s="15"/>
    </row>
    <row r="38" spans="1:14" ht="15">
      <c r="A38" s="1129" t="s">
        <v>33</v>
      </c>
      <c r="B38" s="9">
        <v>36</v>
      </c>
      <c r="C38" s="9"/>
      <c r="D38" s="9"/>
      <c r="E38" s="9"/>
      <c r="F38" s="9"/>
      <c r="G38" s="9"/>
      <c r="H38" s="9"/>
      <c r="I38" s="9"/>
      <c r="J38" s="9"/>
      <c r="K38" s="9"/>
      <c r="L38" s="9"/>
      <c r="M38" s="9"/>
      <c r="N38" s="9"/>
    </row>
    <row r="39" spans="1:14" ht="15">
      <c r="A39" s="1129"/>
      <c r="B39" s="9">
        <v>37</v>
      </c>
      <c r="C39" s="9"/>
      <c r="D39" s="9"/>
      <c r="E39" s="9"/>
      <c r="F39" s="9"/>
      <c r="G39" s="9"/>
      <c r="H39" s="9"/>
      <c r="I39" s="9"/>
      <c r="J39" s="9"/>
      <c r="K39" s="9"/>
      <c r="L39" s="9"/>
      <c r="M39" s="9"/>
      <c r="N39" s="9"/>
    </row>
    <row r="40" spans="1:14" ht="15">
      <c r="A40" s="1129"/>
      <c r="B40" s="9">
        <v>38</v>
      </c>
      <c r="C40" s="9"/>
      <c r="D40" s="9"/>
      <c r="E40" s="9"/>
      <c r="F40" s="9"/>
      <c r="G40" s="9"/>
      <c r="H40" s="9"/>
      <c r="I40" s="9"/>
      <c r="J40" s="9"/>
      <c r="K40" s="9"/>
      <c r="L40" s="9"/>
      <c r="M40" s="9"/>
      <c r="N40" s="9"/>
    </row>
    <row r="41" spans="1:14" ht="15">
      <c r="A41" s="1135" t="s">
        <v>34</v>
      </c>
      <c r="B41" s="47">
        <v>39</v>
      </c>
      <c r="C41" s="48"/>
      <c r="D41" s="48"/>
      <c r="E41" s="48"/>
      <c r="F41" s="48"/>
      <c r="G41" s="48"/>
      <c r="H41" s="48"/>
      <c r="I41" s="48"/>
      <c r="J41" s="48"/>
      <c r="K41" s="48"/>
      <c r="L41" s="48"/>
      <c r="M41" s="48"/>
      <c r="N41" s="48"/>
    </row>
    <row r="42" spans="1:14" ht="15">
      <c r="A42" s="1135"/>
      <c r="B42" s="48">
        <v>40</v>
      </c>
      <c r="C42" s="48"/>
      <c r="D42" s="48"/>
      <c r="E42" s="48"/>
      <c r="F42" s="48"/>
      <c r="G42" s="48"/>
      <c r="H42" s="48"/>
      <c r="I42" s="48"/>
      <c r="J42" s="48"/>
      <c r="K42" s="48"/>
      <c r="L42" s="48"/>
      <c r="M42" s="48"/>
      <c r="N42" s="48"/>
    </row>
    <row r="43" spans="1:14" ht="15">
      <c r="A43" s="1135"/>
      <c r="B43" s="48">
        <v>41</v>
      </c>
      <c r="C43" s="48"/>
      <c r="D43" s="48"/>
      <c r="E43" s="48"/>
      <c r="F43" s="48"/>
      <c r="G43" s="48"/>
      <c r="H43" s="48"/>
      <c r="I43" s="48"/>
      <c r="J43" s="48"/>
      <c r="K43" s="48"/>
      <c r="L43" s="48"/>
      <c r="M43" s="48"/>
      <c r="N43" s="48"/>
    </row>
    <row r="44" spans="1:14" ht="15">
      <c r="A44" s="1135"/>
      <c r="B44" s="49">
        <v>42</v>
      </c>
      <c r="C44" s="48"/>
      <c r="D44" s="48"/>
      <c r="E44" s="48"/>
      <c r="F44" s="48"/>
      <c r="G44" s="48"/>
      <c r="H44" s="48"/>
      <c r="I44" s="48"/>
      <c r="J44" s="48"/>
      <c r="K44" s="48"/>
      <c r="L44" s="48"/>
      <c r="M44" s="48"/>
      <c r="N44" s="48"/>
    </row>
    <row r="45" spans="1:14" ht="15">
      <c r="A45" s="1136" t="s">
        <v>35</v>
      </c>
      <c r="B45" s="13">
        <v>43</v>
      </c>
      <c r="C45" s="13"/>
      <c r="D45" s="13"/>
      <c r="E45" s="13"/>
      <c r="F45" s="13"/>
      <c r="G45" s="13"/>
      <c r="H45" s="13"/>
      <c r="I45" s="13"/>
      <c r="J45" s="13"/>
      <c r="K45" s="13"/>
      <c r="L45" s="13"/>
      <c r="M45" s="13"/>
      <c r="N45" s="13"/>
    </row>
    <row r="46" spans="1:14" ht="15">
      <c r="A46" s="1136"/>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Y31"/>
  <sheetViews>
    <sheetView zoomScale="61" zoomScaleNormal="61" zoomScalePageLayoutView="0" workbookViewId="0" topLeftCell="A1">
      <selection activeCell="C17" sqref="C17: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756"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8"/>
      <c r="AX1" s="705" t="s">
        <v>423</v>
      </c>
      <c r="AY1" s="706"/>
    </row>
    <row r="2" spans="1:51"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7"/>
      <c r="AX2" s="753" t="s">
        <v>418</v>
      </c>
      <c r="AY2" s="754"/>
    </row>
    <row r="3" spans="1:51" ht="15" customHeight="1">
      <c r="A3" s="768" t="s">
        <v>195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70"/>
      <c r="AX3" s="753" t="s">
        <v>424</v>
      </c>
      <c r="AY3" s="754"/>
    </row>
    <row r="4" spans="1:51" ht="15.75" customHeight="1">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8"/>
      <c r="AX4" s="755" t="s">
        <v>176</v>
      </c>
      <c r="AY4" s="755"/>
    </row>
    <row r="5" spans="1:51" ht="15" customHeight="1">
      <c r="A5" s="759" t="s">
        <v>174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84" t="s">
        <v>69</v>
      </c>
      <c r="AI5" s="785"/>
      <c r="AJ5" s="785"/>
      <c r="AK5" s="785"/>
      <c r="AL5" s="785"/>
      <c r="AM5" s="785"/>
      <c r="AN5" s="785"/>
      <c r="AO5" s="785"/>
      <c r="AP5" s="785"/>
      <c r="AQ5" s="785"/>
      <c r="AR5" s="785"/>
      <c r="AS5" s="785"/>
      <c r="AT5" s="785"/>
      <c r="AU5" s="786"/>
      <c r="AV5" s="774" t="s">
        <v>409</v>
      </c>
      <c r="AW5" s="774" t="s">
        <v>410</v>
      </c>
      <c r="AX5" s="774" t="s">
        <v>298</v>
      </c>
      <c r="AY5" s="774" t="s">
        <v>299</v>
      </c>
    </row>
    <row r="6" spans="1:51" ht="15" customHeight="1">
      <c r="A6" s="793" t="s">
        <v>71</v>
      </c>
      <c r="B6" s="793"/>
      <c r="C6" s="793"/>
      <c r="D6" s="794" t="s">
        <v>74</v>
      </c>
      <c r="E6" s="794"/>
      <c r="F6" s="784" t="s">
        <v>67</v>
      </c>
      <c r="G6" s="786"/>
      <c r="H6" s="783" t="s">
        <v>70</v>
      </c>
      <c r="I6" s="783"/>
      <c r="J6" s="128"/>
      <c r="K6" s="784"/>
      <c r="L6" s="785"/>
      <c r="M6" s="785"/>
      <c r="N6" s="785"/>
      <c r="O6" s="785"/>
      <c r="P6" s="785"/>
      <c r="Q6" s="785"/>
      <c r="R6" s="785"/>
      <c r="S6" s="785"/>
      <c r="T6" s="785"/>
      <c r="U6" s="785"/>
      <c r="V6" s="114"/>
      <c r="W6" s="114"/>
      <c r="X6" s="114"/>
      <c r="Y6" s="114"/>
      <c r="Z6" s="114"/>
      <c r="AA6" s="114"/>
      <c r="AB6" s="114"/>
      <c r="AC6" s="114"/>
      <c r="AD6" s="114"/>
      <c r="AE6" s="114"/>
      <c r="AF6" s="114"/>
      <c r="AG6" s="115"/>
      <c r="AH6" s="787"/>
      <c r="AI6" s="788"/>
      <c r="AJ6" s="788"/>
      <c r="AK6" s="788"/>
      <c r="AL6" s="788"/>
      <c r="AM6" s="788"/>
      <c r="AN6" s="788"/>
      <c r="AO6" s="788"/>
      <c r="AP6" s="788"/>
      <c r="AQ6" s="788"/>
      <c r="AR6" s="788"/>
      <c r="AS6" s="788"/>
      <c r="AT6" s="788"/>
      <c r="AU6" s="789"/>
      <c r="AV6" s="782"/>
      <c r="AW6" s="782"/>
      <c r="AX6" s="782"/>
      <c r="AY6" s="782"/>
    </row>
    <row r="7" spans="1:51" ht="15" customHeight="1">
      <c r="A7" s="793"/>
      <c r="B7" s="793"/>
      <c r="C7" s="793"/>
      <c r="D7" s="794"/>
      <c r="E7" s="794"/>
      <c r="F7" s="787"/>
      <c r="G7" s="789"/>
      <c r="H7" s="783" t="s">
        <v>68</v>
      </c>
      <c r="I7" s="783"/>
      <c r="J7" s="128"/>
      <c r="K7" s="787"/>
      <c r="L7" s="788"/>
      <c r="M7" s="788"/>
      <c r="N7" s="788"/>
      <c r="O7" s="788"/>
      <c r="P7" s="788"/>
      <c r="Q7" s="788"/>
      <c r="R7" s="788"/>
      <c r="S7" s="788"/>
      <c r="T7" s="788"/>
      <c r="U7" s="788"/>
      <c r="V7" s="116"/>
      <c r="W7" s="116"/>
      <c r="X7" s="116"/>
      <c r="Y7" s="116"/>
      <c r="Z7" s="116"/>
      <c r="AA7" s="116"/>
      <c r="AB7" s="116"/>
      <c r="AC7" s="116"/>
      <c r="AD7" s="116"/>
      <c r="AE7" s="116"/>
      <c r="AF7" s="116"/>
      <c r="AG7" s="117"/>
      <c r="AH7" s="787"/>
      <c r="AI7" s="788"/>
      <c r="AJ7" s="788"/>
      <c r="AK7" s="788"/>
      <c r="AL7" s="788"/>
      <c r="AM7" s="788"/>
      <c r="AN7" s="788"/>
      <c r="AO7" s="788"/>
      <c r="AP7" s="788"/>
      <c r="AQ7" s="788"/>
      <c r="AR7" s="788"/>
      <c r="AS7" s="788"/>
      <c r="AT7" s="788"/>
      <c r="AU7" s="789"/>
      <c r="AV7" s="782"/>
      <c r="AW7" s="782"/>
      <c r="AX7" s="782"/>
      <c r="AY7" s="782"/>
    </row>
    <row r="8" spans="1:51" ht="15" customHeight="1">
      <c r="A8" s="793"/>
      <c r="B8" s="793"/>
      <c r="C8" s="793"/>
      <c r="D8" s="794"/>
      <c r="E8" s="794"/>
      <c r="F8" s="790"/>
      <c r="G8" s="792"/>
      <c r="H8" s="783" t="s">
        <v>69</v>
      </c>
      <c r="I8" s="783"/>
      <c r="J8" s="128"/>
      <c r="K8" s="790"/>
      <c r="L8" s="791"/>
      <c r="M8" s="791"/>
      <c r="N8" s="791"/>
      <c r="O8" s="791"/>
      <c r="P8" s="791"/>
      <c r="Q8" s="791"/>
      <c r="R8" s="791"/>
      <c r="S8" s="791"/>
      <c r="T8" s="791"/>
      <c r="U8" s="791"/>
      <c r="V8" s="118"/>
      <c r="W8" s="118"/>
      <c r="X8" s="118"/>
      <c r="Y8" s="118"/>
      <c r="Z8" s="118"/>
      <c r="AA8" s="118"/>
      <c r="AB8" s="118"/>
      <c r="AC8" s="118"/>
      <c r="AD8" s="118"/>
      <c r="AE8" s="118"/>
      <c r="AF8" s="118"/>
      <c r="AG8" s="119"/>
      <c r="AH8" s="787"/>
      <c r="AI8" s="788"/>
      <c r="AJ8" s="788"/>
      <c r="AK8" s="788"/>
      <c r="AL8" s="788"/>
      <c r="AM8" s="788"/>
      <c r="AN8" s="788"/>
      <c r="AO8" s="788"/>
      <c r="AP8" s="788"/>
      <c r="AQ8" s="788"/>
      <c r="AR8" s="788"/>
      <c r="AS8" s="788"/>
      <c r="AT8" s="788"/>
      <c r="AU8" s="789"/>
      <c r="AV8" s="782"/>
      <c r="AW8" s="782"/>
      <c r="AX8" s="782"/>
      <c r="AY8" s="782"/>
    </row>
    <row r="9" spans="1:51" ht="15" customHeight="1">
      <c r="A9" s="762" t="s">
        <v>399</v>
      </c>
      <c r="B9" s="763"/>
      <c r="C9" s="764"/>
      <c r="D9" s="798"/>
      <c r="E9" s="799"/>
      <c r="F9" s="799"/>
      <c r="G9" s="799"/>
      <c r="H9" s="799"/>
      <c r="I9" s="799"/>
      <c r="J9" s="799"/>
      <c r="K9" s="800"/>
      <c r="L9" s="800"/>
      <c r="M9" s="800"/>
      <c r="N9" s="800"/>
      <c r="O9" s="800"/>
      <c r="P9" s="800"/>
      <c r="Q9" s="800"/>
      <c r="R9" s="800"/>
      <c r="S9" s="800"/>
      <c r="T9" s="800"/>
      <c r="U9" s="800"/>
      <c r="V9" s="800"/>
      <c r="W9" s="800"/>
      <c r="X9" s="800"/>
      <c r="Y9" s="800"/>
      <c r="Z9" s="800"/>
      <c r="AA9" s="800"/>
      <c r="AB9" s="800"/>
      <c r="AC9" s="800"/>
      <c r="AD9" s="800"/>
      <c r="AE9" s="800"/>
      <c r="AF9" s="800"/>
      <c r="AG9" s="801"/>
      <c r="AH9" s="787"/>
      <c r="AI9" s="788"/>
      <c r="AJ9" s="788"/>
      <c r="AK9" s="788"/>
      <c r="AL9" s="788"/>
      <c r="AM9" s="788"/>
      <c r="AN9" s="788"/>
      <c r="AO9" s="788"/>
      <c r="AP9" s="788"/>
      <c r="AQ9" s="788"/>
      <c r="AR9" s="788"/>
      <c r="AS9" s="788"/>
      <c r="AT9" s="788"/>
      <c r="AU9" s="789"/>
      <c r="AV9" s="782"/>
      <c r="AW9" s="782"/>
      <c r="AX9" s="782"/>
      <c r="AY9" s="782"/>
    </row>
    <row r="10" spans="1:51" ht="15" customHeight="1">
      <c r="A10" s="795" t="s">
        <v>287</v>
      </c>
      <c r="B10" s="796"/>
      <c r="C10" s="797"/>
      <c r="D10" s="802"/>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1"/>
      <c r="AH10" s="790"/>
      <c r="AI10" s="791"/>
      <c r="AJ10" s="791"/>
      <c r="AK10" s="791"/>
      <c r="AL10" s="791"/>
      <c r="AM10" s="791"/>
      <c r="AN10" s="791"/>
      <c r="AO10" s="791"/>
      <c r="AP10" s="791"/>
      <c r="AQ10" s="791"/>
      <c r="AR10" s="791"/>
      <c r="AS10" s="791"/>
      <c r="AT10" s="791"/>
      <c r="AU10" s="792"/>
      <c r="AV10" s="782"/>
      <c r="AW10" s="782"/>
      <c r="AX10" s="782"/>
      <c r="AY10" s="782"/>
    </row>
    <row r="11" spans="1:51" ht="39.75" customHeight="1">
      <c r="A11" s="771" t="s">
        <v>168</v>
      </c>
      <c r="B11" s="776"/>
      <c r="C11" s="776"/>
      <c r="D11" s="776"/>
      <c r="E11" s="776"/>
      <c r="F11" s="772"/>
      <c r="G11" s="771" t="s">
        <v>278</v>
      </c>
      <c r="H11" s="772"/>
      <c r="I11" s="774" t="s">
        <v>179</v>
      </c>
      <c r="J11" s="774" t="s">
        <v>279</v>
      </c>
      <c r="K11" s="774" t="s">
        <v>323</v>
      </c>
      <c r="L11" s="774" t="s">
        <v>363</v>
      </c>
      <c r="M11" s="774" t="s">
        <v>167</v>
      </c>
      <c r="N11" s="774" t="s">
        <v>182</v>
      </c>
      <c r="O11" s="771" t="s">
        <v>284</v>
      </c>
      <c r="P11" s="776"/>
      <c r="Q11" s="776"/>
      <c r="R11" s="776"/>
      <c r="S11" s="772"/>
      <c r="T11" s="774" t="s">
        <v>173</v>
      </c>
      <c r="U11" s="774" t="s">
        <v>285</v>
      </c>
      <c r="V11" s="759" t="s">
        <v>370</v>
      </c>
      <c r="W11" s="760"/>
      <c r="X11" s="760"/>
      <c r="Y11" s="760"/>
      <c r="Z11" s="760"/>
      <c r="AA11" s="760"/>
      <c r="AB11" s="760"/>
      <c r="AC11" s="760"/>
      <c r="AD11" s="760"/>
      <c r="AE11" s="760"/>
      <c r="AF11" s="760"/>
      <c r="AG11" s="761"/>
      <c r="AH11" s="759" t="s">
        <v>87</v>
      </c>
      <c r="AI11" s="760"/>
      <c r="AJ11" s="760"/>
      <c r="AK11" s="760"/>
      <c r="AL11" s="760"/>
      <c r="AM11" s="760"/>
      <c r="AN11" s="760"/>
      <c r="AO11" s="760"/>
      <c r="AP11" s="760"/>
      <c r="AQ11" s="760"/>
      <c r="AR11" s="760"/>
      <c r="AS11" s="761"/>
      <c r="AT11" s="771" t="s">
        <v>8</v>
      </c>
      <c r="AU11" s="772"/>
      <c r="AV11" s="782"/>
      <c r="AW11" s="782"/>
      <c r="AX11" s="782"/>
      <c r="AY11" s="782"/>
    </row>
    <row r="12" spans="1:51" ht="42.75">
      <c r="A12" s="120" t="s">
        <v>169</v>
      </c>
      <c r="B12" s="120" t="s">
        <v>170</v>
      </c>
      <c r="C12" s="120" t="s">
        <v>171</v>
      </c>
      <c r="D12" s="120" t="s">
        <v>178</v>
      </c>
      <c r="E12" s="120" t="s">
        <v>185</v>
      </c>
      <c r="F12" s="120" t="s">
        <v>186</v>
      </c>
      <c r="G12" s="120" t="s">
        <v>277</v>
      </c>
      <c r="H12" s="120" t="s">
        <v>184</v>
      </c>
      <c r="I12" s="775"/>
      <c r="J12" s="775"/>
      <c r="K12" s="775"/>
      <c r="L12" s="775"/>
      <c r="M12" s="775"/>
      <c r="N12" s="775"/>
      <c r="O12" s="120">
        <v>2020</v>
      </c>
      <c r="P12" s="120">
        <v>2021</v>
      </c>
      <c r="Q12" s="120">
        <v>2022</v>
      </c>
      <c r="R12" s="120">
        <v>2023</v>
      </c>
      <c r="S12" s="120">
        <v>2024</v>
      </c>
      <c r="T12" s="775"/>
      <c r="U12" s="775"/>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413</v>
      </c>
      <c r="AU12" s="216" t="s">
        <v>88</v>
      </c>
      <c r="AV12" s="775"/>
      <c r="AW12" s="775"/>
      <c r="AX12" s="775"/>
      <c r="AY12" s="775"/>
    </row>
    <row r="13" spans="1:51" ht="15.75" customHeight="1">
      <c r="A13" s="121"/>
      <c r="B13" s="121"/>
      <c r="C13" s="121"/>
      <c r="D13" s="121"/>
      <c r="E13" s="121"/>
      <c r="F13" s="121"/>
      <c r="G13" s="121"/>
      <c r="H13" s="121"/>
      <c r="I13" s="122"/>
      <c r="J13" s="122"/>
      <c r="K13" s="122"/>
      <c r="L13" s="122"/>
      <c r="M13" s="122"/>
      <c r="N13" s="122"/>
      <c r="O13" s="123"/>
      <c r="P13" s="123"/>
      <c r="Q13" s="123"/>
      <c r="R13" s="123"/>
      <c r="S13" s="123"/>
      <c r="T13" s="123"/>
      <c r="U13" s="123"/>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f>SUM(AH13:AS13)</f>
        <v>0</v>
      </c>
      <c r="AU13" s="127" t="e">
        <f>+AT13/R13</f>
        <v>#DIV/0!</v>
      </c>
      <c r="AV13" s="125"/>
      <c r="AW13" s="215"/>
      <c r="AX13" s="125"/>
      <c r="AY13" s="126"/>
    </row>
    <row r="14" spans="1:51" ht="15.75" customHeight="1">
      <c r="A14" s="121"/>
      <c r="B14" s="121"/>
      <c r="C14" s="121"/>
      <c r="D14" s="121"/>
      <c r="E14" s="121"/>
      <c r="F14" s="121"/>
      <c r="G14" s="121"/>
      <c r="H14" s="121"/>
      <c r="I14" s="124"/>
      <c r="J14" s="124"/>
      <c r="K14" s="124"/>
      <c r="L14" s="124"/>
      <c r="M14" s="124"/>
      <c r="N14" s="124"/>
      <c r="O14" s="124"/>
      <c r="P14" s="124"/>
      <c r="Q14" s="124"/>
      <c r="R14" s="124"/>
      <c r="S14" s="124"/>
      <c r="T14" s="121"/>
      <c r="U14" s="121"/>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f aca="true" t="shared" si="0" ref="AT14:AT27">SUM(AH14:AS14)</f>
        <v>0</v>
      </c>
      <c r="AU14" s="127" t="e">
        <f aca="true" t="shared" si="1" ref="AU14:AU27">+AT14/R14</f>
        <v>#DIV/0!</v>
      </c>
      <c r="AV14" s="127"/>
      <c r="AW14" s="127"/>
      <c r="AX14" s="127"/>
      <c r="AY14" s="124"/>
    </row>
    <row r="15" spans="1:51" ht="15.75" customHeight="1">
      <c r="A15" s="121"/>
      <c r="B15" s="121"/>
      <c r="C15" s="121"/>
      <c r="D15" s="121"/>
      <c r="E15" s="121"/>
      <c r="F15" s="121"/>
      <c r="G15" s="121"/>
      <c r="H15" s="121"/>
      <c r="I15" s="124"/>
      <c r="J15" s="124"/>
      <c r="K15" s="124"/>
      <c r="L15" s="124"/>
      <c r="M15" s="124"/>
      <c r="N15" s="124"/>
      <c r="O15" s="124"/>
      <c r="P15" s="124"/>
      <c r="Q15" s="124"/>
      <c r="R15" s="124"/>
      <c r="S15" s="124"/>
      <c r="T15" s="121"/>
      <c r="U15" s="121"/>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f t="shared" si="0"/>
        <v>0</v>
      </c>
      <c r="AU15" s="127" t="e">
        <f t="shared" si="1"/>
        <v>#DIV/0!</v>
      </c>
      <c r="AV15" s="127"/>
      <c r="AW15" s="127"/>
      <c r="AX15" s="127"/>
      <c r="AY15" s="124"/>
    </row>
    <row r="16" spans="1:51" ht="15.75" customHeight="1">
      <c r="A16" s="121"/>
      <c r="B16" s="121"/>
      <c r="C16" s="121"/>
      <c r="D16" s="121"/>
      <c r="E16" s="121"/>
      <c r="F16" s="121"/>
      <c r="G16" s="121"/>
      <c r="H16" s="121"/>
      <c r="I16" s="124"/>
      <c r="J16" s="124"/>
      <c r="K16" s="124"/>
      <c r="L16" s="124"/>
      <c r="M16" s="124"/>
      <c r="N16" s="124"/>
      <c r="O16" s="124"/>
      <c r="P16" s="124"/>
      <c r="Q16" s="124"/>
      <c r="R16" s="124"/>
      <c r="S16" s="124"/>
      <c r="T16" s="121"/>
      <c r="U16" s="121"/>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f t="shared" si="0"/>
        <v>0</v>
      </c>
      <c r="AU16" s="127" t="e">
        <f t="shared" si="1"/>
        <v>#DIV/0!</v>
      </c>
      <c r="AV16" s="127"/>
      <c r="AW16" s="127"/>
      <c r="AX16" s="127"/>
      <c r="AY16" s="124"/>
    </row>
    <row r="17" spans="1:51" ht="15.75" customHeight="1">
      <c r="A17" s="121"/>
      <c r="B17" s="121"/>
      <c r="C17" s="121"/>
      <c r="D17" s="121"/>
      <c r="E17" s="121"/>
      <c r="F17" s="121"/>
      <c r="G17" s="121"/>
      <c r="H17" s="121"/>
      <c r="I17" s="124"/>
      <c r="J17" s="124"/>
      <c r="K17" s="124"/>
      <c r="L17" s="124"/>
      <c r="M17" s="124"/>
      <c r="N17" s="124"/>
      <c r="O17" s="124"/>
      <c r="P17" s="124"/>
      <c r="Q17" s="124"/>
      <c r="R17" s="124"/>
      <c r="S17" s="124"/>
      <c r="T17" s="121"/>
      <c r="U17" s="121"/>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f t="shared" si="0"/>
        <v>0</v>
      </c>
      <c r="AU17" s="127" t="e">
        <f t="shared" si="1"/>
        <v>#DIV/0!</v>
      </c>
      <c r="AV17" s="127"/>
      <c r="AW17" s="127"/>
      <c r="AX17" s="127"/>
      <c r="AY17" s="124"/>
    </row>
    <row r="18" spans="1:51" ht="15.75" customHeight="1">
      <c r="A18" s="121"/>
      <c r="B18" s="121"/>
      <c r="C18" s="121"/>
      <c r="D18" s="121"/>
      <c r="E18" s="121"/>
      <c r="F18" s="121"/>
      <c r="G18" s="121"/>
      <c r="H18" s="121"/>
      <c r="I18" s="124"/>
      <c r="J18" s="124"/>
      <c r="K18" s="124"/>
      <c r="L18" s="124"/>
      <c r="M18" s="124"/>
      <c r="N18" s="124"/>
      <c r="O18" s="124"/>
      <c r="P18" s="124"/>
      <c r="Q18" s="124"/>
      <c r="R18" s="124"/>
      <c r="S18" s="124"/>
      <c r="T18" s="121"/>
      <c r="U18" s="121"/>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f t="shared" si="0"/>
        <v>0</v>
      </c>
      <c r="AU18" s="127" t="e">
        <f t="shared" si="1"/>
        <v>#DIV/0!</v>
      </c>
      <c r="AV18" s="127"/>
      <c r="AW18" s="127"/>
      <c r="AX18" s="127"/>
      <c r="AY18" s="124"/>
    </row>
    <row r="19" spans="1:51" ht="15.75" customHeight="1">
      <c r="A19" s="121"/>
      <c r="B19" s="121"/>
      <c r="C19" s="121"/>
      <c r="D19" s="121"/>
      <c r="E19" s="121"/>
      <c r="F19" s="121"/>
      <c r="G19" s="121"/>
      <c r="H19" s="121"/>
      <c r="I19" s="124"/>
      <c r="J19" s="124"/>
      <c r="K19" s="124"/>
      <c r="L19" s="124"/>
      <c r="M19" s="124"/>
      <c r="N19" s="124"/>
      <c r="O19" s="124"/>
      <c r="P19" s="124"/>
      <c r="Q19" s="124"/>
      <c r="R19" s="124"/>
      <c r="S19" s="124"/>
      <c r="T19" s="121"/>
      <c r="U19" s="121"/>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f t="shared" si="0"/>
        <v>0</v>
      </c>
      <c r="AU19" s="127" t="e">
        <f t="shared" si="1"/>
        <v>#DIV/0!</v>
      </c>
      <c r="AV19" s="127"/>
      <c r="AW19" s="127"/>
      <c r="AX19" s="127"/>
      <c r="AY19" s="124"/>
    </row>
    <row r="20" spans="1:51" ht="15.75" customHeight="1">
      <c r="A20" s="121"/>
      <c r="B20" s="121"/>
      <c r="C20" s="121"/>
      <c r="D20" s="121"/>
      <c r="E20" s="121"/>
      <c r="F20" s="121"/>
      <c r="G20" s="121"/>
      <c r="H20" s="121"/>
      <c r="I20" s="124"/>
      <c r="J20" s="124"/>
      <c r="K20" s="124"/>
      <c r="L20" s="124"/>
      <c r="M20" s="124"/>
      <c r="N20" s="124"/>
      <c r="O20" s="124"/>
      <c r="P20" s="124"/>
      <c r="Q20" s="124"/>
      <c r="R20" s="124"/>
      <c r="S20" s="124"/>
      <c r="T20" s="121"/>
      <c r="U20" s="121"/>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f t="shared" si="0"/>
        <v>0</v>
      </c>
      <c r="AU20" s="127" t="e">
        <f t="shared" si="1"/>
        <v>#DIV/0!</v>
      </c>
      <c r="AV20" s="127"/>
      <c r="AW20" s="127"/>
      <c r="AX20" s="127"/>
      <c r="AY20" s="124"/>
    </row>
    <row r="21" spans="1:51" ht="15.75" customHeight="1">
      <c r="A21" s="121"/>
      <c r="B21" s="121"/>
      <c r="C21" s="121"/>
      <c r="D21" s="121"/>
      <c r="E21" s="121"/>
      <c r="F21" s="121"/>
      <c r="G21" s="121"/>
      <c r="H21" s="121"/>
      <c r="I21" s="124"/>
      <c r="J21" s="124"/>
      <c r="K21" s="124"/>
      <c r="L21" s="124"/>
      <c r="M21" s="124"/>
      <c r="N21" s="124"/>
      <c r="O21" s="124"/>
      <c r="P21" s="124"/>
      <c r="Q21" s="124"/>
      <c r="R21" s="124"/>
      <c r="S21" s="124"/>
      <c r="T21" s="121"/>
      <c r="U21" s="121"/>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f t="shared" si="0"/>
        <v>0</v>
      </c>
      <c r="AU21" s="127" t="e">
        <f t="shared" si="1"/>
        <v>#DIV/0!</v>
      </c>
      <c r="AV21" s="127"/>
      <c r="AW21" s="127"/>
      <c r="AX21" s="127"/>
      <c r="AY21" s="124"/>
    </row>
    <row r="22" spans="1:51" ht="15.75" customHeight="1">
      <c r="A22" s="121"/>
      <c r="B22" s="121"/>
      <c r="C22" s="121"/>
      <c r="D22" s="121"/>
      <c r="E22" s="121"/>
      <c r="F22" s="121"/>
      <c r="G22" s="121"/>
      <c r="H22" s="121"/>
      <c r="I22" s="124"/>
      <c r="J22" s="124"/>
      <c r="K22" s="124"/>
      <c r="L22" s="124"/>
      <c r="M22" s="124"/>
      <c r="N22" s="124"/>
      <c r="O22" s="124"/>
      <c r="P22" s="124"/>
      <c r="Q22" s="124"/>
      <c r="R22" s="124"/>
      <c r="S22" s="124"/>
      <c r="T22" s="121"/>
      <c r="U22" s="121"/>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f t="shared" si="0"/>
        <v>0</v>
      </c>
      <c r="AU22" s="127" t="e">
        <f t="shared" si="1"/>
        <v>#DIV/0!</v>
      </c>
      <c r="AV22" s="127"/>
      <c r="AW22" s="127"/>
      <c r="AX22" s="127"/>
      <c r="AY22" s="124"/>
    </row>
    <row r="23" spans="1:51" ht="15.75" customHeight="1">
      <c r="A23" s="121"/>
      <c r="B23" s="121"/>
      <c r="C23" s="121"/>
      <c r="D23" s="121"/>
      <c r="E23" s="121"/>
      <c r="F23" s="121"/>
      <c r="G23" s="121"/>
      <c r="H23" s="121"/>
      <c r="I23" s="124"/>
      <c r="J23" s="124"/>
      <c r="K23" s="124"/>
      <c r="L23" s="124"/>
      <c r="M23" s="124"/>
      <c r="N23" s="124"/>
      <c r="O23" s="124"/>
      <c r="P23" s="124"/>
      <c r="Q23" s="124"/>
      <c r="R23" s="124"/>
      <c r="S23" s="124"/>
      <c r="T23" s="121"/>
      <c r="U23" s="121"/>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f t="shared" si="0"/>
        <v>0</v>
      </c>
      <c r="AU23" s="127" t="e">
        <f t="shared" si="1"/>
        <v>#DIV/0!</v>
      </c>
      <c r="AV23" s="127"/>
      <c r="AW23" s="127"/>
      <c r="AX23" s="127"/>
      <c r="AY23" s="124"/>
    </row>
    <row r="24" spans="1:51" ht="15.75" customHeight="1">
      <c r="A24" s="121"/>
      <c r="B24" s="121"/>
      <c r="C24" s="121"/>
      <c r="D24" s="121"/>
      <c r="E24" s="121"/>
      <c r="F24" s="121"/>
      <c r="G24" s="121"/>
      <c r="H24" s="121"/>
      <c r="I24" s="124"/>
      <c r="J24" s="124"/>
      <c r="K24" s="124"/>
      <c r="L24" s="124"/>
      <c r="M24" s="124"/>
      <c r="N24" s="124"/>
      <c r="O24" s="124"/>
      <c r="P24" s="124"/>
      <c r="Q24" s="124"/>
      <c r="R24" s="124"/>
      <c r="S24" s="124"/>
      <c r="T24" s="121"/>
      <c r="U24" s="121"/>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f t="shared" si="0"/>
        <v>0</v>
      </c>
      <c r="AU24" s="127" t="e">
        <f t="shared" si="1"/>
        <v>#DIV/0!</v>
      </c>
      <c r="AV24" s="127"/>
      <c r="AW24" s="127"/>
      <c r="AX24" s="127"/>
      <c r="AY24" s="124"/>
    </row>
    <row r="25" spans="1:51" ht="15.75" customHeight="1">
      <c r="A25" s="121"/>
      <c r="B25" s="121"/>
      <c r="C25" s="121"/>
      <c r="D25" s="121"/>
      <c r="E25" s="121"/>
      <c r="F25" s="121"/>
      <c r="G25" s="121"/>
      <c r="H25" s="121"/>
      <c r="I25" s="124"/>
      <c r="J25" s="124"/>
      <c r="K25" s="124"/>
      <c r="L25" s="124"/>
      <c r="M25" s="124"/>
      <c r="N25" s="124"/>
      <c r="O25" s="124"/>
      <c r="P25" s="124"/>
      <c r="Q25" s="124"/>
      <c r="R25" s="124"/>
      <c r="S25" s="124"/>
      <c r="T25" s="121"/>
      <c r="U25" s="121"/>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f t="shared" si="0"/>
        <v>0</v>
      </c>
      <c r="AU25" s="127" t="e">
        <f t="shared" si="1"/>
        <v>#DIV/0!</v>
      </c>
      <c r="AV25" s="127"/>
      <c r="AW25" s="127"/>
      <c r="AX25" s="127"/>
      <c r="AY25" s="124"/>
    </row>
    <row r="26" spans="1:51" ht="15.75" customHeight="1">
      <c r="A26" s="121"/>
      <c r="B26" s="121"/>
      <c r="C26" s="121"/>
      <c r="D26" s="121"/>
      <c r="E26" s="121"/>
      <c r="F26" s="121"/>
      <c r="G26" s="121"/>
      <c r="H26" s="121"/>
      <c r="I26" s="124"/>
      <c r="J26" s="124"/>
      <c r="K26" s="124"/>
      <c r="L26" s="124"/>
      <c r="M26" s="124"/>
      <c r="N26" s="124"/>
      <c r="O26" s="124"/>
      <c r="P26" s="124"/>
      <c r="Q26" s="124"/>
      <c r="R26" s="124"/>
      <c r="S26" s="124"/>
      <c r="T26" s="121"/>
      <c r="U26" s="121"/>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f t="shared" si="0"/>
        <v>0</v>
      </c>
      <c r="AU26" s="127" t="e">
        <f t="shared" si="1"/>
        <v>#DIV/0!</v>
      </c>
      <c r="AV26" s="127"/>
      <c r="AW26" s="127"/>
      <c r="AX26" s="127"/>
      <c r="AY26" s="124"/>
    </row>
    <row r="27" spans="1:51" ht="15.75" customHeight="1">
      <c r="A27" s="121"/>
      <c r="B27" s="121"/>
      <c r="C27" s="121"/>
      <c r="D27" s="121"/>
      <c r="E27" s="121"/>
      <c r="F27" s="121"/>
      <c r="G27" s="121"/>
      <c r="H27" s="121"/>
      <c r="I27" s="124"/>
      <c r="J27" s="124"/>
      <c r="K27" s="124"/>
      <c r="L27" s="124"/>
      <c r="M27" s="124"/>
      <c r="N27" s="124"/>
      <c r="O27" s="124"/>
      <c r="P27" s="124"/>
      <c r="Q27" s="124"/>
      <c r="R27" s="124"/>
      <c r="S27" s="124"/>
      <c r="T27" s="121"/>
      <c r="U27" s="121"/>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f t="shared" si="0"/>
        <v>0</v>
      </c>
      <c r="AU27" s="127" t="e">
        <f t="shared" si="1"/>
        <v>#DIV/0!</v>
      </c>
      <c r="AV27" s="127"/>
      <c r="AW27" s="127"/>
      <c r="AX27" s="127"/>
      <c r="AY27" s="124"/>
    </row>
    <row r="28" spans="1:51" ht="15">
      <c r="A28" s="779" t="s">
        <v>294</v>
      </c>
      <c r="B28" s="780"/>
      <c r="C28" s="780"/>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0"/>
      <c r="AY28" s="781"/>
    </row>
    <row r="29" spans="1:51" ht="15">
      <c r="A29" s="777" t="s">
        <v>64</v>
      </c>
      <c r="B29" s="777"/>
      <c r="C29" s="777"/>
      <c r="D29" s="773" t="s">
        <v>66</v>
      </c>
      <c r="E29" s="773"/>
      <c r="F29" s="773"/>
      <c r="G29" s="773"/>
      <c r="H29" s="773"/>
      <c r="I29" s="773"/>
      <c r="J29" s="778" t="s">
        <v>300</v>
      </c>
      <c r="K29" s="778"/>
      <c r="L29" s="778"/>
      <c r="M29" s="778"/>
      <c r="N29" s="778"/>
      <c r="O29" s="778"/>
      <c r="P29" s="773" t="s">
        <v>66</v>
      </c>
      <c r="Q29" s="773"/>
      <c r="R29" s="773"/>
      <c r="S29" s="773"/>
      <c r="T29" s="773"/>
      <c r="U29" s="773"/>
      <c r="V29" s="773" t="s">
        <v>66</v>
      </c>
      <c r="W29" s="773"/>
      <c r="X29" s="773"/>
      <c r="Y29" s="773"/>
      <c r="Z29" s="773"/>
      <c r="AA29" s="773"/>
      <c r="AB29" s="773"/>
      <c r="AC29" s="773"/>
      <c r="AD29" s="773" t="s">
        <v>66</v>
      </c>
      <c r="AE29" s="773"/>
      <c r="AF29" s="773"/>
      <c r="AG29" s="773"/>
      <c r="AH29" s="773"/>
      <c r="AI29" s="773"/>
      <c r="AJ29" s="773"/>
      <c r="AK29" s="773"/>
      <c r="AL29" s="773"/>
      <c r="AM29" s="773"/>
      <c r="AN29" s="773"/>
      <c r="AO29" s="773"/>
      <c r="AP29" s="778" t="s">
        <v>318</v>
      </c>
      <c r="AQ29" s="778"/>
      <c r="AR29" s="778"/>
      <c r="AS29" s="778"/>
      <c r="AT29" s="773" t="s">
        <v>13</v>
      </c>
      <c r="AU29" s="773"/>
      <c r="AV29" s="773"/>
      <c r="AW29" s="773"/>
      <c r="AX29" s="773"/>
      <c r="AY29" s="773"/>
    </row>
    <row r="30" spans="1:51" ht="15">
      <c r="A30" s="777"/>
      <c r="B30" s="777"/>
      <c r="C30" s="777"/>
      <c r="D30" s="773" t="s">
        <v>65</v>
      </c>
      <c r="E30" s="773"/>
      <c r="F30" s="773"/>
      <c r="G30" s="773"/>
      <c r="H30" s="773"/>
      <c r="I30" s="773"/>
      <c r="J30" s="778"/>
      <c r="K30" s="778"/>
      <c r="L30" s="778"/>
      <c r="M30" s="778"/>
      <c r="N30" s="778"/>
      <c r="O30" s="778"/>
      <c r="P30" s="773" t="s">
        <v>65</v>
      </c>
      <c r="Q30" s="773"/>
      <c r="R30" s="773"/>
      <c r="S30" s="773"/>
      <c r="T30" s="773"/>
      <c r="U30" s="773"/>
      <c r="V30" s="773" t="s">
        <v>65</v>
      </c>
      <c r="W30" s="773"/>
      <c r="X30" s="773"/>
      <c r="Y30" s="773"/>
      <c r="Z30" s="773"/>
      <c r="AA30" s="773"/>
      <c r="AB30" s="773"/>
      <c r="AC30" s="773"/>
      <c r="AD30" s="773" t="s">
        <v>65</v>
      </c>
      <c r="AE30" s="773"/>
      <c r="AF30" s="773"/>
      <c r="AG30" s="773"/>
      <c r="AH30" s="773"/>
      <c r="AI30" s="773"/>
      <c r="AJ30" s="773"/>
      <c r="AK30" s="773"/>
      <c r="AL30" s="773"/>
      <c r="AM30" s="773"/>
      <c r="AN30" s="773"/>
      <c r="AO30" s="773"/>
      <c r="AP30" s="778"/>
      <c r="AQ30" s="778"/>
      <c r="AR30" s="778"/>
      <c r="AS30" s="778"/>
      <c r="AT30" s="773" t="s">
        <v>65</v>
      </c>
      <c r="AU30" s="773"/>
      <c r="AV30" s="773"/>
      <c r="AW30" s="773"/>
      <c r="AX30" s="773"/>
      <c r="AY30" s="773"/>
    </row>
    <row r="31" spans="1:51" ht="15.75" customHeight="1">
      <c r="A31" s="777"/>
      <c r="B31" s="777"/>
      <c r="C31" s="777"/>
      <c r="D31" s="773" t="s">
        <v>297</v>
      </c>
      <c r="E31" s="773"/>
      <c r="F31" s="773"/>
      <c r="G31" s="773"/>
      <c r="H31" s="773"/>
      <c r="I31" s="773"/>
      <c r="J31" s="778"/>
      <c r="K31" s="778"/>
      <c r="L31" s="778"/>
      <c r="M31" s="778"/>
      <c r="N31" s="778"/>
      <c r="O31" s="778"/>
      <c r="P31" s="773" t="s">
        <v>297</v>
      </c>
      <c r="Q31" s="773"/>
      <c r="R31" s="773"/>
      <c r="S31" s="773"/>
      <c r="T31" s="773"/>
      <c r="U31" s="773"/>
      <c r="V31" s="773" t="s">
        <v>297</v>
      </c>
      <c r="W31" s="773"/>
      <c r="X31" s="773"/>
      <c r="Y31" s="773"/>
      <c r="Z31" s="773"/>
      <c r="AA31" s="773"/>
      <c r="AB31" s="773"/>
      <c r="AC31" s="773"/>
      <c r="AD31" s="773" t="s">
        <v>297</v>
      </c>
      <c r="AE31" s="773"/>
      <c r="AF31" s="773"/>
      <c r="AG31" s="773"/>
      <c r="AH31" s="773"/>
      <c r="AI31" s="773"/>
      <c r="AJ31" s="773"/>
      <c r="AK31" s="773"/>
      <c r="AL31" s="773"/>
      <c r="AM31" s="773"/>
      <c r="AN31" s="773"/>
      <c r="AO31" s="773"/>
      <c r="AP31" s="778"/>
      <c r="AQ31" s="778"/>
      <c r="AR31" s="778"/>
      <c r="AS31" s="778"/>
      <c r="AT31" s="773" t="s">
        <v>75</v>
      </c>
      <c r="AU31" s="773"/>
      <c r="AV31" s="773"/>
      <c r="AW31" s="773"/>
      <c r="AX31" s="773"/>
      <c r="AY31" s="773"/>
    </row>
  </sheetData>
  <sheetProtection/>
  <mergeCells count="57">
    <mergeCell ref="AV5:AV12"/>
    <mergeCell ref="A5:AG5"/>
    <mergeCell ref="A6:C8"/>
    <mergeCell ref="D6:E8"/>
    <mergeCell ref="F6:G8"/>
    <mergeCell ref="H6:I6"/>
    <mergeCell ref="A10:C10"/>
    <mergeCell ref="D9:AG9"/>
    <mergeCell ref="D10:AG10"/>
    <mergeCell ref="L11:L12"/>
    <mergeCell ref="AP29:AS31"/>
    <mergeCell ref="AX5:AX12"/>
    <mergeCell ref="AY5:AY12"/>
    <mergeCell ref="H7:I7"/>
    <mergeCell ref="H8:I8"/>
    <mergeCell ref="V30:AC30"/>
    <mergeCell ref="V31:AC31"/>
    <mergeCell ref="AW5:AW12"/>
    <mergeCell ref="AH5:AU10"/>
    <mergeCell ref="K6:U8"/>
    <mergeCell ref="A29:C31"/>
    <mergeCell ref="J29:O31"/>
    <mergeCell ref="P30:U30"/>
    <mergeCell ref="P31:U31"/>
    <mergeCell ref="V29:AC29"/>
    <mergeCell ref="A28:AY28"/>
    <mergeCell ref="AT30:AY30"/>
    <mergeCell ref="AT29:AY29"/>
    <mergeCell ref="AT31:AY31"/>
    <mergeCell ref="D29:I29"/>
    <mergeCell ref="U11:U12"/>
    <mergeCell ref="O11:S11"/>
    <mergeCell ref="T11:T12"/>
    <mergeCell ref="N11:N12"/>
    <mergeCell ref="A11:F11"/>
    <mergeCell ref="G11:H11"/>
    <mergeCell ref="M11:M12"/>
    <mergeCell ref="D30:I30"/>
    <mergeCell ref="D31:I31"/>
    <mergeCell ref="AD29:AO29"/>
    <mergeCell ref="AD30:AO30"/>
    <mergeCell ref="AD31:AO31"/>
    <mergeCell ref="AH11:AS11"/>
    <mergeCell ref="P29:U29"/>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1" fitToWidth="1" horizontalDpi="600" verticalDpi="600" orientation="landscape" scale="2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I1">
      <selection activeCell="C17" sqref="C17:Q17"/>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806" t="s">
        <v>16</v>
      </c>
      <c r="B1" s="806"/>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806"/>
      <c r="AN1" s="806"/>
      <c r="AO1" s="806"/>
      <c r="AP1" s="806"/>
      <c r="AQ1" s="806"/>
      <c r="AR1" s="806"/>
      <c r="AS1" s="806"/>
      <c r="AT1" s="806"/>
      <c r="AU1" s="806"/>
      <c r="AV1" s="806"/>
      <c r="AW1" s="806"/>
      <c r="AX1" s="806"/>
      <c r="AY1" s="806"/>
      <c r="AZ1" s="806"/>
      <c r="BA1" s="806"/>
      <c r="BB1" s="806"/>
      <c r="BC1" s="806"/>
      <c r="BD1" s="806"/>
      <c r="BE1" s="806"/>
      <c r="BF1" s="806"/>
      <c r="BG1" s="806"/>
      <c r="BH1" s="806"/>
      <c r="BI1" s="807" t="s">
        <v>18</v>
      </c>
      <c r="BJ1" s="807"/>
      <c r="BK1" s="807"/>
    </row>
    <row r="2" spans="1:63" ht="15.75" customHeight="1">
      <c r="A2" s="806" t="s">
        <v>17</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c r="AT2" s="806"/>
      <c r="AU2" s="806"/>
      <c r="AV2" s="806"/>
      <c r="AW2" s="806"/>
      <c r="AX2" s="806"/>
      <c r="AY2" s="806"/>
      <c r="AZ2" s="806"/>
      <c r="BA2" s="806"/>
      <c r="BB2" s="806"/>
      <c r="BC2" s="806"/>
      <c r="BD2" s="806"/>
      <c r="BE2" s="806"/>
      <c r="BF2" s="806"/>
      <c r="BG2" s="806"/>
      <c r="BH2" s="806"/>
      <c r="BI2" s="808" t="s">
        <v>418</v>
      </c>
      <c r="BJ2" s="808"/>
      <c r="BK2" s="808"/>
    </row>
    <row r="3" spans="1:63" ht="25.5" customHeight="1">
      <c r="A3" s="806" t="s">
        <v>187</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6"/>
      <c r="AX3" s="806"/>
      <c r="AY3" s="806"/>
      <c r="AZ3" s="806"/>
      <c r="BA3" s="806"/>
      <c r="BB3" s="806"/>
      <c r="BC3" s="806"/>
      <c r="BD3" s="806"/>
      <c r="BE3" s="806"/>
      <c r="BF3" s="806"/>
      <c r="BG3" s="806"/>
      <c r="BH3" s="806"/>
      <c r="BI3" s="808" t="s">
        <v>424</v>
      </c>
      <c r="BJ3" s="808"/>
      <c r="BK3" s="808"/>
    </row>
    <row r="4" spans="1:63" ht="15.75" customHeight="1">
      <c r="A4" s="806" t="s">
        <v>172</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3" t="s">
        <v>183</v>
      </c>
      <c r="BJ4" s="804"/>
      <c r="BK4" s="805"/>
    </row>
    <row r="5" spans="1:63" ht="25.5" customHeight="1">
      <c r="A5" s="809" t="s">
        <v>319</v>
      </c>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G5" s="809" t="s">
        <v>320</v>
      </c>
      <c r="AH5" s="809"/>
      <c r="AI5" s="809"/>
      <c r="AJ5" s="809"/>
      <c r="AK5" s="809"/>
      <c r="AL5" s="809"/>
      <c r="AM5" s="809"/>
      <c r="AN5" s="809"/>
      <c r="AO5" s="809"/>
      <c r="AP5" s="809"/>
      <c r="AQ5" s="809"/>
      <c r="AR5" s="809"/>
      <c r="AS5" s="809"/>
      <c r="AT5" s="809"/>
      <c r="AU5" s="809"/>
      <c r="AV5" s="809"/>
      <c r="AW5" s="809"/>
      <c r="AX5" s="809"/>
      <c r="AY5" s="809"/>
      <c r="AZ5" s="809"/>
      <c r="BA5" s="809"/>
      <c r="BB5" s="809"/>
      <c r="BC5" s="809"/>
      <c r="BD5" s="809"/>
      <c r="BE5" s="809"/>
      <c r="BF5" s="809"/>
      <c r="BG5" s="809"/>
      <c r="BH5" s="809"/>
      <c r="BI5" s="810"/>
      <c r="BJ5" s="810"/>
      <c r="BK5" s="810"/>
    </row>
    <row r="6" spans="1:63" ht="31.5" customHeight="1">
      <c r="A6" s="169" t="s">
        <v>290</v>
      </c>
      <c r="B6" s="815"/>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5"/>
      <c r="AY6" s="815"/>
      <c r="AZ6" s="815"/>
      <c r="BA6" s="815"/>
      <c r="BB6" s="815"/>
      <c r="BC6" s="815"/>
      <c r="BD6" s="815"/>
      <c r="BE6" s="815"/>
      <c r="BF6" s="815"/>
      <c r="BG6" s="815"/>
      <c r="BH6" s="815"/>
      <c r="BI6" s="815"/>
      <c r="BJ6" s="815"/>
      <c r="BK6" s="815"/>
    </row>
    <row r="7" spans="1:63" ht="31.5" customHeight="1">
      <c r="A7" s="170" t="s">
        <v>177</v>
      </c>
      <c r="B7" s="813"/>
      <c r="C7" s="816"/>
      <c r="D7" s="816"/>
      <c r="E7" s="816"/>
      <c r="F7" s="816"/>
      <c r="G7" s="816"/>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6"/>
      <c r="AY7" s="816"/>
      <c r="AZ7" s="816"/>
      <c r="BA7" s="816"/>
      <c r="BB7" s="816"/>
      <c r="BC7" s="816"/>
      <c r="BD7" s="816"/>
      <c r="BE7" s="816"/>
      <c r="BF7" s="816"/>
      <c r="BG7" s="816"/>
      <c r="BH7" s="816"/>
      <c r="BI7" s="816"/>
      <c r="BJ7" s="816"/>
      <c r="BK7" s="814"/>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811" t="s">
        <v>90</v>
      </c>
      <c r="B9" s="213" t="s">
        <v>39</v>
      </c>
      <c r="C9" s="213" t="s">
        <v>40</v>
      </c>
      <c r="D9" s="813" t="s">
        <v>41</v>
      </c>
      <c r="E9" s="814"/>
      <c r="F9" s="213" t="s">
        <v>42</v>
      </c>
      <c r="G9" s="213" t="s">
        <v>43</v>
      </c>
      <c r="H9" s="813" t="s">
        <v>44</v>
      </c>
      <c r="I9" s="814"/>
      <c r="J9" s="213" t="s">
        <v>45</v>
      </c>
      <c r="K9" s="213" t="s">
        <v>46</v>
      </c>
      <c r="L9" s="813" t="s">
        <v>47</v>
      </c>
      <c r="M9" s="814"/>
      <c r="N9" s="213" t="s">
        <v>48</v>
      </c>
      <c r="O9" s="213" t="s">
        <v>49</v>
      </c>
      <c r="P9" s="813" t="s">
        <v>50</v>
      </c>
      <c r="Q9" s="814"/>
      <c r="R9" s="813" t="s">
        <v>91</v>
      </c>
      <c r="S9" s="814"/>
      <c r="T9" s="813" t="s">
        <v>289</v>
      </c>
      <c r="U9" s="816"/>
      <c r="V9" s="816"/>
      <c r="W9" s="816"/>
      <c r="X9" s="816"/>
      <c r="Y9" s="814"/>
      <c r="Z9" s="813" t="s">
        <v>288</v>
      </c>
      <c r="AA9" s="816"/>
      <c r="AB9" s="816"/>
      <c r="AC9" s="816"/>
      <c r="AD9" s="816"/>
      <c r="AE9" s="814"/>
      <c r="AG9" s="811" t="s">
        <v>90</v>
      </c>
      <c r="AH9" s="213" t="s">
        <v>39</v>
      </c>
      <c r="AI9" s="213" t="s">
        <v>40</v>
      </c>
      <c r="AJ9" s="813" t="s">
        <v>41</v>
      </c>
      <c r="AK9" s="814"/>
      <c r="AL9" s="213" t="s">
        <v>42</v>
      </c>
      <c r="AM9" s="213" t="s">
        <v>43</v>
      </c>
      <c r="AN9" s="813" t="s">
        <v>44</v>
      </c>
      <c r="AO9" s="814"/>
      <c r="AP9" s="213" t="s">
        <v>45</v>
      </c>
      <c r="AQ9" s="213" t="s">
        <v>46</v>
      </c>
      <c r="AR9" s="813" t="s">
        <v>47</v>
      </c>
      <c r="AS9" s="814"/>
      <c r="AT9" s="213" t="s">
        <v>48</v>
      </c>
      <c r="AU9" s="213" t="s">
        <v>49</v>
      </c>
      <c r="AV9" s="813" t="s">
        <v>50</v>
      </c>
      <c r="AW9" s="814"/>
      <c r="AX9" s="813" t="s">
        <v>91</v>
      </c>
      <c r="AY9" s="814"/>
      <c r="AZ9" s="813" t="s">
        <v>289</v>
      </c>
      <c r="BA9" s="816"/>
      <c r="BB9" s="816"/>
      <c r="BC9" s="816"/>
      <c r="BD9" s="816"/>
      <c r="BE9" s="814"/>
      <c r="BF9" s="813" t="s">
        <v>288</v>
      </c>
      <c r="BG9" s="816"/>
      <c r="BH9" s="816"/>
      <c r="BI9" s="816"/>
      <c r="BJ9" s="816"/>
      <c r="BK9" s="814"/>
    </row>
    <row r="10" spans="1:63" ht="36" customHeight="1">
      <c r="A10" s="812"/>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812"/>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c r="C11" s="164"/>
      <c r="D11" s="164"/>
      <c r="E11" s="221"/>
      <c r="F11" s="164"/>
      <c r="G11" s="164"/>
      <c r="H11" s="164"/>
      <c r="I11" s="221"/>
      <c r="J11" s="164"/>
      <c r="K11" s="164"/>
      <c r="L11" s="164"/>
      <c r="M11" s="221"/>
      <c r="N11" s="164"/>
      <c r="O11" s="164"/>
      <c r="P11" s="164"/>
      <c r="Q11" s="221"/>
      <c r="R11" s="209">
        <f aca="true" t="shared" si="0" ref="R11:R31">B11+C11+D11+F11+G11+H11+J11+K11+L11+N11+O11+P11</f>
        <v>0</v>
      </c>
      <c r="S11" s="17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1"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c r="C12" s="164"/>
      <c r="D12" s="164"/>
      <c r="E12" s="221"/>
      <c r="F12" s="164"/>
      <c r="G12" s="164"/>
      <c r="H12" s="164"/>
      <c r="I12" s="221"/>
      <c r="J12" s="164"/>
      <c r="K12" s="164"/>
      <c r="L12" s="164"/>
      <c r="M12" s="221"/>
      <c r="N12" s="164"/>
      <c r="O12" s="164"/>
      <c r="P12" s="164"/>
      <c r="Q12" s="221"/>
      <c r="R12" s="209">
        <f t="shared" si="0"/>
        <v>0</v>
      </c>
      <c r="S12" s="171">
        <f aca="true" t="shared" si="2" ref="S12:S31">+E12+I12+M12+Q12</f>
        <v>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1"/>
        <v>0</v>
      </c>
      <c r="AY12" s="171">
        <f aca="true" t="shared" si="3" ref="AY12:AY31">+AK12+AO12+AS12+AW12</f>
        <v>0</v>
      </c>
      <c r="AZ12" s="166"/>
      <c r="BA12" s="166"/>
      <c r="BB12" s="166"/>
      <c r="BC12" s="166"/>
      <c r="BD12" s="166"/>
      <c r="BE12" s="166"/>
      <c r="BF12" s="166"/>
      <c r="BG12" s="166"/>
      <c r="BH12" s="166"/>
      <c r="BI12" s="166"/>
      <c r="BJ12" s="166"/>
      <c r="BK12" s="166"/>
    </row>
    <row r="13" spans="1:63" ht="15">
      <c r="A13" s="164" t="s">
        <v>94</v>
      </c>
      <c r="B13" s="164"/>
      <c r="C13" s="164"/>
      <c r="D13" s="164"/>
      <c r="E13" s="221"/>
      <c r="F13" s="164"/>
      <c r="G13" s="164"/>
      <c r="H13" s="164"/>
      <c r="I13" s="221"/>
      <c r="J13" s="164"/>
      <c r="K13" s="164"/>
      <c r="L13" s="164"/>
      <c r="M13" s="221"/>
      <c r="N13" s="164"/>
      <c r="O13" s="164"/>
      <c r="P13" s="164"/>
      <c r="Q13" s="221"/>
      <c r="R13" s="209">
        <f t="shared" si="0"/>
        <v>0</v>
      </c>
      <c r="S13" s="171">
        <f t="shared" si="2"/>
        <v>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1"/>
        <v>0</v>
      </c>
      <c r="AY13" s="171">
        <f t="shared" si="3"/>
        <v>0</v>
      </c>
      <c r="AZ13" s="166"/>
      <c r="BA13" s="166"/>
      <c r="BB13" s="166"/>
      <c r="BC13" s="166"/>
      <c r="BD13" s="166"/>
      <c r="BE13" s="166"/>
      <c r="BF13" s="166"/>
      <c r="BG13" s="166"/>
      <c r="BH13" s="166"/>
      <c r="BI13" s="166"/>
      <c r="BJ13" s="166"/>
      <c r="BK13" s="166"/>
    </row>
    <row r="14" spans="1:63" ht="15">
      <c r="A14" s="164" t="s">
        <v>95</v>
      </c>
      <c r="B14" s="164"/>
      <c r="C14" s="164"/>
      <c r="D14" s="164"/>
      <c r="E14" s="221"/>
      <c r="F14" s="164"/>
      <c r="G14" s="164"/>
      <c r="H14" s="164"/>
      <c r="I14" s="221"/>
      <c r="J14" s="164"/>
      <c r="K14" s="164"/>
      <c r="L14" s="164"/>
      <c r="M14" s="221"/>
      <c r="N14" s="164"/>
      <c r="O14" s="164"/>
      <c r="P14" s="164"/>
      <c r="Q14" s="221"/>
      <c r="R14" s="209">
        <f t="shared" si="0"/>
        <v>0</v>
      </c>
      <c r="S14" s="171">
        <f t="shared" si="2"/>
        <v>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1"/>
        <v>0</v>
      </c>
      <c r="AY14" s="171">
        <f t="shared" si="3"/>
        <v>0</v>
      </c>
      <c r="AZ14" s="166"/>
      <c r="BA14" s="166"/>
      <c r="BB14" s="166"/>
      <c r="BC14" s="166"/>
      <c r="BD14" s="166"/>
      <c r="BE14" s="166"/>
      <c r="BF14" s="166"/>
      <c r="BG14" s="166"/>
      <c r="BH14" s="166"/>
      <c r="BI14" s="166"/>
      <c r="BJ14" s="166"/>
      <c r="BK14" s="166"/>
    </row>
    <row r="15" spans="1:63" ht="15">
      <c r="A15" s="164" t="s">
        <v>96</v>
      </c>
      <c r="B15" s="164"/>
      <c r="C15" s="164"/>
      <c r="D15" s="164"/>
      <c r="E15" s="221"/>
      <c r="F15" s="164"/>
      <c r="G15" s="164"/>
      <c r="H15" s="164"/>
      <c r="I15" s="221"/>
      <c r="J15" s="164"/>
      <c r="K15" s="164"/>
      <c r="L15" s="164"/>
      <c r="M15" s="221"/>
      <c r="N15" s="164"/>
      <c r="O15" s="164"/>
      <c r="P15" s="164"/>
      <c r="Q15" s="221"/>
      <c r="R15" s="209">
        <f t="shared" si="0"/>
        <v>0</v>
      </c>
      <c r="S15" s="171">
        <f t="shared" si="2"/>
        <v>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1"/>
        <v>0</v>
      </c>
      <c r="AY15" s="171">
        <f t="shared" si="3"/>
        <v>0</v>
      </c>
      <c r="AZ15" s="166"/>
      <c r="BA15" s="166"/>
      <c r="BB15" s="166"/>
      <c r="BC15" s="166"/>
      <c r="BD15" s="166"/>
      <c r="BE15" s="166"/>
      <c r="BF15" s="166"/>
      <c r="BG15" s="166"/>
      <c r="BH15" s="166"/>
      <c r="BI15" s="166"/>
      <c r="BJ15" s="166"/>
      <c r="BK15" s="166"/>
    </row>
    <row r="16" spans="1:63" ht="15">
      <c r="A16" s="164" t="s">
        <v>97</v>
      </c>
      <c r="B16" s="164"/>
      <c r="C16" s="164"/>
      <c r="D16" s="164"/>
      <c r="E16" s="221"/>
      <c r="F16" s="164"/>
      <c r="G16" s="164"/>
      <c r="H16" s="164"/>
      <c r="I16" s="221"/>
      <c r="J16" s="164"/>
      <c r="K16" s="164"/>
      <c r="L16" s="164"/>
      <c r="M16" s="221"/>
      <c r="N16" s="164"/>
      <c r="O16" s="164"/>
      <c r="P16" s="164"/>
      <c r="Q16" s="221"/>
      <c r="R16" s="209">
        <f t="shared" si="0"/>
        <v>0</v>
      </c>
      <c r="S16" s="171">
        <f t="shared" si="2"/>
        <v>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1"/>
        <v>0</v>
      </c>
      <c r="AY16" s="171">
        <f t="shared" si="3"/>
        <v>0</v>
      </c>
      <c r="AZ16" s="166"/>
      <c r="BA16" s="166"/>
      <c r="BB16" s="166"/>
      <c r="BC16" s="166"/>
      <c r="BD16" s="166"/>
      <c r="BE16" s="166"/>
      <c r="BF16" s="166"/>
      <c r="BG16" s="166"/>
      <c r="BH16" s="166"/>
      <c r="BI16" s="166"/>
      <c r="BJ16" s="166"/>
      <c r="BK16" s="166"/>
    </row>
    <row r="17" spans="1:63" ht="15">
      <c r="A17" s="164" t="s">
        <v>98</v>
      </c>
      <c r="B17" s="164"/>
      <c r="C17" s="164"/>
      <c r="D17" s="164"/>
      <c r="E17" s="221"/>
      <c r="F17" s="164"/>
      <c r="G17" s="164"/>
      <c r="H17" s="164"/>
      <c r="I17" s="221"/>
      <c r="J17" s="164"/>
      <c r="K17" s="164"/>
      <c r="L17" s="164"/>
      <c r="M17" s="221"/>
      <c r="N17" s="164"/>
      <c r="O17" s="164"/>
      <c r="P17" s="164"/>
      <c r="Q17" s="221"/>
      <c r="R17" s="209">
        <f t="shared" si="0"/>
        <v>0</v>
      </c>
      <c r="S17" s="171">
        <f t="shared" si="2"/>
        <v>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1"/>
        <v>0</v>
      </c>
      <c r="AY17" s="171">
        <f t="shared" si="3"/>
        <v>0</v>
      </c>
      <c r="AZ17" s="166"/>
      <c r="BA17" s="166"/>
      <c r="BB17" s="166"/>
      <c r="BC17" s="166"/>
      <c r="BD17" s="166"/>
      <c r="BE17" s="166"/>
      <c r="BF17" s="166"/>
      <c r="BG17" s="166"/>
      <c r="BH17" s="166"/>
      <c r="BI17" s="166"/>
      <c r="BJ17" s="166"/>
      <c r="BK17" s="166"/>
    </row>
    <row r="18" spans="1:63" ht="15">
      <c r="A18" s="164" t="s">
        <v>99</v>
      </c>
      <c r="B18" s="164"/>
      <c r="C18" s="164"/>
      <c r="D18" s="164"/>
      <c r="E18" s="221"/>
      <c r="F18" s="164"/>
      <c r="G18" s="164"/>
      <c r="H18" s="164"/>
      <c r="I18" s="221"/>
      <c r="J18" s="164"/>
      <c r="K18" s="164"/>
      <c r="L18" s="164"/>
      <c r="M18" s="221"/>
      <c r="N18" s="164"/>
      <c r="O18" s="164"/>
      <c r="P18" s="164"/>
      <c r="Q18" s="221"/>
      <c r="R18" s="209">
        <f t="shared" si="0"/>
        <v>0</v>
      </c>
      <c r="S18" s="171">
        <f t="shared" si="2"/>
        <v>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1"/>
        <v>0</v>
      </c>
      <c r="AY18" s="171">
        <f t="shared" si="3"/>
        <v>0</v>
      </c>
      <c r="AZ18" s="166"/>
      <c r="BA18" s="166"/>
      <c r="BB18" s="166"/>
      <c r="BC18" s="166"/>
      <c r="BD18" s="166"/>
      <c r="BE18" s="166"/>
      <c r="BF18" s="166"/>
      <c r="BG18" s="166"/>
      <c r="BH18" s="166"/>
      <c r="BI18" s="166"/>
      <c r="BJ18" s="166"/>
      <c r="BK18" s="166"/>
    </row>
    <row r="19" spans="1:63" ht="15">
      <c r="A19" s="164" t="s">
        <v>100</v>
      </c>
      <c r="B19" s="164"/>
      <c r="C19" s="164"/>
      <c r="D19" s="164"/>
      <c r="E19" s="221"/>
      <c r="F19" s="164"/>
      <c r="G19" s="164"/>
      <c r="H19" s="164"/>
      <c r="I19" s="221"/>
      <c r="J19" s="164"/>
      <c r="K19" s="164"/>
      <c r="L19" s="164"/>
      <c r="M19" s="221"/>
      <c r="N19" s="164"/>
      <c r="O19" s="164"/>
      <c r="P19" s="164"/>
      <c r="Q19" s="221"/>
      <c r="R19" s="209">
        <f t="shared" si="0"/>
        <v>0</v>
      </c>
      <c r="S19" s="171">
        <f t="shared" si="2"/>
        <v>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1"/>
        <v>0</v>
      </c>
      <c r="AY19" s="171">
        <f t="shared" si="3"/>
        <v>0</v>
      </c>
      <c r="AZ19" s="166"/>
      <c r="BA19" s="208"/>
      <c r="BB19" s="166"/>
      <c r="BC19" s="166"/>
      <c r="BD19" s="166"/>
      <c r="BE19" s="166"/>
      <c r="BF19" s="166"/>
      <c r="BG19" s="166"/>
      <c r="BH19" s="166"/>
      <c r="BI19" s="164"/>
      <c r="BJ19" s="164"/>
      <c r="BK19" s="164"/>
    </row>
    <row r="20" spans="1:63" ht="15">
      <c r="A20" s="164" t="s">
        <v>101</v>
      </c>
      <c r="B20" s="164"/>
      <c r="C20" s="164"/>
      <c r="D20" s="164"/>
      <c r="E20" s="221"/>
      <c r="F20" s="164"/>
      <c r="G20" s="164"/>
      <c r="H20" s="164"/>
      <c r="I20" s="221"/>
      <c r="J20" s="164"/>
      <c r="K20" s="164"/>
      <c r="L20" s="164"/>
      <c r="M20" s="221"/>
      <c r="N20" s="164"/>
      <c r="O20" s="164"/>
      <c r="P20" s="164"/>
      <c r="Q20" s="221"/>
      <c r="R20" s="209">
        <f t="shared" si="0"/>
        <v>0</v>
      </c>
      <c r="S20" s="171">
        <f t="shared" si="2"/>
        <v>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1"/>
        <v>0</v>
      </c>
      <c r="AY20" s="171">
        <f t="shared" si="3"/>
        <v>0</v>
      </c>
      <c r="AZ20" s="166"/>
      <c r="BA20" s="208"/>
      <c r="BB20" s="166"/>
      <c r="BC20" s="166"/>
      <c r="BD20" s="166"/>
      <c r="BE20" s="166"/>
      <c r="BF20" s="166"/>
      <c r="BG20" s="166"/>
      <c r="BH20" s="166"/>
      <c r="BI20" s="164"/>
      <c r="BJ20" s="164"/>
      <c r="BK20" s="164"/>
    </row>
    <row r="21" spans="1:63" ht="15">
      <c r="A21" s="164" t="s">
        <v>102</v>
      </c>
      <c r="B21" s="164"/>
      <c r="C21" s="164"/>
      <c r="D21" s="164"/>
      <c r="E21" s="221"/>
      <c r="F21" s="164"/>
      <c r="G21" s="164"/>
      <c r="H21" s="164"/>
      <c r="I21" s="221"/>
      <c r="J21" s="164"/>
      <c r="K21" s="164"/>
      <c r="L21" s="164"/>
      <c r="M21" s="221"/>
      <c r="N21" s="164"/>
      <c r="O21" s="164"/>
      <c r="P21" s="164"/>
      <c r="Q21" s="221"/>
      <c r="R21" s="209">
        <f t="shared" si="0"/>
        <v>0</v>
      </c>
      <c r="S21" s="171">
        <f t="shared" si="2"/>
        <v>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1"/>
        <v>0</v>
      </c>
      <c r="AY21" s="171">
        <f t="shared" si="3"/>
        <v>0</v>
      </c>
      <c r="AZ21" s="166"/>
      <c r="BA21" s="208"/>
      <c r="BB21" s="166"/>
      <c r="BC21" s="166"/>
      <c r="BD21" s="166"/>
      <c r="BE21" s="166"/>
      <c r="BF21" s="166"/>
      <c r="BG21" s="166"/>
      <c r="BH21" s="166"/>
      <c r="BI21" s="164"/>
      <c r="BJ21" s="164"/>
      <c r="BK21" s="164"/>
    </row>
    <row r="22" spans="1:63" ht="15">
      <c r="A22" s="164" t="s">
        <v>103</v>
      </c>
      <c r="B22" s="164"/>
      <c r="C22" s="164"/>
      <c r="D22" s="164"/>
      <c r="E22" s="221"/>
      <c r="F22" s="164"/>
      <c r="G22" s="164"/>
      <c r="H22" s="164"/>
      <c r="I22" s="221"/>
      <c r="J22" s="164"/>
      <c r="K22" s="164"/>
      <c r="L22" s="164"/>
      <c r="M22" s="221"/>
      <c r="N22" s="164"/>
      <c r="O22" s="164"/>
      <c r="P22" s="164"/>
      <c r="Q22" s="221"/>
      <c r="R22" s="209">
        <f t="shared" si="0"/>
        <v>0</v>
      </c>
      <c r="S22" s="171">
        <f t="shared" si="2"/>
        <v>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1"/>
        <v>0</v>
      </c>
      <c r="AY22" s="171">
        <f t="shared" si="3"/>
        <v>0</v>
      </c>
      <c r="AZ22" s="166"/>
      <c r="BA22" s="166"/>
      <c r="BB22" s="166"/>
      <c r="BC22" s="166"/>
      <c r="BD22" s="166"/>
      <c r="BE22" s="166"/>
      <c r="BF22" s="166"/>
      <c r="BG22" s="166"/>
      <c r="BH22" s="166"/>
      <c r="BI22" s="166"/>
      <c r="BJ22" s="166"/>
      <c r="BK22" s="166"/>
    </row>
    <row r="23" spans="1:63" ht="15">
      <c r="A23" s="164" t="s">
        <v>104</v>
      </c>
      <c r="B23" s="164"/>
      <c r="C23" s="164"/>
      <c r="D23" s="164"/>
      <c r="E23" s="221"/>
      <c r="F23" s="164"/>
      <c r="G23" s="164"/>
      <c r="H23" s="164"/>
      <c r="I23" s="221"/>
      <c r="J23" s="164"/>
      <c r="K23" s="164"/>
      <c r="L23" s="164"/>
      <c r="M23" s="221"/>
      <c r="N23" s="164"/>
      <c r="O23" s="164"/>
      <c r="P23" s="164"/>
      <c r="Q23" s="221"/>
      <c r="R23" s="209">
        <f t="shared" si="0"/>
        <v>0</v>
      </c>
      <c r="S23" s="171">
        <f t="shared" si="2"/>
        <v>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1"/>
        <v>0</v>
      </c>
      <c r="AY23" s="171">
        <f t="shared" si="3"/>
        <v>0</v>
      </c>
      <c r="AZ23" s="166"/>
      <c r="BA23" s="166"/>
      <c r="BB23" s="166"/>
      <c r="BC23" s="166"/>
      <c r="BD23" s="166"/>
      <c r="BE23" s="166"/>
      <c r="BF23" s="166"/>
      <c r="BG23" s="166"/>
      <c r="BH23" s="166"/>
      <c r="BI23" s="166"/>
      <c r="BJ23" s="166"/>
      <c r="BK23" s="166"/>
    </row>
    <row r="24" spans="1:63" ht="15">
      <c r="A24" s="164" t="s">
        <v>105</v>
      </c>
      <c r="B24" s="164"/>
      <c r="C24" s="164"/>
      <c r="D24" s="164"/>
      <c r="E24" s="221"/>
      <c r="F24" s="164"/>
      <c r="G24" s="164"/>
      <c r="H24" s="164"/>
      <c r="I24" s="221"/>
      <c r="J24" s="164"/>
      <c r="K24" s="164"/>
      <c r="L24" s="164"/>
      <c r="M24" s="221"/>
      <c r="N24" s="164"/>
      <c r="O24" s="164"/>
      <c r="P24" s="164"/>
      <c r="Q24" s="221"/>
      <c r="R24" s="209">
        <f t="shared" si="0"/>
        <v>0</v>
      </c>
      <c r="S24" s="171">
        <f t="shared" si="2"/>
        <v>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1"/>
        <v>0</v>
      </c>
      <c r="AY24" s="171">
        <f t="shared" si="3"/>
        <v>0</v>
      </c>
      <c r="AZ24" s="166"/>
      <c r="BA24" s="166"/>
      <c r="BB24" s="166"/>
      <c r="BC24" s="166"/>
      <c r="BD24" s="166"/>
      <c r="BE24" s="166"/>
      <c r="BF24" s="166"/>
      <c r="BG24" s="166"/>
      <c r="BH24" s="166"/>
      <c r="BI24" s="166"/>
      <c r="BJ24" s="166"/>
      <c r="BK24" s="166"/>
    </row>
    <row r="25" spans="1:63" ht="15">
      <c r="A25" s="164" t="s">
        <v>106</v>
      </c>
      <c r="B25" s="164"/>
      <c r="C25" s="164"/>
      <c r="D25" s="164"/>
      <c r="E25" s="221"/>
      <c r="F25" s="164"/>
      <c r="G25" s="164"/>
      <c r="H25" s="164"/>
      <c r="I25" s="221"/>
      <c r="J25" s="164"/>
      <c r="K25" s="164"/>
      <c r="L25" s="164"/>
      <c r="M25" s="221"/>
      <c r="N25" s="164"/>
      <c r="O25" s="164"/>
      <c r="P25" s="164"/>
      <c r="Q25" s="221"/>
      <c r="R25" s="209">
        <f t="shared" si="0"/>
        <v>0</v>
      </c>
      <c r="S25" s="171">
        <f t="shared" si="2"/>
        <v>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1"/>
        <v>0</v>
      </c>
      <c r="AY25" s="171">
        <f t="shared" si="3"/>
        <v>0</v>
      </c>
      <c r="AZ25" s="166"/>
      <c r="BA25" s="166"/>
      <c r="BB25" s="166"/>
      <c r="BC25" s="166"/>
      <c r="BD25" s="166"/>
      <c r="BE25" s="166"/>
      <c r="BF25" s="166"/>
      <c r="BG25" s="166"/>
      <c r="BH25" s="166"/>
      <c r="BI25" s="166"/>
      <c r="BJ25" s="166"/>
      <c r="BK25" s="166"/>
    </row>
    <row r="26" spans="1:63" ht="15">
      <c r="A26" s="164" t="s">
        <v>107</v>
      </c>
      <c r="B26" s="164"/>
      <c r="C26" s="164"/>
      <c r="D26" s="164"/>
      <c r="E26" s="221"/>
      <c r="F26" s="164"/>
      <c r="G26" s="164"/>
      <c r="H26" s="164"/>
      <c r="I26" s="221"/>
      <c r="J26" s="164"/>
      <c r="K26" s="164"/>
      <c r="L26" s="164"/>
      <c r="M26" s="221"/>
      <c r="N26" s="164"/>
      <c r="O26" s="164"/>
      <c r="P26" s="164"/>
      <c r="Q26" s="221"/>
      <c r="R26" s="209">
        <f t="shared" si="0"/>
        <v>0</v>
      </c>
      <c r="S26" s="171">
        <f t="shared" si="2"/>
        <v>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1"/>
        <v>0</v>
      </c>
      <c r="AY26" s="171">
        <f t="shared" si="3"/>
        <v>0</v>
      </c>
      <c r="AZ26" s="166"/>
      <c r="BA26" s="166"/>
      <c r="BB26" s="166"/>
      <c r="BC26" s="166"/>
      <c r="BD26" s="166"/>
      <c r="BE26" s="166"/>
      <c r="BF26" s="166"/>
      <c r="BG26" s="166"/>
      <c r="BH26" s="166"/>
      <c r="BI26" s="166"/>
      <c r="BJ26" s="166"/>
      <c r="BK26" s="166"/>
    </row>
    <row r="27" spans="1:63" ht="15">
      <c r="A27" s="164" t="s">
        <v>108</v>
      </c>
      <c r="B27" s="164"/>
      <c r="C27" s="164"/>
      <c r="D27" s="164"/>
      <c r="E27" s="221"/>
      <c r="F27" s="164"/>
      <c r="G27" s="164"/>
      <c r="H27" s="164"/>
      <c r="I27" s="221"/>
      <c r="J27" s="164"/>
      <c r="K27" s="164"/>
      <c r="L27" s="164"/>
      <c r="M27" s="221"/>
      <c r="N27" s="164"/>
      <c r="O27" s="164"/>
      <c r="P27" s="164"/>
      <c r="Q27" s="221"/>
      <c r="R27" s="209">
        <f t="shared" si="0"/>
        <v>0</v>
      </c>
      <c r="S27" s="171">
        <f t="shared" si="2"/>
        <v>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1"/>
        <v>0</v>
      </c>
      <c r="AY27" s="171">
        <f t="shared" si="3"/>
        <v>0</v>
      </c>
      <c r="AZ27" s="166"/>
      <c r="BA27" s="166"/>
      <c r="BB27" s="166"/>
      <c r="BC27" s="166"/>
      <c r="BD27" s="166"/>
      <c r="BE27" s="166"/>
      <c r="BF27" s="166"/>
      <c r="BG27" s="166"/>
      <c r="BH27" s="166"/>
      <c r="BI27" s="166"/>
      <c r="BJ27" s="166"/>
      <c r="BK27" s="166"/>
    </row>
    <row r="28" spans="1:63" ht="15">
      <c r="A28" s="164" t="s">
        <v>109</v>
      </c>
      <c r="B28" s="164"/>
      <c r="C28" s="164"/>
      <c r="D28" s="164"/>
      <c r="E28" s="221"/>
      <c r="F28" s="164"/>
      <c r="G28" s="164"/>
      <c r="H28" s="164"/>
      <c r="I28" s="221"/>
      <c r="J28" s="164"/>
      <c r="K28" s="164"/>
      <c r="L28" s="164"/>
      <c r="M28" s="221"/>
      <c r="N28" s="164"/>
      <c r="O28" s="164"/>
      <c r="P28" s="164"/>
      <c r="Q28" s="221"/>
      <c r="R28" s="209">
        <f t="shared" si="0"/>
        <v>0</v>
      </c>
      <c r="S28" s="171">
        <f t="shared" si="2"/>
        <v>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1"/>
        <v>0</v>
      </c>
      <c r="AY28" s="171">
        <f t="shared" si="3"/>
        <v>0</v>
      </c>
      <c r="AZ28" s="166"/>
      <c r="BA28" s="166"/>
      <c r="BB28" s="166"/>
      <c r="BC28" s="166"/>
      <c r="BD28" s="166"/>
      <c r="BE28" s="166"/>
      <c r="BF28" s="166"/>
      <c r="BG28" s="166"/>
      <c r="BH28" s="166"/>
      <c r="BI28" s="166"/>
      <c r="BJ28" s="166"/>
      <c r="BK28" s="166"/>
    </row>
    <row r="29" spans="1:63" ht="15">
      <c r="A29" s="164" t="s">
        <v>110</v>
      </c>
      <c r="B29" s="164"/>
      <c r="C29" s="164"/>
      <c r="D29" s="164"/>
      <c r="E29" s="221"/>
      <c r="F29" s="164"/>
      <c r="G29" s="164"/>
      <c r="H29" s="164"/>
      <c r="I29" s="221"/>
      <c r="J29" s="164"/>
      <c r="K29" s="164"/>
      <c r="L29" s="164"/>
      <c r="M29" s="221"/>
      <c r="N29" s="164"/>
      <c r="O29" s="164"/>
      <c r="P29" s="164"/>
      <c r="Q29" s="221"/>
      <c r="R29" s="209">
        <f t="shared" si="0"/>
        <v>0</v>
      </c>
      <c r="S29" s="171">
        <f t="shared" si="2"/>
        <v>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1"/>
        <v>0</v>
      </c>
      <c r="AY29" s="171">
        <f t="shared" si="3"/>
        <v>0</v>
      </c>
      <c r="AZ29" s="166"/>
      <c r="BA29" s="166"/>
      <c r="BB29" s="166"/>
      <c r="BC29" s="166"/>
      <c r="BD29" s="166"/>
      <c r="BE29" s="166"/>
      <c r="BF29" s="166"/>
      <c r="BG29" s="166"/>
      <c r="BH29" s="166"/>
      <c r="BI29" s="166"/>
      <c r="BJ29" s="166"/>
      <c r="BK29" s="166"/>
    </row>
    <row r="30" spans="1:63" ht="15">
      <c r="A30" s="164" t="s">
        <v>111</v>
      </c>
      <c r="B30" s="164"/>
      <c r="C30" s="164"/>
      <c r="D30" s="164"/>
      <c r="E30" s="221"/>
      <c r="F30" s="164"/>
      <c r="G30" s="164"/>
      <c r="H30" s="164"/>
      <c r="I30" s="221"/>
      <c r="J30" s="164"/>
      <c r="K30" s="164"/>
      <c r="L30" s="164"/>
      <c r="M30" s="221"/>
      <c r="N30" s="164"/>
      <c r="O30" s="164"/>
      <c r="P30" s="164"/>
      <c r="Q30" s="221"/>
      <c r="R30" s="209">
        <f t="shared" si="0"/>
        <v>0</v>
      </c>
      <c r="S30" s="171">
        <f t="shared" si="2"/>
        <v>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1"/>
        <v>0</v>
      </c>
      <c r="AY30" s="171">
        <f t="shared" si="3"/>
        <v>0</v>
      </c>
      <c r="AZ30" s="166"/>
      <c r="BA30" s="166"/>
      <c r="BB30" s="166"/>
      <c r="BC30" s="166"/>
      <c r="BD30" s="166"/>
      <c r="BE30" s="166"/>
      <c r="BF30" s="166"/>
      <c r="BG30" s="166"/>
      <c r="BH30" s="166"/>
      <c r="BI30" s="166"/>
      <c r="BJ30" s="166"/>
      <c r="BK30" s="166"/>
    </row>
    <row r="31" spans="1:63" ht="15">
      <c r="A31" s="164" t="s">
        <v>112</v>
      </c>
      <c r="B31" s="164"/>
      <c r="C31" s="164"/>
      <c r="D31" s="164"/>
      <c r="E31" s="221"/>
      <c r="F31" s="164"/>
      <c r="G31" s="164"/>
      <c r="H31" s="164"/>
      <c r="I31" s="221"/>
      <c r="J31" s="164"/>
      <c r="K31" s="164"/>
      <c r="L31" s="164"/>
      <c r="M31" s="221"/>
      <c r="N31" s="164"/>
      <c r="O31" s="164"/>
      <c r="P31" s="164"/>
      <c r="Q31" s="221"/>
      <c r="R31" s="209">
        <f t="shared" si="0"/>
        <v>0</v>
      </c>
      <c r="S31" s="171">
        <f t="shared" si="2"/>
        <v>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1"/>
        <v>0</v>
      </c>
      <c r="AY31" s="171">
        <f t="shared" si="3"/>
        <v>0</v>
      </c>
      <c r="AZ31" s="166"/>
      <c r="BA31" s="166"/>
      <c r="BB31" s="166"/>
      <c r="BC31" s="166"/>
      <c r="BD31" s="166"/>
      <c r="BE31" s="166"/>
      <c r="BF31" s="166"/>
      <c r="BG31" s="166"/>
      <c r="BH31" s="166"/>
      <c r="BI31" s="166"/>
      <c r="BJ31" s="166"/>
      <c r="BK31" s="166"/>
    </row>
    <row r="32" spans="1:63" ht="15">
      <c r="A32" s="168" t="s">
        <v>113</v>
      </c>
      <c r="B32" s="165">
        <f>SUM(B11:B31)</f>
        <v>0</v>
      </c>
      <c r="C32" s="165">
        <f aca="true" t="shared" si="4" ref="C32:AE32">SUM(C11:C31)</f>
        <v>0</v>
      </c>
      <c r="D32" s="165">
        <f t="shared" si="4"/>
        <v>0</v>
      </c>
      <c r="E32" s="222">
        <f>SUM(E11:E31)</f>
        <v>0</v>
      </c>
      <c r="F32" s="165">
        <f t="shared" si="4"/>
        <v>0</v>
      </c>
      <c r="G32" s="165">
        <f t="shared" si="4"/>
        <v>0</v>
      </c>
      <c r="H32" s="165">
        <f t="shared" si="4"/>
        <v>0</v>
      </c>
      <c r="I32" s="222">
        <f>SUM(I11:I31)</f>
        <v>0</v>
      </c>
      <c r="J32" s="165">
        <f t="shared" si="4"/>
        <v>0</v>
      </c>
      <c r="K32" s="165">
        <f t="shared" si="4"/>
        <v>0</v>
      </c>
      <c r="L32" s="165">
        <f t="shared" si="4"/>
        <v>0</v>
      </c>
      <c r="M32" s="222">
        <f>SUM(M11:M31)</f>
        <v>0</v>
      </c>
      <c r="N32" s="165">
        <f t="shared" si="4"/>
        <v>0</v>
      </c>
      <c r="O32" s="165">
        <f t="shared" si="4"/>
        <v>0</v>
      </c>
      <c r="P32" s="165">
        <f t="shared" si="4"/>
        <v>0</v>
      </c>
      <c r="Q32" s="222">
        <f>SUM(Q11:Q31)</f>
        <v>0</v>
      </c>
      <c r="R32" s="165">
        <f t="shared" si="4"/>
        <v>0</v>
      </c>
      <c r="S32" s="171">
        <f t="shared" si="4"/>
        <v>0</v>
      </c>
      <c r="T32" s="165">
        <f t="shared" si="4"/>
        <v>0</v>
      </c>
      <c r="U32" s="165">
        <f t="shared" si="4"/>
        <v>0</v>
      </c>
      <c r="V32" s="165">
        <f t="shared" si="4"/>
        <v>0</v>
      </c>
      <c r="W32" s="165">
        <f t="shared" si="4"/>
        <v>0</v>
      </c>
      <c r="X32" s="165">
        <f t="shared" si="4"/>
        <v>0</v>
      </c>
      <c r="Y32" s="165">
        <f t="shared" si="4"/>
        <v>0</v>
      </c>
      <c r="Z32" s="165">
        <f t="shared" si="4"/>
        <v>0</v>
      </c>
      <c r="AA32" s="165">
        <f t="shared" si="4"/>
        <v>0</v>
      </c>
      <c r="AB32" s="165">
        <f t="shared" si="4"/>
        <v>0</v>
      </c>
      <c r="AC32" s="165">
        <f t="shared" si="4"/>
        <v>0</v>
      </c>
      <c r="AD32" s="165">
        <f t="shared" si="4"/>
        <v>0</v>
      </c>
      <c r="AE32" s="165">
        <f t="shared" si="4"/>
        <v>0</v>
      </c>
      <c r="AG32" s="168" t="s">
        <v>113</v>
      </c>
      <c r="AH32" s="165">
        <f aca="true" t="shared" si="5" ref="AH32:AW32">SUM(AH11:AH31)</f>
        <v>0</v>
      </c>
      <c r="AI32" s="165">
        <f t="shared" si="5"/>
        <v>0</v>
      </c>
      <c r="AJ32" s="165">
        <f t="shared" si="5"/>
        <v>0</v>
      </c>
      <c r="AK32" s="222">
        <f t="shared" si="5"/>
        <v>0</v>
      </c>
      <c r="AL32" s="165">
        <f t="shared" si="5"/>
        <v>0</v>
      </c>
      <c r="AM32" s="165">
        <f t="shared" si="5"/>
        <v>0</v>
      </c>
      <c r="AN32" s="165">
        <f t="shared" si="5"/>
        <v>0</v>
      </c>
      <c r="AO32" s="222">
        <f t="shared" si="5"/>
        <v>0</v>
      </c>
      <c r="AP32" s="165">
        <f t="shared" si="5"/>
        <v>0</v>
      </c>
      <c r="AQ32" s="165">
        <f t="shared" si="5"/>
        <v>0</v>
      </c>
      <c r="AR32" s="165">
        <f t="shared" si="5"/>
        <v>0</v>
      </c>
      <c r="AS32" s="222">
        <f t="shared" si="5"/>
        <v>0</v>
      </c>
      <c r="AT32" s="165">
        <f t="shared" si="5"/>
        <v>0</v>
      </c>
      <c r="AU32" s="165">
        <f t="shared" si="5"/>
        <v>0</v>
      </c>
      <c r="AV32" s="165">
        <f t="shared" si="5"/>
        <v>0</v>
      </c>
      <c r="AW32" s="222">
        <f t="shared" si="5"/>
        <v>0</v>
      </c>
      <c r="AX32" s="210">
        <f aca="true" t="shared" si="6" ref="AX32:BK32">SUM(AX11:AX31)</f>
        <v>0</v>
      </c>
      <c r="AY32" s="172">
        <f t="shared" si="6"/>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0</v>
      </c>
      <c r="BJ32" s="165">
        <f t="shared" si="6"/>
        <v>0</v>
      </c>
      <c r="BK32" s="165">
        <f t="shared" si="6"/>
        <v>0</v>
      </c>
    </row>
    <row r="35" spans="1:63" ht="30" customHeight="1">
      <c r="A35" s="811" t="s">
        <v>90</v>
      </c>
      <c r="B35" s="213" t="s">
        <v>39</v>
      </c>
      <c r="C35" s="213" t="s">
        <v>40</v>
      </c>
      <c r="D35" s="813" t="s">
        <v>41</v>
      </c>
      <c r="E35" s="814"/>
      <c r="F35" s="213" t="s">
        <v>42</v>
      </c>
      <c r="G35" s="213" t="s">
        <v>43</v>
      </c>
      <c r="H35" s="813" t="s">
        <v>44</v>
      </c>
      <c r="I35" s="814"/>
      <c r="J35" s="213" t="s">
        <v>45</v>
      </c>
      <c r="K35" s="213" t="s">
        <v>46</v>
      </c>
      <c r="L35" s="813" t="s">
        <v>47</v>
      </c>
      <c r="M35" s="814"/>
      <c r="N35" s="213" t="s">
        <v>48</v>
      </c>
      <c r="O35" s="213" t="s">
        <v>49</v>
      </c>
      <c r="P35" s="813" t="s">
        <v>50</v>
      </c>
      <c r="Q35" s="814"/>
      <c r="R35" s="813" t="s">
        <v>91</v>
      </c>
      <c r="S35" s="814"/>
      <c r="T35" s="813" t="s">
        <v>289</v>
      </c>
      <c r="U35" s="816"/>
      <c r="V35" s="816"/>
      <c r="W35" s="816"/>
      <c r="X35" s="816"/>
      <c r="Y35" s="814"/>
      <c r="Z35" s="813" t="s">
        <v>288</v>
      </c>
      <c r="AA35" s="816"/>
      <c r="AB35" s="816"/>
      <c r="AC35" s="816"/>
      <c r="AD35" s="816"/>
      <c r="AE35" s="814"/>
      <c r="AG35" s="811" t="s">
        <v>90</v>
      </c>
      <c r="AH35" s="213" t="s">
        <v>39</v>
      </c>
      <c r="AI35" s="213" t="s">
        <v>40</v>
      </c>
      <c r="AJ35" s="813" t="s">
        <v>41</v>
      </c>
      <c r="AK35" s="814"/>
      <c r="AL35" s="213" t="s">
        <v>42</v>
      </c>
      <c r="AM35" s="213" t="s">
        <v>43</v>
      </c>
      <c r="AN35" s="813" t="s">
        <v>44</v>
      </c>
      <c r="AO35" s="814"/>
      <c r="AP35" s="213" t="s">
        <v>45</v>
      </c>
      <c r="AQ35" s="213" t="s">
        <v>46</v>
      </c>
      <c r="AR35" s="813" t="s">
        <v>47</v>
      </c>
      <c r="AS35" s="814"/>
      <c r="AT35" s="213" t="s">
        <v>48</v>
      </c>
      <c r="AU35" s="213" t="s">
        <v>49</v>
      </c>
      <c r="AV35" s="813" t="s">
        <v>50</v>
      </c>
      <c r="AW35" s="814"/>
      <c r="AX35" s="813" t="s">
        <v>91</v>
      </c>
      <c r="AY35" s="814"/>
      <c r="AZ35" s="813" t="s">
        <v>289</v>
      </c>
      <c r="BA35" s="816"/>
      <c r="BB35" s="816"/>
      <c r="BC35" s="816"/>
      <c r="BD35" s="816"/>
      <c r="BE35" s="814"/>
      <c r="BF35" s="813" t="s">
        <v>288</v>
      </c>
      <c r="BG35" s="816"/>
      <c r="BH35" s="816"/>
      <c r="BI35" s="816"/>
      <c r="BJ35" s="816"/>
      <c r="BK35" s="814"/>
    </row>
    <row r="36" spans="1:63" ht="36" customHeight="1">
      <c r="A36" s="812"/>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812"/>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7"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8"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7"/>
        <v>0</v>
      </c>
      <c r="S38" s="171">
        <f aca="true" t="shared" si="9"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8"/>
        <v>0</v>
      </c>
      <c r="AY38" s="171">
        <f aca="true" t="shared" si="10"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7"/>
        <v>0</v>
      </c>
      <c r="S39" s="171">
        <f t="shared" si="9"/>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8"/>
        <v>0</v>
      </c>
      <c r="AY39" s="171">
        <f t="shared" si="10"/>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7"/>
        <v>0</v>
      </c>
      <c r="S40" s="171">
        <f t="shared" si="9"/>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8"/>
        <v>0</v>
      </c>
      <c r="AY40" s="171">
        <f t="shared" si="10"/>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7"/>
        <v>0</v>
      </c>
      <c r="S41" s="171">
        <f t="shared" si="9"/>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8"/>
        <v>0</v>
      </c>
      <c r="AY41" s="171">
        <f t="shared" si="10"/>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7"/>
        <v>0</v>
      </c>
      <c r="S42" s="171">
        <f t="shared" si="9"/>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8"/>
        <v>0</v>
      </c>
      <c r="AY42" s="171">
        <f t="shared" si="10"/>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7"/>
        <v>0</v>
      </c>
      <c r="S43" s="171">
        <f t="shared" si="9"/>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8"/>
        <v>0</v>
      </c>
      <c r="AY43" s="171">
        <f t="shared" si="10"/>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7"/>
        <v>0</v>
      </c>
      <c r="S44" s="171">
        <f t="shared" si="9"/>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8"/>
        <v>0</v>
      </c>
      <c r="AY44" s="171">
        <f t="shared" si="10"/>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7"/>
        <v>0</v>
      </c>
      <c r="S45" s="171">
        <f t="shared" si="9"/>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8"/>
        <v>0</v>
      </c>
      <c r="AY45" s="171">
        <f t="shared" si="10"/>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7"/>
        <v>0</v>
      </c>
      <c r="S46" s="171">
        <f t="shared" si="9"/>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8"/>
        <v>0</v>
      </c>
      <c r="AY46" s="171">
        <f t="shared" si="10"/>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7"/>
        <v>0</v>
      </c>
      <c r="S47" s="171">
        <f t="shared" si="9"/>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8"/>
        <v>0</v>
      </c>
      <c r="AY47" s="171">
        <f t="shared" si="10"/>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7"/>
        <v>0</v>
      </c>
      <c r="S48" s="171">
        <f t="shared" si="9"/>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8"/>
        <v>0</v>
      </c>
      <c r="AY48" s="171">
        <f t="shared" si="10"/>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7"/>
        <v>0</v>
      </c>
      <c r="S49" s="171">
        <f t="shared" si="9"/>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8"/>
        <v>0</v>
      </c>
      <c r="AY49" s="171">
        <f t="shared" si="10"/>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7"/>
        <v>0</v>
      </c>
      <c r="S50" s="171">
        <f t="shared" si="9"/>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8"/>
        <v>0</v>
      </c>
      <c r="AY50" s="171">
        <f t="shared" si="10"/>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7"/>
        <v>0</v>
      </c>
      <c r="S51" s="171">
        <f t="shared" si="9"/>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8"/>
        <v>0</v>
      </c>
      <c r="AY51" s="171">
        <f t="shared" si="10"/>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7"/>
        <v>0</v>
      </c>
      <c r="S52" s="171">
        <f t="shared" si="9"/>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8"/>
        <v>0</v>
      </c>
      <c r="AY52" s="171">
        <f t="shared" si="10"/>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7"/>
        <v>0</v>
      </c>
      <c r="S53" s="171">
        <f t="shared" si="9"/>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8"/>
        <v>0</v>
      </c>
      <c r="AY53" s="171">
        <f t="shared" si="10"/>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7"/>
        <v>0</v>
      </c>
      <c r="S54" s="171">
        <f t="shared" si="9"/>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8"/>
        <v>0</v>
      </c>
      <c r="AY54" s="171">
        <f t="shared" si="10"/>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7"/>
        <v>0</v>
      </c>
      <c r="S55" s="171">
        <f t="shared" si="9"/>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8"/>
        <v>0</v>
      </c>
      <c r="AY55" s="171">
        <f t="shared" si="10"/>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7"/>
        <v>0</v>
      </c>
      <c r="S56" s="171">
        <f t="shared" si="9"/>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8"/>
        <v>0</v>
      </c>
      <c r="AY56" s="171">
        <f t="shared" si="10"/>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7"/>
        <v>0</v>
      </c>
      <c r="S57" s="171">
        <f t="shared" si="9"/>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8"/>
        <v>0</v>
      </c>
      <c r="AY57" s="171">
        <f t="shared" si="10"/>
        <v>0</v>
      </c>
      <c r="AZ57" s="166"/>
      <c r="BA57" s="166"/>
      <c r="BB57" s="166"/>
      <c r="BC57" s="166"/>
      <c r="BD57" s="166"/>
      <c r="BE57" s="166"/>
      <c r="BF57" s="166"/>
      <c r="BG57" s="166"/>
      <c r="BH57" s="166"/>
      <c r="BI57" s="166"/>
      <c r="BJ57" s="166"/>
      <c r="BK57" s="166"/>
    </row>
    <row r="58" spans="1:63" ht="15">
      <c r="A58" s="168" t="s">
        <v>113</v>
      </c>
      <c r="B58" s="165">
        <f aca="true" t="shared" si="11" ref="B58:Q58">SUM(B37:B57)</f>
        <v>0</v>
      </c>
      <c r="C58" s="165">
        <f t="shared" si="11"/>
        <v>0</v>
      </c>
      <c r="D58" s="165">
        <f t="shared" si="11"/>
        <v>0</v>
      </c>
      <c r="E58" s="222">
        <f t="shared" si="11"/>
        <v>0</v>
      </c>
      <c r="F58" s="165">
        <f t="shared" si="11"/>
        <v>0</v>
      </c>
      <c r="G58" s="165">
        <f t="shared" si="11"/>
        <v>0</v>
      </c>
      <c r="H58" s="165">
        <f t="shared" si="11"/>
        <v>0</v>
      </c>
      <c r="I58" s="222">
        <f t="shared" si="11"/>
        <v>0</v>
      </c>
      <c r="J58" s="165">
        <f t="shared" si="11"/>
        <v>0</v>
      </c>
      <c r="K58" s="165">
        <f t="shared" si="11"/>
        <v>0</v>
      </c>
      <c r="L58" s="165">
        <f t="shared" si="11"/>
        <v>0</v>
      </c>
      <c r="M58" s="222">
        <f t="shared" si="11"/>
        <v>0</v>
      </c>
      <c r="N58" s="165">
        <f t="shared" si="11"/>
        <v>0</v>
      </c>
      <c r="O58" s="165">
        <f t="shared" si="11"/>
        <v>0</v>
      </c>
      <c r="P58" s="165">
        <f t="shared" si="11"/>
        <v>0</v>
      </c>
      <c r="Q58" s="222">
        <f t="shared" si="11"/>
        <v>0</v>
      </c>
      <c r="R58" s="165">
        <f aca="true" t="shared" si="12" ref="R58:AE58">SUM(R37:R57)</f>
        <v>0</v>
      </c>
      <c r="S58" s="171">
        <f t="shared" si="12"/>
        <v>0</v>
      </c>
      <c r="T58" s="165">
        <f t="shared" si="12"/>
        <v>0</v>
      </c>
      <c r="U58" s="165">
        <f t="shared" si="12"/>
        <v>0</v>
      </c>
      <c r="V58" s="165">
        <f t="shared" si="12"/>
        <v>0</v>
      </c>
      <c r="W58" s="165">
        <f t="shared" si="12"/>
        <v>0</v>
      </c>
      <c r="X58" s="165">
        <f t="shared" si="12"/>
        <v>0</v>
      </c>
      <c r="Y58" s="165">
        <f t="shared" si="12"/>
        <v>0</v>
      </c>
      <c r="Z58" s="165">
        <f t="shared" si="12"/>
        <v>0</v>
      </c>
      <c r="AA58" s="165">
        <f t="shared" si="12"/>
        <v>0</v>
      </c>
      <c r="AB58" s="165">
        <f t="shared" si="12"/>
        <v>0</v>
      </c>
      <c r="AC58" s="165">
        <f t="shared" si="12"/>
        <v>0</v>
      </c>
      <c r="AD58" s="165">
        <f t="shared" si="12"/>
        <v>0</v>
      </c>
      <c r="AE58" s="165">
        <f t="shared" si="12"/>
        <v>0</v>
      </c>
      <c r="AG58" s="168" t="s">
        <v>113</v>
      </c>
      <c r="AH58" s="165">
        <f aca="true" t="shared" si="13" ref="AH58:AW58">SUM(AH37:AH57)</f>
        <v>0</v>
      </c>
      <c r="AI58" s="165">
        <f t="shared" si="13"/>
        <v>0</v>
      </c>
      <c r="AJ58" s="165">
        <f t="shared" si="13"/>
        <v>0</v>
      </c>
      <c r="AK58" s="222">
        <f t="shared" si="13"/>
        <v>0</v>
      </c>
      <c r="AL58" s="165">
        <f t="shared" si="13"/>
        <v>0</v>
      </c>
      <c r="AM58" s="165">
        <f t="shared" si="13"/>
        <v>0</v>
      </c>
      <c r="AN58" s="165">
        <f t="shared" si="13"/>
        <v>0</v>
      </c>
      <c r="AO58" s="222">
        <f t="shared" si="13"/>
        <v>0</v>
      </c>
      <c r="AP58" s="165">
        <f t="shared" si="13"/>
        <v>0</v>
      </c>
      <c r="AQ58" s="165">
        <f t="shared" si="13"/>
        <v>0</v>
      </c>
      <c r="AR58" s="165">
        <f t="shared" si="13"/>
        <v>0</v>
      </c>
      <c r="AS58" s="222">
        <f t="shared" si="13"/>
        <v>0</v>
      </c>
      <c r="AT58" s="165">
        <f t="shared" si="13"/>
        <v>0</v>
      </c>
      <c r="AU58" s="165">
        <f t="shared" si="13"/>
        <v>0</v>
      </c>
      <c r="AV58" s="165">
        <f t="shared" si="13"/>
        <v>0</v>
      </c>
      <c r="AW58" s="222">
        <f t="shared" si="13"/>
        <v>0</v>
      </c>
      <c r="AX58" s="210">
        <f aca="true" t="shared" si="14" ref="AX58:BK58">SUM(AX37:AX57)</f>
        <v>0</v>
      </c>
      <c r="AY58" s="172">
        <f t="shared" si="14"/>
        <v>0</v>
      </c>
      <c r="AZ58" s="165">
        <f t="shared" si="14"/>
        <v>0</v>
      </c>
      <c r="BA58" s="165">
        <f t="shared" si="14"/>
        <v>0</v>
      </c>
      <c r="BB58" s="165">
        <f t="shared" si="14"/>
        <v>0</v>
      </c>
      <c r="BC58" s="165">
        <f t="shared" si="14"/>
        <v>0</v>
      </c>
      <c r="BD58" s="165">
        <f t="shared" si="14"/>
        <v>0</v>
      </c>
      <c r="BE58" s="165">
        <f t="shared" si="14"/>
        <v>0</v>
      </c>
      <c r="BF58" s="165">
        <f t="shared" si="14"/>
        <v>0</v>
      </c>
      <c r="BG58" s="165">
        <f t="shared" si="14"/>
        <v>0</v>
      </c>
      <c r="BH58" s="165">
        <f t="shared" si="14"/>
        <v>0</v>
      </c>
      <c r="BI58" s="165">
        <f t="shared" si="14"/>
        <v>0</v>
      </c>
      <c r="BJ58" s="165">
        <f t="shared" si="14"/>
        <v>0</v>
      </c>
      <c r="BK58" s="165">
        <f t="shared" si="14"/>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5.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C17" sqref="C17:Q17"/>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819" t="s">
        <v>195</v>
      </c>
      <c r="B1" s="820"/>
    </row>
    <row r="2" spans="1:2" ht="25.5" customHeight="1">
      <c r="A2" s="821" t="s">
        <v>400</v>
      </c>
      <c r="B2" s="822"/>
    </row>
    <row r="3" spans="1:2" ht="15">
      <c r="A3" s="218" t="s">
        <v>324</v>
      </c>
      <c r="B3" s="147" t="s">
        <v>325</v>
      </c>
    </row>
    <row r="4" spans="1:2" ht="15">
      <c r="A4" s="219" t="s">
        <v>71</v>
      </c>
      <c r="B4" s="155" t="s">
        <v>357</v>
      </c>
    </row>
    <row r="5" spans="1:2" ht="105">
      <c r="A5" s="219" t="s">
        <v>67</v>
      </c>
      <c r="B5" s="223" t="s">
        <v>422</v>
      </c>
    </row>
    <row r="6" spans="1:2" s="146" customFormat="1" ht="15">
      <c r="A6" s="219" t="s">
        <v>0</v>
      </c>
      <c r="B6" s="823" t="s">
        <v>352</v>
      </c>
    </row>
    <row r="7" spans="1:2" s="146" customFormat="1" ht="15">
      <c r="A7" s="219" t="s">
        <v>77</v>
      </c>
      <c r="B7" s="824"/>
    </row>
    <row r="8" spans="1:2" s="146" customFormat="1" ht="15">
      <c r="A8" s="219" t="s">
        <v>73</v>
      </c>
      <c r="B8" s="824"/>
    </row>
    <row r="9" spans="1:2" s="146" customFormat="1" ht="15">
      <c r="A9" s="219" t="s">
        <v>333</v>
      </c>
      <c r="B9" s="825"/>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821" t="s">
        <v>401</v>
      </c>
      <c r="B17" s="822"/>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411</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45">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412</v>
      </c>
      <c r="B36" s="153" t="s">
        <v>414</v>
      </c>
    </row>
    <row r="37" spans="1:2" ht="15">
      <c r="A37" s="219" t="s">
        <v>409</v>
      </c>
      <c r="B37" s="153" t="s">
        <v>416</v>
      </c>
    </row>
    <row r="38" spans="1:2" ht="30">
      <c r="A38" s="219" t="s">
        <v>415</v>
      </c>
      <c r="B38" s="153" t="s">
        <v>417</v>
      </c>
    </row>
    <row r="39" spans="1:2" ht="45">
      <c r="A39" s="219" t="s">
        <v>328</v>
      </c>
      <c r="B39" s="153" t="s">
        <v>347</v>
      </c>
    </row>
    <row r="40" spans="1:2" ht="28.5">
      <c r="A40" s="220" t="s">
        <v>299</v>
      </c>
      <c r="B40" s="153" t="s">
        <v>348</v>
      </c>
    </row>
    <row r="41" spans="1:2" ht="25.5" customHeight="1">
      <c r="A41" s="821" t="s">
        <v>350</v>
      </c>
      <c r="B41" s="822"/>
    </row>
    <row r="42" spans="1:2" ht="15">
      <c r="A42" s="819" t="s">
        <v>351</v>
      </c>
      <c r="B42" s="820"/>
    </row>
    <row r="43" spans="1:2" ht="72" customHeight="1">
      <c r="A43" s="817" t="s">
        <v>397</v>
      </c>
      <c r="B43" s="818"/>
    </row>
    <row r="44" spans="1:2" ht="30">
      <c r="A44" s="219" t="s">
        <v>364</v>
      </c>
      <c r="B44" s="153" t="s">
        <v>419</v>
      </c>
    </row>
    <row r="45" spans="1:2" ht="45">
      <c r="A45" s="220" t="s">
        <v>421</v>
      </c>
      <c r="B45" s="153" t="s">
        <v>420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826" t="s">
        <v>222</v>
      </c>
      <c r="E27" s="134" t="s">
        <v>223</v>
      </c>
    </row>
    <row r="28" spans="4:5" ht="15">
      <c r="D28" s="827"/>
      <c r="E28" s="134" t="s">
        <v>224</v>
      </c>
    </row>
    <row r="29" spans="4:5" ht="15">
      <c r="D29" s="827"/>
      <c r="E29" s="134" t="s">
        <v>225</v>
      </c>
    </row>
    <row r="30" spans="4:5" ht="15">
      <c r="D30" s="828"/>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7.xml><?xml version="1.0" encoding="utf-8"?>
<worksheet xmlns="http://schemas.openxmlformats.org/spreadsheetml/2006/main" xmlns:r="http://schemas.openxmlformats.org/officeDocument/2006/relationships">
  <sheetPr>
    <tabColor rgb="FF7030A0"/>
  </sheetPr>
  <dimension ref="A2:AE28"/>
  <sheetViews>
    <sheetView zoomScalePageLayoutView="0" workbookViewId="0" topLeftCell="H7">
      <selection activeCell="AD22" sqref="AD22"/>
    </sheetView>
  </sheetViews>
  <sheetFormatPr defaultColWidth="11.421875" defaultRowHeight="15"/>
  <cols>
    <col min="2" max="2" width="25.28125" style="0" customWidth="1"/>
    <col min="3" max="3" width="29.28125" style="387" bestFit="1" customWidth="1"/>
    <col min="4" max="5" width="19.140625" style="0" customWidth="1"/>
    <col min="6" max="7" width="15.421875" style="0" customWidth="1"/>
    <col min="8" max="10" width="17.421875" style="0" customWidth="1"/>
    <col min="11" max="11" width="15.421875" style="0" customWidth="1"/>
    <col min="12" max="13" width="15.57421875" style="0" customWidth="1"/>
    <col min="14" max="14" width="15.28125" style="0" bestFit="1" customWidth="1"/>
    <col min="15" max="15" width="13.00390625" style="0" bestFit="1" customWidth="1"/>
    <col min="16" max="27" width="11.421875" style="0" hidden="1" customWidth="1"/>
    <col min="28" max="28" width="15.57421875" style="0" bestFit="1" customWidth="1"/>
    <col min="29" max="29" width="16.7109375" style="0" bestFit="1" customWidth="1"/>
    <col min="30" max="30" width="16.28125" style="0" customWidth="1"/>
    <col min="31" max="31" width="13.00390625" style="0" bestFit="1" customWidth="1"/>
    <col min="33" max="33" width="14.00390625" style="0" bestFit="1" customWidth="1"/>
  </cols>
  <sheetData>
    <row r="2" spans="2:3" ht="15">
      <c r="B2" t="s">
        <v>750</v>
      </c>
      <c r="C2" s="388">
        <v>44927</v>
      </c>
    </row>
    <row r="4" spans="2:3" ht="15">
      <c r="B4" t="s">
        <v>751</v>
      </c>
      <c r="C4" s="387" t="s">
        <v>752</v>
      </c>
    </row>
    <row r="5" spans="2:6" ht="15">
      <c r="B5" t="s">
        <v>753</v>
      </c>
      <c r="C5" s="387">
        <v>78887973</v>
      </c>
      <c r="D5" s="389">
        <f>+C5/$C$9</f>
        <v>0.2651661426887374</v>
      </c>
      <c r="F5" s="387">
        <v>78887973</v>
      </c>
    </row>
    <row r="6" spans="2:6" ht="15">
      <c r="B6" t="s">
        <v>754</v>
      </c>
      <c r="C6" s="387">
        <v>148248728</v>
      </c>
      <c r="D6" s="389">
        <f>+C6/$C$9</f>
        <v>0.49830844762954957</v>
      </c>
      <c r="F6" s="387">
        <v>135888728</v>
      </c>
    </row>
    <row r="7" spans="2:6" ht="15">
      <c r="B7" t="s">
        <v>755</v>
      </c>
      <c r="C7" s="387">
        <v>49583934</v>
      </c>
      <c r="D7" s="389">
        <f>+C7/$C$9</f>
        <v>0.16666647675321736</v>
      </c>
      <c r="F7" s="387">
        <v>11205600</v>
      </c>
    </row>
    <row r="8" spans="2:6" ht="15">
      <c r="B8" t="s">
        <v>756</v>
      </c>
      <c r="C8" s="387">
        <v>20783308</v>
      </c>
      <c r="D8" s="389">
        <f>+C8/$C$9</f>
        <v>0.06985893292849567</v>
      </c>
      <c r="F8" s="387">
        <v>20760985</v>
      </c>
    </row>
    <row r="9" spans="2:3" ht="15">
      <c r="B9" t="s">
        <v>757</v>
      </c>
      <c r="C9" s="387">
        <v>297503943</v>
      </c>
    </row>
    <row r="11" spans="4:30" s="387" customFormat="1" ht="15">
      <c r="D11" s="830" t="s">
        <v>820</v>
      </c>
      <c r="E11" s="830"/>
      <c r="F11" s="830" t="s">
        <v>821</v>
      </c>
      <c r="G11" s="830"/>
      <c r="H11" s="830" t="s">
        <v>822</v>
      </c>
      <c r="I11" s="830"/>
      <c r="J11" s="830" t="s">
        <v>823</v>
      </c>
      <c r="K11" s="830"/>
      <c r="L11" s="830" t="s">
        <v>824</v>
      </c>
      <c r="M11" s="830"/>
      <c r="N11" s="830" t="s">
        <v>825</v>
      </c>
      <c r="O11" s="830"/>
      <c r="P11" s="830" t="s">
        <v>826</v>
      </c>
      <c r="Q11" s="830"/>
      <c r="R11" s="830" t="s">
        <v>827</v>
      </c>
      <c r="S11" s="830"/>
      <c r="T11" s="830" t="s">
        <v>828</v>
      </c>
      <c r="U11" s="830"/>
      <c r="V11" s="830" t="s">
        <v>829</v>
      </c>
      <c r="W11" s="830"/>
      <c r="X11" s="830" t="s">
        <v>830</v>
      </c>
      <c r="Y11" s="830"/>
      <c r="Z11" s="830" t="s">
        <v>831</v>
      </c>
      <c r="AA11" s="830"/>
      <c r="AB11" s="831" t="s">
        <v>63</v>
      </c>
      <c r="AC11" s="832"/>
      <c r="AD11" s="833"/>
    </row>
    <row r="12" spans="2:30" s="387" customFormat="1" ht="15">
      <c r="B12" s="427"/>
      <c r="C12" s="428" t="s">
        <v>832</v>
      </c>
      <c r="D12" s="428" t="s">
        <v>833</v>
      </c>
      <c r="E12" s="429" t="s">
        <v>381</v>
      </c>
      <c r="F12" s="428" t="s">
        <v>833</v>
      </c>
      <c r="G12" s="429" t="s">
        <v>381</v>
      </c>
      <c r="H12" s="428" t="s">
        <v>833</v>
      </c>
      <c r="I12" s="429" t="s">
        <v>381</v>
      </c>
      <c r="J12" s="428" t="s">
        <v>833</v>
      </c>
      <c r="K12" s="429" t="s">
        <v>381</v>
      </c>
      <c r="L12" s="428" t="s">
        <v>833</v>
      </c>
      <c r="M12" s="429" t="s">
        <v>381</v>
      </c>
      <c r="N12" s="428" t="s">
        <v>833</v>
      </c>
      <c r="O12" s="429" t="s">
        <v>381</v>
      </c>
      <c r="P12" s="428" t="s">
        <v>833</v>
      </c>
      <c r="Q12" s="429" t="s">
        <v>381</v>
      </c>
      <c r="R12" s="428" t="s">
        <v>833</v>
      </c>
      <c r="S12" s="429" t="s">
        <v>381</v>
      </c>
      <c r="T12" s="428" t="s">
        <v>833</v>
      </c>
      <c r="U12" s="429" t="s">
        <v>381</v>
      </c>
      <c r="V12" s="428" t="s">
        <v>833</v>
      </c>
      <c r="W12" s="429" t="s">
        <v>381</v>
      </c>
      <c r="X12" s="428" t="s">
        <v>833</v>
      </c>
      <c r="Y12" s="429" t="s">
        <v>381</v>
      </c>
      <c r="Z12" s="428" t="s">
        <v>833</v>
      </c>
      <c r="AA12" s="429" t="s">
        <v>381</v>
      </c>
      <c r="AB12" s="429" t="s">
        <v>833</v>
      </c>
      <c r="AC12" s="428" t="s">
        <v>832</v>
      </c>
      <c r="AD12" s="429" t="s">
        <v>381</v>
      </c>
    </row>
    <row r="13" spans="1:31" s="387" customFormat="1" ht="15">
      <c r="A13" s="829" t="s">
        <v>834</v>
      </c>
      <c r="B13" s="427" t="s">
        <v>24</v>
      </c>
      <c r="C13" s="427">
        <f>+C5</f>
        <v>78887973</v>
      </c>
      <c r="D13" s="427">
        <v>0</v>
      </c>
      <c r="E13" s="427">
        <v>10197469</v>
      </c>
      <c r="F13" s="427">
        <v>0</v>
      </c>
      <c r="G13" s="427">
        <v>10197468</v>
      </c>
      <c r="H13" s="427">
        <f>0-D13-F13</f>
        <v>0</v>
      </c>
      <c r="I13" s="427">
        <f>30592405-E13-G13</f>
        <v>10197468</v>
      </c>
      <c r="J13" s="427">
        <f>0-D13-F13-H13</f>
        <v>0</v>
      </c>
      <c r="K13" s="427">
        <f>30592405-E13-G13-I13</f>
        <v>0</v>
      </c>
      <c r="L13" s="427">
        <f>9782202-D13-F13-H13-J13</f>
        <v>9782202</v>
      </c>
      <c r="M13" s="427">
        <f>36486058-E13-G13-I13-K13</f>
        <v>5893653</v>
      </c>
      <c r="N13" s="427">
        <f>9782202-D13-F13-H13-J13-L13</f>
        <v>0</v>
      </c>
      <c r="O13" s="427">
        <f>36486058-E13-G13-I13-K13-M13</f>
        <v>0</v>
      </c>
      <c r="P13" s="427"/>
      <c r="Q13" s="427"/>
      <c r="R13" s="427"/>
      <c r="S13" s="427"/>
      <c r="T13" s="427"/>
      <c r="U13" s="427"/>
      <c r="V13" s="427"/>
      <c r="W13" s="427"/>
      <c r="X13" s="427"/>
      <c r="Y13" s="427"/>
      <c r="Z13" s="427"/>
      <c r="AA13" s="427"/>
      <c r="AB13" s="427">
        <f>+D13+F13+H13+J13+L13+N13</f>
        <v>9782202</v>
      </c>
      <c r="AC13" s="427">
        <f>+C13-D13-F13-H13-J13-L13-N13</f>
        <v>69105771</v>
      </c>
      <c r="AD13" s="427">
        <f>+E13+G13+I13+K13+M13+O13</f>
        <v>36486058</v>
      </c>
      <c r="AE13" s="387">
        <v>30592405</v>
      </c>
    </row>
    <row r="14" spans="1:31" s="387" customFormat="1" ht="15">
      <c r="A14" s="829"/>
      <c r="B14" s="427" t="s">
        <v>25</v>
      </c>
      <c r="C14" s="427">
        <f>+C6</f>
        <v>148248728</v>
      </c>
      <c r="D14" s="427">
        <v>12360000</v>
      </c>
      <c r="E14" s="427">
        <v>613145</v>
      </c>
      <c r="F14" s="427">
        <v>0</v>
      </c>
      <c r="G14" s="427">
        <v>450994</v>
      </c>
      <c r="H14" s="427">
        <f>12360000-D14-F14</f>
        <v>0</v>
      </c>
      <c r="I14" s="427">
        <f>1698219-E14-G14</f>
        <v>634080</v>
      </c>
      <c r="J14" s="427">
        <f>12360000-D14-F14-H14</f>
        <v>0</v>
      </c>
      <c r="K14" s="427">
        <f>2213447-E14-G14-I14</f>
        <v>515228</v>
      </c>
      <c r="L14" s="427">
        <f>13013334-D14-F14-H14-J14</f>
        <v>653334</v>
      </c>
      <c r="M14" s="427">
        <f>3831685-E14-G14-I14-K14</f>
        <v>1618238</v>
      </c>
      <c r="N14" s="427">
        <f>36413334-D14-F14-H14-J14-L14</f>
        <v>23400000</v>
      </c>
      <c r="O14" s="427">
        <f>6706689-E14-G14-I14-K14-M14</f>
        <v>2875004</v>
      </c>
      <c r="P14" s="427"/>
      <c r="Q14" s="427"/>
      <c r="R14" s="427"/>
      <c r="S14" s="427"/>
      <c r="T14" s="427"/>
      <c r="U14" s="427"/>
      <c r="V14" s="427"/>
      <c r="W14" s="427"/>
      <c r="X14" s="427"/>
      <c r="Y14" s="427"/>
      <c r="Z14" s="427"/>
      <c r="AA14" s="427"/>
      <c r="AB14" s="427">
        <f>+D14+F14+H14+J14+L14+N14</f>
        <v>36413334</v>
      </c>
      <c r="AC14" s="427">
        <f>+C14-D14-F14-H14-J14-L14-N14</f>
        <v>111835394</v>
      </c>
      <c r="AD14" s="427">
        <f>+E14+G14+I14+K14+M14+O14</f>
        <v>6706689</v>
      </c>
      <c r="AE14" s="387">
        <v>1698219</v>
      </c>
    </row>
    <row r="15" spans="1:31" s="387" customFormat="1" ht="15">
      <c r="A15" s="829"/>
      <c r="B15" s="427" t="s">
        <v>26</v>
      </c>
      <c r="C15" s="427">
        <f>+C7</f>
        <v>49583934</v>
      </c>
      <c r="D15" s="427">
        <v>25434667</v>
      </c>
      <c r="E15" s="427">
        <v>8240000</v>
      </c>
      <c r="F15" s="427">
        <v>12943667</v>
      </c>
      <c r="G15" s="427">
        <v>0</v>
      </c>
      <c r="H15" s="427">
        <f>38378334-D15-F15</f>
        <v>0</v>
      </c>
      <c r="I15" s="427">
        <f>8240000-E15-G15</f>
        <v>0</v>
      </c>
      <c r="J15" s="427">
        <f>38378334-D15-F15-H15</f>
        <v>0</v>
      </c>
      <c r="K15" s="427">
        <f>8240000-E15-G15-I15</f>
        <v>0</v>
      </c>
      <c r="L15" s="427">
        <f>38378334-D15-F15-H15-J15</f>
        <v>0</v>
      </c>
      <c r="M15" s="427">
        <f>8240000-E15-G15-I15-K15</f>
        <v>0</v>
      </c>
      <c r="N15" s="427">
        <f>38378334-D15-F15-H15-J15-L15</f>
        <v>0</v>
      </c>
      <c r="O15" s="427">
        <f>8240000-E15-G15-I15-K15-M15</f>
        <v>0</v>
      </c>
      <c r="P15" s="427"/>
      <c r="Q15" s="427"/>
      <c r="R15" s="427"/>
      <c r="S15" s="427"/>
      <c r="T15" s="427"/>
      <c r="U15" s="427"/>
      <c r="V15" s="427"/>
      <c r="W15" s="427"/>
      <c r="X15" s="427"/>
      <c r="Y15" s="427"/>
      <c r="Z15" s="427"/>
      <c r="AA15" s="427"/>
      <c r="AB15" s="427">
        <f>+D15+F15+H15+J15+L15+N15</f>
        <v>38378334</v>
      </c>
      <c r="AC15" s="427">
        <f>+C15-D15-F15-H15-J15-L15-N15</f>
        <v>11205600</v>
      </c>
      <c r="AD15" s="427">
        <f>+E15+G15+I15+K15+M15+O15</f>
        <v>8240000</v>
      </c>
      <c r="AE15" s="387">
        <v>8240000</v>
      </c>
    </row>
    <row r="16" spans="1:31" s="387" customFormat="1" ht="15">
      <c r="A16" s="829"/>
      <c r="B16" s="427" t="s">
        <v>27</v>
      </c>
      <c r="C16" s="427">
        <f>+C8</f>
        <v>20783308</v>
      </c>
      <c r="D16" s="427">
        <v>0</v>
      </c>
      <c r="E16" s="427">
        <v>10423312</v>
      </c>
      <c r="F16" s="427">
        <v>22323</v>
      </c>
      <c r="G16" s="427">
        <v>0</v>
      </c>
      <c r="H16" s="427">
        <f>22323-D16-F16</f>
        <v>0</v>
      </c>
      <c r="I16" s="427">
        <f>10423312-E16-G16</f>
        <v>0</v>
      </c>
      <c r="J16" s="427">
        <f>22323-D16-F16-H16</f>
        <v>0</v>
      </c>
      <c r="K16" s="427">
        <f>10423312-E16-G16-I16</f>
        <v>0</v>
      </c>
      <c r="L16" s="427">
        <f>22323-D16-F16-H16-J16</f>
        <v>0</v>
      </c>
      <c r="M16" s="427">
        <f>16912312-E16-G16-I16-K16</f>
        <v>6489000</v>
      </c>
      <c r="N16" s="427">
        <f>1744323-D16-F16-H16-J16-L16</f>
        <v>1722000</v>
      </c>
      <c r="O16" s="427">
        <f>16912312-E16-G16-I16-K16-M16</f>
        <v>0</v>
      </c>
      <c r="P16" s="427"/>
      <c r="Q16" s="427"/>
      <c r="R16" s="427"/>
      <c r="S16" s="427"/>
      <c r="T16" s="427"/>
      <c r="U16" s="427"/>
      <c r="V16" s="427"/>
      <c r="W16" s="427"/>
      <c r="X16" s="427"/>
      <c r="Y16" s="427"/>
      <c r="Z16" s="427"/>
      <c r="AA16" s="427"/>
      <c r="AB16" s="427">
        <f>+D16+F16+H16+J16+L16+N16</f>
        <v>1744323</v>
      </c>
      <c r="AC16" s="427">
        <f>+C16-D16-F16-H16-J16-L16-N16</f>
        <v>19038985</v>
      </c>
      <c r="AD16" s="427">
        <f>+E16+G16+I16+K16+M16+O16</f>
        <v>16912312</v>
      </c>
      <c r="AE16" s="387">
        <v>10423312</v>
      </c>
    </row>
    <row r="17" spans="1:30" s="387" customFormat="1" ht="15">
      <c r="A17" s="829"/>
      <c r="B17" s="428" t="s">
        <v>8</v>
      </c>
      <c r="C17" s="428">
        <f aca="true" t="shared" si="0" ref="C17:O17">SUM(C13:C16)</f>
        <v>297503943</v>
      </c>
      <c r="D17" s="428">
        <f t="shared" si="0"/>
        <v>37794667</v>
      </c>
      <c r="E17" s="428">
        <f t="shared" si="0"/>
        <v>29473926</v>
      </c>
      <c r="F17" s="428">
        <f t="shared" si="0"/>
        <v>12965990</v>
      </c>
      <c r="G17" s="428">
        <f t="shared" si="0"/>
        <v>10648462</v>
      </c>
      <c r="H17" s="428">
        <f t="shared" si="0"/>
        <v>0</v>
      </c>
      <c r="I17" s="428">
        <f t="shared" si="0"/>
        <v>10831548</v>
      </c>
      <c r="J17" s="428">
        <f t="shared" si="0"/>
        <v>0</v>
      </c>
      <c r="K17" s="428">
        <f t="shared" si="0"/>
        <v>515228</v>
      </c>
      <c r="L17" s="428">
        <f t="shared" si="0"/>
        <v>10435536</v>
      </c>
      <c r="M17" s="428">
        <f t="shared" si="0"/>
        <v>14000891</v>
      </c>
      <c r="N17" s="428">
        <f t="shared" si="0"/>
        <v>25122000</v>
      </c>
      <c r="O17" s="428">
        <f t="shared" si="0"/>
        <v>2875004</v>
      </c>
      <c r="P17" s="427"/>
      <c r="Q17" s="428"/>
      <c r="R17" s="427"/>
      <c r="S17" s="428"/>
      <c r="T17" s="427"/>
      <c r="U17" s="428"/>
      <c r="V17" s="427"/>
      <c r="W17" s="428"/>
      <c r="X17" s="427"/>
      <c r="Y17" s="428"/>
      <c r="Z17" s="427"/>
      <c r="AA17" s="428"/>
      <c r="AB17" s="428">
        <f>SUM(AB13:AB16)</f>
        <v>86318193</v>
      </c>
      <c r="AC17" s="428">
        <f>SUM(AC13:AC16)</f>
        <v>211185750</v>
      </c>
      <c r="AD17" s="428">
        <f>SUM(AD13:AD16)</f>
        <v>68345059</v>
      </c>
    </row>
    <row r="18" spans="3:31" ht="15">
      <c r="C18" s="434">
        <v>297503943</v>
      </c>
      <c r="AB18" s="463">
        <v>61196193</v>
      </c>
      <c r="AC18" s="464">
        <v>236307750</v>
      </c>
      <c r="AD18" s="435">
        <v>65470055</v>
      </c>
      <c r="AE18" s="448">
        <f>+AD18/AC18</f>
        <v>0.2770542015655432</v>
      </c>
    </row>
    <row r="19" spans="28:30" ht="15">
      <c r="AB19" s="442">
        <f>+AB17-AB18</f>
        <v>25122000</v>
      </c>
      <c r="AC19" s="442">
        <f>+AC17-AC18</f>
        <v>-25122000</v>
      </c>
      <c r="AD19" s="442">
        <f>+AD17-AD18</f>
        <v>2875004</v>
      </c>
    </row>
    <row r="20" spans="2:3" ht="15">
      <c r="B20" t="s">
        <v>24</v>
      </c>
      <c r="C20" s="387">
        <f>+'Meta 1'!O24</f>
        <v>69105771</v>
      </c>
    </row>
    <row r="21" spans="2:29" ht="15">
      <c r="B21" t="s">
        <v>25</v>
      </c>
      <c r="C21" s="387">
        <f>+'Metas 2'!O24</f>
        <v>111835394</v>
      </c>
      <c r="AC21" s="450"/>
    </row>
    <row r="22" spans="2:29" ht="15">
      <c r="B22" t="s">
        <v>26</v>
      </c>
      <c r="C22" s="387">
        <f>+'Meta 3'!O24</f>
        <v>11205600</v>
      </c>
      <c r="AC22" s="450"/>
    </row>
    <row r="23" spans="2:29" ht="15">
      <c r="B23" t="s">
        <v>27</v>
      </c>
      <c r="C23" s="387">
        <f>+'Meta 4'!O24</f>
        <v>19038985</v>
      </c>
      <c r="AC23" s="450"/>
    </row>
    <row r="24" spans="2:29" ht="15">
      <c r="B24" t="s">
        <v>8</v>
      </c>
      <c r="AC24" s="450"/>
    </row>
    <row r="25" ht="15">
      <c r="C25" s="387">
        <f>+C13-C20</f>
        <v>9782202</v>
      </c>
    </row>
    <row r="26" ht="15">
      <c r="C26" s="450">
        <f>+C14-C21</f>
        <v>36413334</v>
      </c>
    </row>
    <row r="27" ht="15">
      <c r="C27" s="450">
        <f>+C15-C22</f>
        <v>38378334</v>
      </c>
    </row>
    <row r="28" ht="15">
      <c r="C28" s="450">
        <f>+C16-C23</f>
        <v>1744323</v>
      </c>
    </row>
  </sheetData>
  <sheetProtection/>
  <mergeCells count="14">
    <mergeCell ref="Z11:AA11"/>
    <mergeCell ref="D11:E11"/>
    <mergeCell ref="F11:G11"/>
    <mergeCell ref="AB11:AD11"/>
    <mergeCell ref="H11:I11"/>
    <mergeCell ref="J11:K11"/>
    <mergeCell ref="L11:M11"/>
    <mergeCell ref="N11:O11"/>
    <mergeCell ref="A13:A17"/>
    <mergeCell ref="P11:Q11"/>
    <mergeCell ref="R11:S11"/>
    <mergeCell ref="T11:U11"/>
    <mergeCell ref="V11:W11"/>
    <mergeCell ref="X11:Y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3:AG31"/>
  <sheetViews>
    <sheetView tabSelected="1" zoomScalePageLayoutView="0" workbookViewId="0" topLeftCell="K9">
      <selection activeCell="AB20" sqref="AB20"/>
    </sheetView>
  </sheetViews>
  <sheetFormatPr defaultColWidth="11.421875" defaultRowHeight="15"/>
  <cols>
    <col min="1" max="1" width="14.8515625" style="0" customWidth="1"/>
    <col min="2" max="2" width="25.28125" style="0" customWidth="1"/>
    <col min="3" max="3" width="18.8515625" style="387" customWidth="1"/>
    <col min="4" max="4" width="19.28125" style="0" customWidth="1"/>
    <col min="5" max="5" width="16.28125" style="0" customWidth="1"/>
    <col min="6" max="6" width="16.57421875" style="0" bestFit="1" customWidth="1"/>
    <col min="7" max="7" width="14.00390625" style="0" bestFit="1" customWidth="1"/>
    <col min="8" max="8" width="16.57421875" style="0" bestFit="1" customWidth="1"/>
    <col min="9" max="9" width="16.421875" style="0" customWidth="1"/>
    <col min="10" max="10" width="16.57421875" style="0" bestFit="1" customWidth="1"/>
    <col min="11" max="11" width="15.8515625" style="0" customWidth="1"/>
    <col min="12" max="12" width="16.7109375" style="0" customWidth="1"/>
    <col min="13" max="13" width="19.421875" style="0" customWidth="1"/>
    <col min="14" max="14" width="16.7109375" style="0" bestFit="1" customWidth="1"/>
    <col min="15" max="15" width="15.57421875" style="0" bestFit="1" customWidth="1"/>
    <col min="16" max="27" width="11.421875" style="0" hidden="1" customWidth="1"/>
    <col min="28" max="28" width="18.28125" style="0" bestFit="1" customWidth="1"/>
    <col min="29" max="29" width="16.7109375" style="0" bestFit="1" customWidth="1"/>
    <col min="30" max="30" width="15.28125" style="0" customWidth="1"/>
    <col min="31" max="31" width="15.57421875" style="0" bestFit="1" customWidth="1"/>
    <col min="33" max="33" width="15.57421875" style="0" bestFit="1" customWidth="1"/>
    <col min="34" max="34" width="14.00390625" style="0" bestFit="1" customWidth="1"/>
  </cols>
  <sheetData>
    <row r="3" ht="15">
      <c r="B3" t="s">
        <v>759</v>
      </c>
    </row>
    <row r="5" spans="2:6" ht="15">
      <c r="B5" t="s">
        <v>751</v>
      </c>
      <c r="C5" s="387" t="s">
        <v>758</v>
      </c>
      <c r="E5" t="s">
        <v>836</v>
      </c>
      <c r="F5" t="s">
        <v>837</v>
      </c>
    </row>
    <row r="6" spans="2:6" ht="15">
      <c r="B6" t="s">
        <v>753</v>
      </c>
      <c r="C6" s="387">
        <v>2430523029</v>
      </c>
      <c r="D6" s="389">
        <f>+C6/$C$10</f>
        <v>0.20969674359270574</v>
      </c>
      <c r="E6" s="430">
        <f>+'Meta 1'!AC22</f>
        <v>2430523029</v>
      </c>
      <c r="F6" s="431">
        <f>+C6-E6</f>
        <v>0</v>
      </c>
    </row>
    <row r="7" spans="2:6" ht="15">
      <c r="B7" t="s">
        <v>754</v>
      </c>
      <c r="C7" s="387">
        <v>6698541216</v>
      </c>
      <c r="D7" s="389">
        <f>+C7/$C$10</f>
        <v>0.5779259291341293</v>
      </c>
      <c r="E7" s="430">
        <f>+'Metas 2'!AC22</f>
        <v>6698541216</v>
      </c>
      <c r="F7" s="431">
        <f>+C7-E7</f>
        <v>0</v>
      </c>
    </row>
    <row r="8" spans="2:6" ht="15">
      <c r="B8" t="s">
        <v>755</v>
      </c>
      <c r="C8" s="387">
        <v>1523808689</v>
      </c>
      <c r="D8" s="389">
        <f>+C8/$C$10</f>
        <v>0.1314687069939176</v>
      </c>
      <c r="E8" s="430">
        <f>+'Meta 3'!AC22</f>
        <v>1523808689</v>
      </c>
      <c r="F8" s="431">
        <f>+C8-E8</f>
        <v>0</v>
      </c>
    </row>
    <row r="9" spans="2:6" ht="15">
      <c r="B9" t="s">
        <v>756</v>
      </c>
      <c r="C9" s="387">
        <v>937784066</v>
      </c>
      <c r="D9" s="389">
        <f>+C9/$C$10</f>
        <v>0.08090862027924733</v>
      </c>
      <c r="E9" s="430">
        <f>+'Meta 4'!AC22</f>
        <v>937784066</v>
      </c>
      <c r="F9" s="431">
        <f>+C9-E9</f>
        <v>0</v>
      </c>
    </row>
    <row r="10" spans="2:5" ht="15">
      <c r="B10" t="s">
        <v>757</v>
      </c>
      <c r="C10" s="387">
        <v>11590657000</v>
      </c>
      <c r="E10" s="431">
        <f>SUM(E6:E9)</f>
        <v>11590657000</v>
      </c>
    </row>
    <row r="13" spans="4:29" s="387" customFormat="1" ht="15">
      <c r="D13" s="830" t="s">
        <v>820</v>
      </c>
      <c r="E13" s="830"/>
      <c r="F13" s="830" t="s">
        <v>821</v>
      </c>
      <c r="G13" s="830"/>
      <c r="H13" s="830" t="s">
        <v>822</v>
      </c>
      <c r="I13" s="830"/>
      <c r="J13" s="830" t="s">
        <v>823</v>
      </c>
      <c r="K13" s="830"/>
      <c r="L13" s="830" t="s">
        <v>824</v>
      </c>
      <c r="M13" s="830"/>
      <c r="N13" s="830" t="s">
        <v>825</v>
      </c>
      <c r="O13" s="830"/>
      <c r="P13" s="830" t="s">
        <v>826</v>
      </c>
      <c r="Q13" s="830"/>
      <c r="R13" s="830" t="s">
        <v>827</v>
      </c>
      <c r="S13" s="830"/>
      <c r="T13" s="830" t="s">
        <v>828</v>
      </c>
      <c r="U13" s="830"/>
      <c r="V13" s="830" t="s">
        <v>829</v>
      </c>
      <c r="W13" s="830"/>
      <c r="X13" s="830" t="s">
        <v>830</v>
      </c>
      <c r="Y13" s="830"/>
      <c r="Z13" s="830" t="s">
        <v>831</v>
      </c>
      <c r="AA13" s="830"/>
      <c r="AB13" s="830" t="s">
        <v>63</v>
      </c>
      <c r="AC13" s="830"/>
    </row>
    <row r="14" spans="2:29" s="387" customFormat="1" ht="15">
      <c r="B14" s="427"/>
      <c r="C14" s="428" t="s">
        <v>835</v>
      </c>
      <c r="D14" s="428" t="s">
        <v>379</v>
      </c>
      <c r="E14" s="429" t="s">
        <v>381</v>
      </c>
      <c r="F14" s="428" t="s">
        <v>379</v>
      </c>
      <c r="G14" s="429" t="s">
        <v>381</v>
      </c>
      <c r="H14" s="428" t="s">
        <v>379</v>
      </c>
      <c r="I14" s="429" t="s">
        <v>381</v>
      </c>
      <c r="J14" s="428" t="s">
        <v>379</v>
      </c>
      <c r="K14" s="429" t="s">
        <v>381</v>
      </c>
      <c r="L14" s="428" t="s">
        <v>379</v>
      </c>
      <c r="M14" s="429" t="s">
        <v>381</v>
      </c>
      <c r="N14" s="428" t="s">
        <v>379</v>
      </c>
      <c r="O14" s="429" t="s">
        <v>381</v>
      </c>
      <c r="P14" s="428" t="s">
        <v>379</v>
      </c>
      <c r="Q14" s="429" t="s">
        <v>381</v>
      </c>
      <c r="R14" s="428" t="s">
        <v>379</v>
      </c>
      <c r="S14" s="429" t="s">
        <v>381</v>
      </c>
      <c r="T14" s="428" t="s">
        <v>379</v>
      </c>
      <c r="U14" s="429" t="s">
        <v>381</v>
      </c>
      <c r="V14" s="428" t="s">
        <v>379</v>
      </c>
      <c r="W14" s="429" t="s">
        <v>381</v>
      </c>
      <c r="X14" s="428" t="s">
        <v>379</v>
      </c>
      <c r="Y14" s="429" t="s">
        <v>381</v>
      </c>
      <c r="Z14" s="428" t="s">
        <v>379</v>
      </c>
      <c r="AA14" s="429" t="s">
        <v>381</v>
      </c>
      <c r="AB14" s="428" t="s">
        <v>379</v>
      </c>
      <c r="AC14" s="429" t="s">
        <v>381</v>
      </c>
    </row>
    <row r="15" spans="1:33" s="387" customFormat="1" ht="15">
      <c r="A15" s="829" t="s">
        <v>834</v>
      </c>
      <c r="B15" s="427" t="s">
        <v>24</v>
      </c>
      <c r="C15" s="427">
        <f>+C6</f>
        <v>2430523029</v>
      </c>
      <c r="D15" s="427">
        <v>525838496</v>
      </c>
      <c r="E15" s="427">
        <v>0</v>
      </c>
      <c r="F15" s="427">
        <v>142212061</v>
      </c>
      <c r="G15" s="427">
        <v>12534268</v>
      </c>
      <c r="H15" s="427">
        <f>649450759-D15-F15</f>
        <v>-18599798</v>
      </c>
      <c r="I15" s="427">
        <f>59840731-E15-G15</f>
        <v>47306463</v>
      </c>
      <c r="J15" s="427">
        <f>930184092-D15-F15-H15</f>
        <v>280733333</v>
      </c>
      <c r="K15" s="427">
        <f>114813861-E15-G15-I15</f>
        <v>54973130</v>
      </c>
      <c r="L15" s="427">
        <f>1739755706-D15-F15-H15-J15</f>
        <v>809571614</v>
      </c>
      <c r="M15" s="427">
        <f>482499236-E15-G15-I15-K15</f>
        <v>367685375</v>
      </c>
      <c r="N15" s="427">
        <f>2043191375-D15-F15-H15-J15-L15</f>
        <v>303435669</v>
      </c>
      <c r="O15" s="427">
        <f>537472366-E15-G15-I15-K15-M15</f>
        <v>54973130</v>
      </c>
      <c r="P15" s="427"/>
      <c r="Q15" s="427"/>
      <c r="R15" s="427"/>
      <c r="S15" s="427"/>
      <c r="T15" s="427"/>
      <c r="U15" s="427"/>
      <c r="V15" s="427"/>
      <c r="W15" s="427"/>
      <c r="X15" s="427"/>
      <c r="Y15" s="427"/>
      <c r="Z15" s="427"/>
      <c r="AA15" s="427"/>
      <c r="AB15" s="427">
        <f>+D15+F15+H15+J15+L15+N15</f>
        <v>2043191375</v>
      </c>
      <c r="AC15" s="427">
        <f>+E15+G15+I15+K15+M15+O15</f>
        <v>537472366</v>
      </c>
      <c r="AD15" s="387">
        <v>482499236</v>
      </c>
      <c r="AE15" s="445">
        <f>+AC15/AB15</f>
        <v>0.26305532246092217</v>
      </c>
      <c r="AG15" s="387">
        <v>649450759</v>
      </c>
    </row>
    <row r="16" spans="1:33" s="387" customFormat="1" ht="15">
      <c r="A16" s="829"/>
      <c r="B16" s="427" t="s">
        <v>25</v>
      </c>
      <c r="C16" s="427">
        <f>+C7</f>
        <v>6698541216</v>
      </c>
      <c r="D16" s="427">
        <v>6153982761</v>
      </c>
      <c r="E16" s="427">
        <v>7763070</v>
      </c>
      <c r="F16" s="427">
        <v>187249867</v>
      </c>
      <c r="G16" s="427">
        <v>354001805</v>
      </c>
      <c r="H16" s="427">
        <f>6353623948-D16-F16</f>
        <v>12391320</v>
      </c>
      <c r="I16" s="427">
        <f>887313432-E16-G16</f>
        <v>525548557</v>
      </c>
      <c r="J16" s="427">
        <f>6430070848-D16-F16-H16</f>
        <v>76446900</v>
      </c>
      <c r="K16" s="427">
        <f>1434537815-E16-G16-I16</f>
        <v>547224383</v>
      </c>
      <c r="L16" s="427">
        <f>6410965201-D16-F16-H16-J16</f>
        <v>-19105647</v>
      </c>
      <c r="M16" s="427">
        <f>1992466214-E16-G16-I16-K16</f>
        <v>557928399</v>
      </c>
      <c r="N16" s="427">
        <f>6479279201-D16-F16-H16-J16-L16</f>
        <v>68314000</v>
      </c>
      <c r="O16" s="427">
        <f>2529061280-E16-G16-I16-K16-M16</f>
        <v>536595066</v>
      </c>
      <c r="P16" s="427"/>
      <c r="Q16" s="427"/>
      <c r="R16" s="427"/>
      <c r="S16" s="427"/>
      <c r="T16" s="427"/>
      <c r="U16" s="427"/>
      <c r="V16" s="427"/>
      <c r="W16" s="427"/>
      <c r="X16" s="427"/>
      <c r="Y16" s="427"/>
      <c r="Z16" s="427"/>
      <c r="AA16" s="427"/>
      <c r="AB16" s="427">
        <f>+D16+F16+H16+J16+L16+N16</f>
        <v>6479279201</v>
      </c>
      <c r="AC16" s="427">
        <f>+E16+G16+I16+K16+M16+O16</f>
        <v>2529061280</v>
      </c>
      <c r="AD16" s="387">
        <v>1992466214</v>
      </c>
      <c r="AE16" s="445">
        <f>+AC16/AB16</f>
        <v>0.3903306527691644</v>
      </c>
      <c r="AG16" s="430">
        <v>6353623948</v>
      </c>
    </row>
    <row r="17" spans="1:33" s="387" customFormat="1" ht="15">
      <c r="A17" s="829"/>
      <c r="B17" s="427" t="s">
        <v>26</v>
      </c>
      <c r="C17" s="427">
        <f>+C8</f>
        <v>1523808689</v>
      </c>
      <c r="D17" s="427">
        <v>1112475156</v>
      </c>
      <c r="E17" s="427">
        <v>0</v>
      </c>
      <c r="F17" s="427">
        <v>308525999</v>
      </c>
      <c r="G17" s="427">
        <v>45917998</v>
      </c>
      <c r="H17" s="427">
        <f>1500080199-D17-F17</f>
        <v>79079044</v>
      </c>
      <c r="I17" s="427">
        <f>155918395-E17-G17</f>
        <v>110000397</v>
      </c>
      <c r="J17" s="427">
        <f>1465602433-D17-F17-H17</f>
        <v>-34477766</v>
      </c>
      <c r="K17" s="427">
        <f>280178392-E17-G17-I17</f>
        <v>124259997</v>
      </c>
      <c r="L17" s="427">
        <f>1445311434-D17-F17-H17-J17</f>
        <v>-20290999</v>
      </c>
      <c r="M17" s="427">
        <f>410481056-E17-G17-I17-K17</f>
        <v>130302664</v>
      </c>
      <c r="N17" s="427">
        <f>1472091434-D17-F17-H17-J17-L17</f>
        <v>26780000</v>
      </c>
      <c r="O17" s="427">
        <f>540783720-E17-G17-I17-K17-M17</f>
        <v>130302664</v>
      </c>
      <c r="P17" s="427"/>
      <c r="Q17" s="427"/>
      <c r="R17" s="427"/>
      <c r="S17" s="427"/>
      <c r="T17" s="427"/>
      <c r="U17" s="427"/>
      <c r="V17" s="427"/>
      <c r="W17" s="427"/>
      <c r="X17" s="427"/>
      <c r="Y17" s="427"/>
      <c r="Z17" s="427"/>
      <c r="AA17" s="427"/>
      <c r="AB17" s="427">
        <f>+D17+F17+H17+J17+L17+N17</f>
        <v>1472091434</v>
      </c>
      <c r="AC17" s="427">
        <f>+E17+G17+I17+K17+M17+O17</f>
        <v>540783720</v>
      </c>
      <c r="AD17" s="387">
        <v>410481056</v>
      </c>
      <c r="AE17" s="445">
        <f>+AC17/AB17</f>
        <v>0.367357425979017</v>
      </c>
      <c r="AG17" s="430">
        <v>1500080199</v>
      </c>
    </row>
    <row r="18" spans="1:33" s="387" customFormat="1" ht="15">
      <c r="A18" s="829"/>
      <c r="B18" s="427" t="s">
        <v>27</v>
      </c>
      <c r="C18" s="427">
        <f>+C9</f>
        <v>937784066</v>
      </c>
      <c r="D18" s="427">
        <v>582044581</v>
      </c>
      <c r="E18" s="427">
        <v>0</v>
      </c>
      <c r="F18" s="427">
        <v>67850000</v>
      </c>
      <c r="G18" s="427">
        <v>24978180</v>
      </c>
      <c r="H18" s="427">
        <f>715793783-D18-F18</f>
        <v>65899202</v>
      </c>
      <c r="I18" s="427">
        <f>85150492-E18-G18</f>
        <v>60172312</v>
      </c>
      <c r="J18" s="427">
        <f>711713783-D18-F18-H18</f>
        <v>-4080000</v>
      </c>
      <c r="K18" s="427">
        <f>150902804-E18-G18-I18</f>
        <v>65752312</v>
      </c>
      <c r="L18" s="427">
        <f>696027116-D18-F18-H18-J18</f>
        <v>-15686667</v>
      </c>
      <c r="M18" s="427">
        <f>221535116-E18-G18-I18-K18</f>
        <v>70632312</v>
      </c>
      <c r="N18" s="427">
        <f>769387116-D18-F18-H18-J18-L18</f>
        <v>73360000</v>
      </c>
      <c r="O18" s="427">
        <f>289324116-E18-G18-I18-K18-M18</f>
        <v>67789000</v>
      </c>
      <c r="P18" s="427"/>
      <c r="Q18" s="427"/>
      <c r="R18" s="427"/>
      <c r="S18" s="427"/>
      <c r="T18" s="427"/>
      <c r="U18" s="427"/>
      <c r="V18" s="427"/>
      <c r="W18" s="427"/>
      <c r="X18" s="427"/>
      <c r="Y18" s="427"/>
      <c r="Z18" s="427"/>
      <c r="AA18" s="427"/>
      <c r="AB18" s="427">
        <f>+D18+F18+H18+J18+L18+N18</f>
        <v>769387116</v>
      </c>
      <c r="AC18" s="427">
        <f>+E18+G18+I18+K18+M18+O18</f>
        <v>289324116</v>
      </c>
      <c r="AD18" s="387">
        <v>221535116</v>
      </c>
      <c r="AE18" s="445">
        <f>+AC18/AB18</f>
        <v>0.37604491936930223</v>
      </c>
      <c r="AG18" s="430">
        <v>715793783</v>
      </c>
    </row>
    <row r="19" spans="1:33" s="387" customFormat="1" ht="15">
      <c r="A19" s="829"/>
      <c r="B19" s="427"/>
      <c r="C19" s="428">
        <f>SUM(C15:C18)</f>
        <v>11590657000</v>
      </c>
      <c r="D19" s="428">
        <f>SUM(D15:D18)</f>
        <v>8374340994</v>
      </c>
      <c r="E19" s="428">
        <f>SUM(E15:E18)</f>
        <v>7763070</v>
      </c>
      <c r="F19" s="428">
        <f>SUM(F15:F18)</f>
        <v>705837927</v>
      </c>
      <c r="G19" s="428">
        <f>SUM(G15:G18)</f>
        <v>437432251</v>
      </c>
      <c r="H19" s="428">
        <f aca="true" t="shared" si="0" ref="H19:AA19">SUM(H15:H18)</f>
        <v>138769768</v>
      </c>
      <c r="I19" s="428">
        <f t="shared" si="0"/>
        <v>743027729</v>
      </c>
      <c r="J19" s="428">
        <f>SUM(J15:J18)</f>
        <v>318622467</v>
      </c>
      <c r="K19" s="428">
        <f t="shared" si="0"/>
        <v>792209822</v>
      </c>
      <c r="L19" s="428">
        <f t="shared" si="0"/>
        <v>754488301</v>
      </c>
      <c r="M19" s="428">
        <f t="shared" si="0"/>
        <v>1126548750</v>
      </c>
      <c r="N19" s="428">
        <f t="shared" si="0"/>
        <v>471889669</v>
      </c>
      <c r="O19" s="428">
        <f t="shared" si="0"/>
        <v>789659860</v>
      </c>
      <c r="P19" s="428">
        <f t="shared" si="0"/>
        <v>0</v>
      </c>
      <c r="Q19" s="428">
        <f t="shared" si="0"/>
        <v>0</v>
      </c>
      <c r="R19" s="428">
        <f t="shared" si="0"/>
        <v>0</v>
      </c>
      <c r="S19" s="428">
        <f t="shared" si="0"/>
        <v>0</v>
      </c>
      <c r="T19" s="428">
        <f t="shared" si="0"/>
        <v>0</v>
      </c>
      <c r="U19" s="428">
        <f t="shared" si="0"/>
        <v>0</v>
      </c>
      <c r="V19" s="428">
        <f t="shared" si="0"/>
        <v>0</v>
      </c>
      <c r="W19" s="428">
        <f t="shared" si="0"/>
        <v>0</v>
      </c>
      <c r="X19" s="428">
        <f t="shared" si="0"/>
        <v>0</v>
      </c>
      <c r="Y19" s="428">
        <f t="shared" si="0"/>
        <v>0</v>
      </c>
      <c r="Z19" s="428">
        <f t="shared" si="0"/>
        <v>0</v>
      </c>
      <c r="AA19" s="428">
        <f t="shared" si="0"/>
        <v>0</v>
      </c>
      <c r="AB19" s="428">
        <f>SUM(AB15:AB18)</f>
        <v>10763949126</v>
      </c>
      <c r="AC19" s="428">
        <f>SUM(AC15:AC18)</f>
        <v>3896641482</v>
      </c>
      <c r="AG19" s="430"/>
    </row>
    <row r="20" spans="28:30" ht="15">
      <c r="AB20" s="435">
        <v>10763949126</v>
      </c>
      <c r="AC20" s="435">
        <v>3896641482</v>
      </c>
      <c r="AD20" s="436">
        <f>+AC20/AB20</f>
        <v>0.3620085376089133</v>
      </c>
    </row>
    <row r="22" ht="15">
      <c r="AD22" s="446" t="s">
        <v>840</v>
      </c>
    </row>
    <row r="26" spans="3:6" ht="15">
      <c r="C26">
        <v>2020</v>
      </c>
      <c r="D26">
        <v>2021</v>
      </c>
      <c r="E26">
        <v>2022</v>
      </c>
      <c r="F26">
        <v>2023</v>
      </c>
    </row>
    <row r="27" spans="2:6" ht="15">
      <c r="B27" s="437" t="s">
        <v>836</v>
      </c>
      <c r="C27" s="438">
        <v>0.1</v>
      </c>
      <c r="D27" s="438">
        <v>0.35</v>
      </c>
      <c r="E27" s="438">
        <v>0.6</v>
      </c>
      <c r="F27" s="438">
        <v>0.85</v>
      </c>
    </row>
    <row r="28" spans="3:6" ht="15">
      <c r="C28" s="439">
        <v>0.1</v>
      </c>
      <c r="D28" s="439">
        <v>0.35</v>
      </c>
      <c r="E28" s="439">
        <v>0.6</v>
      </c>
      <c r="F28" s="439">
        <v>0.85</v>
      </c>
    </row>
    <row r="29" spans="2:6" ht="15">
      <c r="B29" s="440" t="s">
        <v>838</v>
      </c>
      <c r="C29" s="441">
        <f>+C28</f>
        <v>0.1</v>
      </c>
      <c r="D29" s="442">
        <f>+D28-C28</f>
        <v>0.24999999999999997</v>
      </c>
      <c r="E29" s="442">
        <f>+E28-D28</f>
        <v>0.25</v>
      </c>
      <c r="F29" s="442">
        <f>+F28-E28</f>
        <v>0.25</v>
      </c>
    </row>
    <row r="30" spans="2:7" ht="15">
      <c r="B30" s="437"/>
      <c r="C30" s="437"/>
      <c r="D30" s="437"/>
      <c r="F30" s="443">
        <f>+'Meta 4'!P35</f>
        <v>0.7124999999999999</v>
      </c>
      <c r="G30" t="s">
        <v>839</v>
      </c>
    </row>
    <row r="31" spans="2:7" ht="15">
      <c r="B31" s="437"/>
      <c r="C31" s="437"/>
      <c r="D31" s="437"/>
      <c r="F31" s="444">
        <f>+F30-E27</f>
        <v>0.11249999999999993</v>
      </c>
      <c r="G31" t="s">
        <v>838</v>
      </c>
    </row>
  </sheetData>
  <sheetProtection/>
  <mergeCells count="14">
    <mergeCell ref="X13:Y13"/>
    <mergeCell ref="Z13:AA13"/>
    <mergeCell ref="D13:E13"/>
    <mergeCell ref="F13:G13"/>
    <mergeCell ref="H13:I13"/>
    <mergeCell ref="J13:K13"/>
    <mergeCell ref="L13:M13"/>
    <mergeCell ref="N13:O13"/>
    <mergeCell ref="AB13:AC13"/>
    <mergeCell ref="A15:A19"/>
    <mergeCell ref="P13:Q13"/>
    <mergeCell ref="R13:S13"/>
    <mergeCell ref="T13:U13"/>
    <mergeCell ref="V13:W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O43"/>
  <sheetViews>
    <sheetView showGridLines="0" zoomScale="70" zoomScaleNormal="70" workbookViewId="0" topLeftCell="N31">
      <selection activeCell="AA34" sqref="AA34:AD35"/>
    </sheetView>
  </sheetViews>
  <sheetFormatPr defaultColWidth="10.8515625" defaultRowHeight="15"/>
  <cols>
    <col min="1" max="1" width="38.421875" style="246" customWidth="1"/>
    <col min="2" max="2" width="21.0039062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42"/>
      <c r="B1" s="845" t="s">
        <v>16</v>
      </c>
      <c r="C1" s="846"/>
      <c r="D1" s="846"/>
      <c r="E1" s="846"/>
      <c r="F1" s="846"/>
      <c r="G1" s="846"/>
      <c r="H1" s="846"/>
      <c r="I1" s="846"/>
      <c r="J1" s="846"/>
      <c r="K1" s="846"/>
      <c r="L1" s="846"/>
      <c r="M1" s="846"/>
      <c r="N1" s="846"/>
      <c r="O1" s="846"/>
      <c r="P1" s="846"/>
      <c r="Q1" s="846"/>
      <c r="R1" s="846"/>
      <c r="S1" s="846"/>
      <c r="T1" s="846"/>
      <c r="U1" s="846"/>
      <c r="V1" s="846"/>
      <c r="W1" s="846"/>
      <c r="X1" s="846"/>
      <c r="Y1" s="846"/>
      <c r="Z1" s="846"/>
      <c r="AA1" s="847"/>
      <c r="AB1" s="848" t="s">
        <v>423</v>
      </c>
      <c r="AC1" s="849"/>
      <c r="AD1" s="850"/>
    </row>
    <row r="2" spans="1:30" ht="30.75" customHeight="1" thickBot="1">
      <c r="A2" s="843"/>
      <c r="B2" s="845" t="s">
        <v>17</v>
      </c>
      <c r="C2" s="846"/>
      <c r="D2" s="846"/>
      <c r="E2" s="846"/>
      <c r="F2" s="846"/>
      <c r="G2" s="846"/>
      <c r="H2" s="846"/>
      <c r="I2" s="846"/>
      <c r="J2" s="846"/>
      <c r="K2" s="846"/>
      <c r="L2" s="846"/>
      <c r="M2" s="846"/>
      <c r="N2" s="846"/>
      <c r="O2" s="846"/>
      <c r="P2" s="846"/>
      <c r="Q2" s="846"/>
      <c r="R2" s="846"/>
      <c r="S2" s="846"/>
      <c r="T2" s="846"/>
      <c r="U2" s="846"/>
      <c r="V2" s="846"/>
      <c r="W2" s="846"/>
      <c r="X2" s="846"/>
      <c r="Y2" s="846"/>
      <c r="Z2" s="846"/>
      <c r="AA2" s="847"/>
      <c r="AB2" s="851" t="s">
        <v>418</v>
      </c>
      <c r="AC2" s="852"/>
      <c r="AD2" s="853"/>
    </row>
    <row r="3" spans="1:30" ht="24" customHeight="1">
      <c r="A3" s="843"/>
      <c r="B3" s="854" t="s">
        <v>295</v>
      </c>
      <c r="C3" s="855"/>
      <c r="D3" s="855"/>
      <c r="E3" s="855"/>
      <c r="F3" s="855"/>
      <c r="G3" s="855"/>
      <c r="H3" s="855"/>
      <c r="I3" s="855"/>
      <c r="J3" s="855"/>
      <c r="K3" s="855"/>
      <c r="L3" s="855"/>
      <c r="M3" s="855"/>
      <c r="N3" s="855"/>
      <c r="O3" s="855"/>
      <c r="P3" s="855"/>
      <c r="Q3" s="855"/>
      <c r="R3" s="855"/>
      <c r="S3" s="855"/>
      <c r="T3" s="855"/>
      <c r="U3" s="855"/>
      <c r="V3" s="855"/>
      <c r="W3" s="855"/>
      <c r="X3" s="855"/>
      <c r="Y3" s="855"/>
      <c r="Z3" s="855"/>
      <c r="AA3" s="856"/>
      <c r="AB3" s="851" t="s">
        <v>424</v>
      </c>
      <c r="AC3" s="852"/>
      <c r="AD3" s="853"/>
    </row>
    <row r="4" spans="1:30" ht="21.75" customHeight="1" thickBot="1">
      <c r="A4" s="844"/>
      <c r="B4" s="857"/>
      <c r="C4" s="858"/>
      <c r="D4" s="858"/>
      <c r="E4" s="858"/>
      <c r="F4" s="858"/>
      <c r="G4" s="858"/>
      <c r="H4" s="858"/>
      <c r="I4" s="858"/>
      <c r="J4" s="858"/>
      <c r="K4" s="858"/>
      <c r="L4" s="858"/>
      <c r="M4" s="858"/>
      <c r="N4" s="858"/>
      <c r="O4" s="858"/>
      <c r="P4" s="858"/>
      <c r="Q4" s="858"/>
      <c r="R4" s="858"/>
      <c r="S4" s="858"/>
      <c r="T4" s="858"/>
      <c r="U4" s="858"/>
      <c r="V4" s="858"/>
      <c r="W4" s="858"/>
      <c r="X4" s="858"/>
      <c r="Y4" s="858"/>
      <c r="Z4" s="858"/>
      <c r="AA4" s="859"/>
      <c r="AB4" s="623" t="s">
        <v>777</v>
      </c>
      <c r="AC4" s="624"/>
      <c r="AD4" s="625"/>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 r="A7" s="626" t="s">
        <v>293</v>
      </c>
      <c r="B7" s="627"/>
      <c r="C7" s="879" t="s">
        <v>44</v>
      </c>
      <c r="D7" s="626" t="s">
        <v>71</v>
      </c>
      <c r="E7" s="632"/>
      <c r="F7" s="632"/>
      <c r="G7" s="632"/>
      <c r="H7" s="627"/>
      <c r="I7" s="834">
        <v>45117</v>
      </c>
      <c r="J7" s="835"/>
      <c r="K7" s="626" t="s">
        <v>67</v>
      </c>
      <c r="L7" s="627"/>
      <c r="M7" s="840" t="s">
        <v>70</v>
      </c>
      <c r="N7" s="841"/>
      <c r="O7" s="860"/>
      <c r="P7" s="861"/>
      <c r="Q7" s="252"/>
      <c r="R7" s="252"/>
      <c r="S7" s="252"/>
      <c r="T7" s="252"/>
      <c r="U7" s="252"/>
      <c r="V7" s="252"/>
      <c r="W7" s="252"/>
      <c r="X7" s="252"/>
      <c r="Y7" s="252"/>
      <c r="Z7" s="253"/>
      <c r="AA7" s="252"/>
      <c r="AB7" s="252"/>
      <c r="AC7" s="258"/>
      <c r="AD7" s="259"/>
    </row>
    <row r="8" spans="1:30" ht="15">
      <c r="A8" s="628"/>
      <c r="B8" s="629"/>
      <c r="C8" s="880"/>
      <c r="D8" s="628"/>
      <c r="E8" s="882"/>
      <c r="F8" s="882"/>
      <c r="G8" s="882"/>
      <c r="H8" s="629"/>
      <c r="I8" s="836"/>
      <c r="J8" s="837"/>
      <c r="K8" s="628"/>
      <c r="L8" s="629"/>
      <c r="M8" s="862" t="s">
        <v>68</v>
      </c>
      <c r="N8" s="863"/>
      <c r="O8" s="864"/>
      <c r="P8" s="865"/>
      <c r="Q8" s="252"/>
      <c r="R8" s="252"/>
      <c r="S8" s="252"/>
      <c r="T8" s="252"/>
      <c r="U8" s="252"/>
      <c r="V8" s="252"/>
      <c r="W8" s="252"/>
      <c r="X8" s="252"/>
      <c r="Y8" s="252"/>
      <c r="Z8" s="253"/>
      <c r="AA8" s="252"/>
      <c r="AB8" s="252"/>
      <c r="AC8" s="258"/>
      <c r="AD8" s="259"/>
    </row>
    <row r="9" spans="1:30" ht="15.75" thickBot="1">
      <c r="A9" s="630"/>
      <c r="B9" s="631"/>
      <c r="C9" s="881"/>
      <c r="D9" s="630"/>
      <c r="E9" s="634"/>
      <c r="F9" s="634"/>
      <c r="G9" s="634"/>
      <c r="H9" s="631"/>
      <c r="I9" s="838"/>
      <c r="J9" s="839"/>
      <c r="K9" s="630"/>
      <c r="L9" s="631"/>
      <c r="M9" s="866" t="s">
        <v>69</v>
      </c>
      <c r="N9" s="867"/>
      <c r="O9" s="868" t="s">
        <v>425</v>
      </c>
      <c r="P9" s="869"/>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26" t="s">
        <v>0</v>
      </c>
      <c r="B11" s="627"/>
      <c r="C11" s="870" t="s">
        <v>497</v>
      </c>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2"/>
    </row>
    <row r="12" spans="1:30" ht="15" customHeight="1">
      <c r="A12" s="628"/>
      <c r="B12" s="629"/>
      <c r="C12" s="873"/>
      <c r="D12" s="874"/>
      <c r="E12" s="874"/>
      <c r="F12" s="874"/>
      <c r="G12" s="874"/>
      <c r="H12" s="874"/>
      <c r="I12" s="874"/>
      <c r="J12" s="874"/>
      <c r="K12" s="874"/>
      <c r="L12" s="874"/>
      <c r="M12" s="874"/>
      <c r="N12" s="874"/>
      <c r="O12" s="874"/>
      <c r="P12" s="874"/>
      <c r="Q12" s="874"/>
      <c r="R12" s="874"/>
      <c r="S12" s="874"/>
      <c r="T12" s="874"/>
      <c r="U12" s="874"/>
      <c r="V12" s="874"/>
      <c r="W12" s="874"/>
      <c r="X12" s="874"/>
      <c r="Y12" s="874"/>
      <c r="Z12" s="874"/>
      <c r="AA12" s="874"/>
      <c r="AB12" s="874"/>
      <c r="AC12" s="874"/>
      <c r="AD12" s="875"/>
    </row>
    <row r="13" spans="1:30" ht="15" customHeight="1" thickBot="1">
      <c r="A13" s="630"/>
      <c r="B13" s="631"/>
      <c r="C13" s="876"/>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c r="AB13" s="877"/>
      <c r="AC13" s="877"/>
      <c r="AD13" s="878"/>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96" t="s">
        <v>77</v>
      </c>
      <c r="B15" s="597"/>
      <c r="C15" s="883" t="s">
        <v>426</v>
      </c>
      <c r="D15" s="884"/>
      <c r="E15" s="884"/>
      <c r="F15" s="884"/>
      <c r="G15" s="884"/>
      <c r="H15" s="884"/>
      <c r="I15" s="884"/>
      <c r="J15" s="884"/>
      <c r="K15" s="885"/>
      <c r="L15" s="590" t="s">
        <v>73</v>
      </c>
      <c r="M15" s="666"/>
      <c r="N15" s="666"/>
      <c r="O15" s="666"/>
      <c r="P15" s="666"/>
      <c r="Q15" s="591"/>
      <c r="R15" s="886" t="s">
        <v>622</v>
      </c>
      <c r="S15" s="887"/>
      <c r="T15" s="887"/>
      <c r="U15" s="887"/>
      <c r="V15" s="887"/>
      <c r="W15" s="887"/>
      <c r="X15" s="888"/>
      <c r="Y15" s="590" t="s">
        <v>72</v>
      </c>
      <c r="Z15" s="591"/>
      <c r="AA15" s="883" t="s">
        <v>623</v>
      </c>
      <c r="AB15" s="884"/>
      <c r="AC15" s="884"/>
      <c r="AD15" s="885"/>
    </row>
    <row r="16" spans="1:30" ht="9" customHeight="1" thickBot="1">
      <c r="A16" s="257"/>
      <c r="B16" s="252"/>
      <c r="C16" s="889"/>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271"/>
      <c r="AD16" s="272"/>
    </row>
    <row r="17" spans="1:30" s="273" customFormat="1" ht="37.5" customHeight="1" thickBot="1">
      <c r="A17" s="596" t="s">
        <v>79</v>
      </c>
      <c r="B17" s="597"/>
      <c r="C17" s="890" t="s">
        <v>624</v>
      </c>
      <c r="D17" s="891"/>
      <c r="E17" s="891"/>
      <c r="F17" s="891"/>
      <c r="G17" s="891"/>
      <c r="H17" s="891"/>
      <c r="I17" s="891"/>
      <c r="J17" s="891"/>
      <c r="K17" s="891"/>
      <c r="L17" s="891"/>
      <c r="M17" s="891"/>
      <c r="N17" s="891"/>
      <c r="O17" s="891"/>
      <c r="P17" s="891"/>
      <c r="Q17" s="892"/>
      <c r="R17" s="590" t="s">
        <v>374</v>
      </c>
      <c r="S17" s="666"/>
      <c r="T17" s="666"/>
      <c r="U17" s="666"/>
      <c r="V17" s="591"/>
      <c r="W17" s="592">
        <v>0.16</v>
      </c>
      <c r="X17" s="593"/>
      <c r="Y17" s="666" t="s">
        <v>15</v>
      </c>
      <c r="Z17" s="666"/>
      <c r="AA17" s="666"/>
      <c r="AB17" s="591"/>
      <c r="AC17" s="893">
        <f>+VIGENCIA!D6</f>
        <v>0.20969674359270574</v>
      </c>
      <c r="AD17" s="894"/>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0" t="s">
        <v>1</v>
      </c>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591"/>
      <c r="AE19" s="275"/>
      <c r="AF19" s="275"/>
    </row>
    <row r="20" spans="1:32" ht="31.5" customHeight="1" thickBot="1">
      <c r="A20" s="276"/>
      <c r="B20" s="258"/>
      <c r="C20" s="694" t="s">
        <v>376</v>
      </c>
      <c r="D20" s="742"/>
      <c r="E20" s="742"/>
      <c r="F20" s="742"/>
      <c r="G20" s="742"/>
      <c r="H20" s="742"/>
      <c r="I20" s="742"/>
      <c r="J20" s="742"/>
      <c r="K20" s="742"/>
      <c r="L20" s="742"/>
      <c r="M20" s="742"/>
      <c r="N20" s="742"/>
      <c r="O20" s="742"/>
      <c r="P20" s="695"/>
      <c r="Q20" s="692" t="s">
        <v>377</v>
      </c>
      <c r="R20" s="895"/>
      <c r="S20" s="895"/>
      <c r="T20" s="895"/>
      <c r="U20" s="895"/>
      <c r="V20" s="895"/>
      <c r="W20" s="895"/>
      <c r="X20" s="895"/>
      <c r="Y20" s="895"/>
      <c r="Z20" s="895"/>
      <c r="AA20" s="895"/>
      <c r="AB20" s="895"/>
      <c r="AC20" s="895"/>
      <c r="AD20" s="693"/>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96" t="s">
        <v>378</v>
      </c>
      <c r="B22" s="897"/>
      <c r="C22" s="197">
        <f>+RESERVA!C13</f>
        <v>78887973</v>
      </c>
      <c r="D22" s="195"/>
      <c r="E22" s="195"/>
      <c r="F22" s="195"/>
      <c r="G22" s="195"/>
      <c r="H22" s="195"/>
      <c r="I22" s="195"/>
      <c r="J22" s="195"/>
      <c r="K22" s="195"/>
      <c r="L22" s="195"/>
      <c r="M22" s="195"/>
      <c r="N22" s="195"/>
      <c r="O22" s="195"/>
      <c r="P22" s="198"/>
      <c r="Q22" s="197">
        <v>886943478</v>
      </c>
      <c r="R22" s="195">
        <v>104843400</v>
      </c>
      <c r="S22" s="195">
        <v>140587987</v>
      </c>
      <c r="T22" s="195">
        <v>1077819097</v>
      </c>
      <c r="U22" s="195">
        <v>46346970</v>
      </c>
      <c r="V22" s="195">
        <v>11000000</v>
      </c>
      <c r="W22" s="195">
        <v>0</v>
      </c>
      <c r="X22" s="195">
        <v>128375097</v>
      </c>
      <c r="Y22" s="195">
        <v>32607000</v>
      </c>
      <c r="Z22" s="195">
        <v>2000000</v>
      </c>
      <c r="AA22" s="195">
        <v>0</v>
      </c>
      <c r="AB22" s="195">
        <v>0</v>
      </c>
      <c r="AC22" s="195">
        <f>SUM(Q22:AB22)</f>
        <v>2430523029</v>
      </c>
      <c r="AD22" s="202"/>
      <c r="AE22" s="4"/>
      <c r="AF22" s="4"/>
    </row>
    <row r="23" spans="1:32" ht="31.5" customHeight="1">
      <c r="A23" s="898" t="s">
        <v>379</v>
      </c>
      <c r="B23" s="899"/>
      <c r="C23" s="192"/>
      <c r="D23" s="191"/>
      <c r="E23" s="191"/>
      <c r="F23" s="191"/>
      <c r="G23" s="191"/>
      <c r="H23" s="191"/>
      <c r="I23" s="191"/>
      <c r="J23" s="191"/>
      <c r="K23" s="191"/>
      <c r="L23" s="191"/>
      <c r="M23" s="191"/>
      <c r="N23" s="191"/>
      <c r="O23" s="191"/>
      <c r="P23" s="211"/>
      <c r="Q23" s="192">
        <f>+VIGENCIA!D15</f>
        <v>525838496</v>
      </c>
      <c r="R23" s="191">
        <f>+VIGENCIA!F15</f>
        <v>142212061</v>
      </c>
      <c r="S23" s="191">
        <f>+VIGENCIA!H15</f>
        <v>-18599798</v>
      </c>
      <c r="T23" s="191">
        <f>+VIGENCIA!J15</f>
        <v>280733333</v>
      </c>
      <c r="U23" s="191">
        <f>+VIGENCIA!L15</f>
        <v>809571614</v>
      </c>
      <c r="V23" s="191">
        <f>+VIGENCIA!N15</f>
        <v>303435669</v>
      </c>
      <c r="W23" s="191"/>
      <c r="X23" s="191"/>
      <c r="Y23" s="191"/>
      <c r="Z23" s="191"/>
      <c r="AA23" s="191"/>
      <c r="AB23" s="191"/>
      <c r="AC23" s="191">
        <f>SUM(Q23:AB23)</f>
        <v>2043191375</v>
      </c>
      <c r="AD23" s="456">
        <f>+AC23/AC22</f>
        <v>0.8406385582944419</v>
      </c>
      <c r="AE23" s="4"/>
      <c r="AF23" s="4"/>
    </row>
    <row r="24" spans="1:32" ht="31.5" customHeight="1">
      <c r="A24" s="898" t="s">
        <v>380</v>
      </c>
      <c r="B24" s="899"/>
      <c r="C24" s="404">
        <v>10197469</v>
      </c>
      <c r="D24" s="344">
        <v>10197469</v>
      </c>
      <c r="E24" s="344">
        <v>10197466</v>
      </c>
      <c r="F24" s="344">
        <f>3380352+19782203</f>
        <v>23162555</v>
      </c>
      <c r="G24" s="191">
        <f>+-RESERVA!AB13</f>
        <v>-9782202</v>
      </c>
      <c r="H24" s="191">
        <v>25133014</v>
      </c>
      <c r="I24" s="191"/>
      <c r="J24" s="191"/>
      <c r="K24" s="191"/>
      <c r="L24" s="191"/>
      <c r="M24" s="191"/>
      <c r="N24" s="191"/>
      <c r="O24" s="191">
        <f>SUM(C24:N24)</f>
        <v>69105771</v>
      </c>
      <c r="P24" s="196"/>
      <c r="Q24" s="192"/>
      <c r="R24" s="191">
        <v>47869481</v>
      </c>
      <c r="S24" s="191">
        <v>86678163</v>
      </c>
      <c r="T24" s="191">
        <v>102312613</v>
      </c>
      <c r="U24" s="191">
        <v>1179131613</v>
      </c>
      <c r="V24" s="191">
        <v>134706355</v>
      </c>
      <c r="W24" s="191">
        <v>113312613</v>
      </c>
      <c r="X24" s="191">
        <v>104094801</v>
      </c>
      <c r="Y24" s="191">
        <v>229687633</v>
      </c>
      <c r="Z24" s="191">
        <v>134921663</v>
      </c>
      <c r="AA24" s="191">
        <v>103310563</v>
      </c>
      <c r="AB24" s="191">
        <v>194497531</v>
      </c>
      <c r="AC24" s="191">
        <f>SUM(Q24:AB24)</f>
        <v>2430523029</v>
      </c>
      <c r="AD24" s="456"/>
      <c r="AE24" s="4"/>
      <c r="AF24" s="4"/>
    </row>
    <row r="25" spans="1:32" ht="31.5" customHeight="1" thickBot="1">
      <c r="A25" s="900" t="s">
        <v>381</v>
      </c>
      <c r="B25" s="901"/>
      <c r="C25" s="193">
        <f>+RESERVA!E13</f>
        <v>10197469</v>
      </c>
      <c r="D25" s="194">
        <f>+RESERVA!G13</f>
        <v>10197468</v>
      </c>
      <c r="E25" s="194">
        <f>+RESERVA!I13</f>
        <v>10197468</v>
      </c>
      <c r="F25" s="194"/>
      <c r="G25" s="194">
        <f>+RESERVA!M13</f>
        <v>5893653</v>
      </c>
      <c r="H25" s="194">
        <f>+RESERVA!O13</f>
        <v>0</v>
      </c>
      <c r="I25" s="194"/>
      <c r="J25" s="194"/>
      <c r="K25" s="194"/>
      <c r="L25" s="194"/>
      <c r="M25" s="194"/>
      <c r="N25" s="194"/>
      <c r="O25" s="194">
        <f>SUM(C25:N25)</f>
        <v>36486058</v>
      </c>
      <c r="P25" s="455">
        <f>+O25/O24</f>
        <v>0.5279741108741844</v>
      </c>
      <c r="Q25" s="193">
        <f>+VIGENCIA!E15</f>
        <v>0</v>
      </c>
      <c r="R25" s="194">
        <f>+VIGENCIA!G15</f>
        <v>12534268</v>
      </c>
      <c r="S25" s="194">
        <f>+VIGENCIA!I15</f>
        <v>47306463</v>
      </c>
      <c r="T25" s="194">
        <f>+VIGENCIA!K15</f>
        <v>54973130</v>
      </c>
      <c r="U25" s="194">
        <f>+VIGENCIA!M15</f>
        <v>367685375</v>
      </c>
      <c r="V25" s="194">
        <f>+VIGENCIA!O15</f>
        <v>54973130</v>
      </c>
      <c r="W25" s="194"/>
      <c r="X25" s="194"/>
      <c r="Y25" s="194"/>
      <c r="Z25" s="194"/>
      <c r="AA25" s="194"/>
      <c r="AB25" s="194"/>
      <c r="AC25" s="194">
        <f>SUM(Q25:AB25)</f>
        <v>537472366</v>
      </c>
      <c r="AD25" s="457">
        <f>+AC25/AC24</f>
        <v>0.22113444702522916</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02" t="s">
        <v>76</v>
      </c>
      <c r="B27" s="903"/>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5"/>
    </row>
    <row r="28" spans="1:30" ht="15" customHeight="1">
      <c r="A28" s="906" t="s">
        <v>189</v>
      </c>
      <c r="B28" s="908" t="s">
        <v>6</v>
      </c>
      <c r="C28" s="909"/>
      <c r="D28" s="899" t="s">
        <v>398</v>
      </c>
      <c r="E28" s="912"/>
      <c r="F28" s="912"/>
      <c r="G28" s="912"/>
      <c r="H28" s="912"/>
      <c r="I28" s="912"/>
      <c r="J28" s="912"/>
      <c r="K28" s="912"/>
      <c r="L28" s="912"/>
      <c r="M28" s="912"/>
      <c r="N28" s="912"/>
      <c r="O28" s="913"/>
      <c r="P28" s="914" t="s">
        <v>8</v>
      </c>
      <c r="Q28" s="914" t="s">
        <v>84</v>
      </c>
      <c r="R28" s="914"/>
      <c r="S28" s="914"/>
      <c r="T28" s="914"/>
      <c r="U28" s="914"/>
      <c r="V28" s="914"/>
      <c r="W28" s="914"/>
      <c r="X28" s="914"/>
      <c r="Y28" s="914"/>
      <c r="Z28" s="914"/>
      <c r="AA28" s="914"/>
      <c r="AB28" s="914"/>
      <c r="AC28" s="914"/>
      <c r="AD28" s="915"/>
    </row>
    <row r="29" spans="1:30" ht="27" customHeight="1">
      <c r="A29" s="907"/>
      <c r="B29" s="910"/>
      <c r="C29" s="911"/>
      <c r="D29" s="281" t="s">
        <v>39</v>
      </c>
      <c r="E29" s="281" t="s">
        <v>40</v>
      </c>
      <c r="F29" s="281" t="s">
        <v>41</v>
      </c>
      <c r="G29" s="281" t="s">
        <v>42</v>
      </c>
      <c r="H29" s="281" t="s">
        <v>43</v>
      </c>
      <c r="I29" s="281" t="s">
        <v>44</v>
      </c>
      <c r="J29" s="281" t="s">
        <v>45</v>
      </c>
      <c r="K29" s="281" t="s">
        <v>46</v>
      </c>
      <c r="L29" s="281" t="s">
        <v>47</v>
      </c>
      <c r="M29" s="281" t="s">
        <v>48</v>
      </c>
      <c r="N29" s="281" t="s">
        <v>49</v>
      </c>
      <c r="O29" s="281" t="s">
        <v>50</v>
      </c>
      <c r="P29" s="913"/>
      <c r="Q29" s="914"/>
      <c r="R29" s="914"/>
      <c r="S29" s="914"/>
      <c r="T29" s="914"/>
      <c r="U29" s="914"/>
      <c r="V29" s="914"/>
      <c r="W29" s="914"/>
      <c r="X29" s="914"/>
      <c r="Y29" s="914"/>
      <c r="Z29" s="914"/>
      <c r="AA29" s="914"/>
      <c r="AB29" s="914"/>
      <c r="AC29" s="914"/>
      <c r="AD29" s="915"/>
    </row>
    <row r="30" spans="1:30" ht="65.25" customHeight="1" thickBot="1">
      <c r="A30" s="330" t="str">
        <f>C17</f>
        <v>Avanzar en el 80% en las políticas de Gobierno Digital y Seguridad Digital contenidas en la Dimensión Gestión con valores para Resultados</v>
      </c>
      <c r="B30" s="916" t="s">
        <v>450</v>
      </c>
      <c r="C30" s="917"/>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18"/>
      <c r="R30" s="918"/>
      <c r="S30" s="918"/>
      <c r="T30" s="918"/>
      <c r="U30" s="918"/>
      <c r="V30" s="918"/>
      <c r="W30" s="918"/>
      <c r="X30" s="918"/>
      <c r="Y30" s="918"/>
      <c r="Z30" s="918"/>
      <c r="AA30" s="918"/>
      <c r="AB30" s="918"/>
      <c r="AC30" s="918"/>
      <c r="AD30" s="919"/>
    </row>
    <row r="31" spans="1:30" ht="45" customHeight="1">
      <c r="A31" s="854" t="s">
        <v>292</v>
      </c>
      <c r="B31" s="855"/>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6"/>
    </row>
    <row r="32" spans="1:41" ht="22.5" customHeight="1">
      <c r="A32" s="898" t="s">
        <v>190</v>
      </c>
      <c r="B32" s="914" t="s">
        <v>62</v>
      </c>
      <c r="C32" s="914" t="s">
        <v>6</v>
      </c>
      <c r="D32" s="914" t="s">
        <v>60</v>
      </c>
      <c r="E32" s="914"/>
      <c r="F32" s="914"/>
      <c r="G32" s="914"/>
      <c r="H32" s="914"/>
      <c r="I32" s="914"/>
      <c r="J32" s="914"/>
      <c r="K32" s="914"/>
      <c r="L32" s="914"/>
      <c r="M32" s="914"/>
      <c r="N32" s="914"/>
      <c r="O32" s="914"/>
      <c r="P32" s="914"/>
      <c r="Q32" s="914" t="s">
        <v>85</v>
      </c>
      <c r="R32" s="914"/>
      <c r="S32" s="914"/>
      <c r="T32" s="914"/>
      <c r="U32" s="914"/>
      <c r="V32" s="914"/>
      <c r="W32" s="914"/>
      <c r="X32" s="914"/>
      <c r="Y32" s="914"/>
      <c r="Z32" s="914"/>
      <c r="AA32" s="914"/>
      <c r="AB32" s="914"/>
      <c r="AC32" s="914"/>
      <c r="AD32" s="915"/>
      <c r="AG32" s="90"/>
      <c r="AH32" s="90"/>
      <c r="AI32" s="90"/>
      <c r="AJ32" s="90"/>
      <c r="AK32" s="90"/>
      <c r="AL32" s="90"/>
      <c r="AM32" s="90"/>
      <c r="AN32" s="90"/>
      <c r="AO32" s="90"/>
    </row>
    <row r="33" spans="1:41" ht="27" customHeight="1">
      <c r="A33" s="898"/>
      <c r="B33" s="914"/>
      <c r="C33" s="920"/>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14" t="s">
        <v>403</v>
      </c>
      <c r="R33" s="914"/>
      <c r="S33" s="914"/>
      <c r="T33" s="914" t="s">
        <v>406</v>
      </c>
      <c r="U33" s="914"/>
      <c r="V33" s="914"/>
      <c r="W33" s="910" t="s">
        <v>81</v>
      </c>
      <c r="X33" s="921"/>
      <c r="Y33" s="921"/>
      <c r="Z33" s="911"/>
      <c r="AA33" s="910" t="s">
        <v>82</v>
      </c>
      <c r="AB33" s="921"/>
      <c r="AC33" s="921"/>
      <c r="AD33" s="922"/>
      <c r="AG33" s="90"/>
      <c r="AH33" s="90"/>
      <c r="AI33" s="90"/>
      <c r="AJ33" s="90"/>
      <c r="AK33" s="90"/>
      <c r="AL33" s="90"/>
      <c r="AM33" s="90"/>
      <c r="AN33" s="90"/>
      <c r="AO33" s="90"/>
    </row>
    <row r="34" spans="1:41" ht="101.25" customHeight="1">
      <c r="A34" s="923" t="s">
        <v>624</v>
      </c>
      <c r="B34" s="925">
        <f>+AC17</f>
        <v>0.20969674359270574</v>
      </c>
      <c r="C34" s="284" t="s">
        <v>9</v>
      </c>
      <c r="D34" s="177">
        <f>((D38*($B$38/$B$34))+(D40*($B$40/$B$34))+(D42*($B$42/$B$34)))*$P$34</f>
        <v>0.013619667864500619</v>
      </c>
      <c r="E34" s="177">
        <f aca="true" t="shared" si="0" ref="E34:O34">((E38*($B$38/$B$34))+(E40*($B$40/$B$34))+(E42*($B$42/$B$34)))*$P$34</f>
        <v>0.013619667864500619</v>
      </c>
      <c r="F34" s="177">
        <f t="shared" si="0"/>
        <v>0.015322126347563195</v>
      </c>
      <c r="G34" s="177">
        <f t="shared" si="0"/>
        <v>0.013619667864500619</v>
      </c>
      <c r="H34" s="177">
        <f t="shared" si="0"/>
        <v>0.013619667864500619</v>
      </c>
      <c r="I34" s="177">
        <f t="shared" si="0"/>
        <v>0.015322126347563195</v>
      </c>
      <c r="J34" s="177">
        <f t="shared" si="0"/>
        <v>0.013619667864500619</v>
      </c>
      <c r="K34" s="177">
        <f t="shared" si="0"/>
        <v>0.013619667864500619</v>
      </c>
      <c r="L34" s="177">
        <f t="shared" si="0"/>
        <v>0.015322126347563195</v>
      </c>
      <c r="M34" s="177">
        <f t="shared" si="0"/>
        <v>0.013619667864500619</v>
      </c>
      <c r="N34" s="177">
        <f t="shared" si="0"/>
        <v>0.013619667864500619</v>
      </c>
      <c r="O34" s="177">
        <f t="shared" si="0"/>
        <v>0.015322126347563195</v>
      </c>
      <c r="P34" s="177">
        <v>0.17</v>
      </c>
      <c r="Q34" s="927" t="s">
        <v>886</v>
      </c>
      <c r="R34" s="928"/>
      <c r="S34" s="929"/>
      <c r="T34" s="933" t="s">
        <v>887</v>
      </c>
      <c r="U34" s="934"/>
      <c r="V34" s="935"/>
      <c r="W34" s="939" t="s">
        <v>888</v>
      </c>
      <c r="X34" s="940"/>
      <c r="Y34" s="940"/>
      <c r="Z34" s="941"/>
      <c r="AA34" s="927" t="s">
        <v>889</v>
      </c>
      <c r="AB34" s="928"/>
      <c r="AC34" s="928"/>
      <c r="AD34" s="945"/>
      <c r="AG34" s="90"/>
      <c r="AH34" s="90"/>
      <c r="AI34" s="90"/>
      <c r="AJ34" s="90"/>
      <c r="AK34" s="90"/>
      <c r="AL34" s="90"/>
      <c r="AM34" s="90"/>
      <c r="AN34" s="90"/>
      <c r="AO34" s="90"/>
    </row>
    <row r="35" spans="1:41" ht="101.25" customHeight="1" thickBot="1">
      <c r="A35" s="924"/>
      <c r="B35" s="926"/>
      <c r="C35" s="285" t="s">
        <v>10</v>
      </c>
      <c r="D35" s="418">
        <f>((D39*($B$38/$B$34))+(D41*($B$40/$B$34))+(D43*($B$42/$B$34)))*$P$34</f>
        <v>0.013619667864500619</v>
      </c>
      <c r="E35" s="418">
        <f>((E39*($B$38/$B$34))+(E41*($B$40/$B$34))+(E43*($B$42/$B$34)))*$P$34</f>
        <v>0.011025445414119546</v>
      </c>
      <c r="F35" s="418">
        <f>((F39*($B$38/$B$34))+(F41*($B$40/$B$34))+(F43*($B$42/$B$34)))*$P$34</f>
        <v>0.01240362609088449</v>
      </c>
      <c r="G35" s="418">
        <f>((G39*($B$38/$B$34))+(G41*($B$40/$B$34))+(G43*($B$42/$B$34)))*$P$34</f>
        <v>0.011025445414119546</v>
      </c>
      <c r="H35" s="418">
        <f>((H39*($B$38/$B$34))+(H41*($B$40/$B$34))+(H43*($B$42/$B$34)))*$P$34</f>
        <v>0.011025445414119546</v>
      </c>
      <c r="I35" s="496">
        <f>((I39*($B$38/$B$34))+(I41*($B$40/$B$34))+(I43*($B$42/$B$34)))*$P$34</f>
        <v>0.015322126347563195</v>
      </c>
      <c r="J35" s="96"/>
      <c r="K35" s="96"/>
      <c r="L35" s="96"/>
      <c r="M35" s="96"/>
      <c r="N35" s="96"/>
      <c r="O35" s="96"/>
      <c r="P35" s="178">
        <f>SUM(D35:O35)</f>
        <v>0.07442175654530694</v>
      </c>
      <c r="Q35" s="930"/>
      <c r="R35" s="931"/>
      <c r="S35" s="932"/>
      <c r="T35" s="936"/>
      <c r="U35" s="937"/>
      <c r="V35" s="938"/>
      <c r="W35" s="942"/>
      <c r="X35" s="943"/>
      <c r="Y35" s="943"/>
      <c r="Z35" s="944"/>
      <c r="AA35" s="930"/>
      <c r="AB35" s="931"/>
      <c r="AC35" s="931"/>
      <c r="AD35" s="946"/>
      <c r="AE35" s="50"/>
      <c r="AG35" s="90"/>
      <c r="AH35" s="90"/>
      <c r="AI35" s="90"/>
      <c r="AJ35" s="90"/>
      <c r="AK35" s="90"/>
      <c r="AL35" s="90"/>
      <c r="AM35" s="90"/>
      <c r="AN35" s="90"/>
      <c r="AO35" s="90"/>
    </row>
    <row r="36" spans="1:41" ht="25.5" customHeight="1">
      <c r="A36" s="896" t="s">
        <v>191</v>
      </c>
      <c r="B36" s="947" t="s">
        <v>61</v>
      </c>
      <c r="C36" s="949" t="s">
        <v>11</v>
      </c>
      <c r="D36" s="949"/>
      <c r="E36" s="949"/>
      <c r="F36" s="949"/>
      <c r="G36" s="949"/>
      <c r="H36" s="949"/>
      <c r="I36" s="949"/>
      <c r="J36" s="949"/>
      <c r="K36" s="949"/>
      <c r="L36" s="949"/>
      <c r="M36" s="949"/>
      <c r="N36" s="949"/>
      <c r="O36" s="949"/>
      <c r="P36" s="949"/>
      <c r="Q36" s="897" t="s">
        <v>78</v>
      </c>
      <c r="R36" s="950"/>
      <c r="S36" s="950"/>
      <c r="T36" s="950"/>
      <c r="U36" s="950"/>
      <c r="V36" s="950"/>
      <c r="W36" s="950"/>
      <c r="X36" s="950"/>
      <c r="Y36" s="950"/>
      <c r="Z36" s="950"/>
      <c r="AA36" s="950"/>
      <c r="AB36" s="950"/>
      <c r="AC36" s="950"/>
      <c r="AD36" s="951"/>
      <c r="AG36" s="90"/>
      <c r="AH36" s="90"/>
      <c r="AI36" s="90"/>
      <c r="AJ36" s="90"/>
      <c r="AK36" s="90"/>
      <c r="AL36" s="90"/>
      <c r="AM36" s="90"/>
      <c r="AN36" s="90"/>
      <c r="AO36" s="90"/>
    </row>
    <row r="37" spans="1:41" ht="42.75" customHeight="1">
      <c r="A37" s="898"/>
      <c r="B37" s="948"/>
      <c r="C37" s="432" t="s">
        <v>12</v>
      </c>
      <c r="D37" s="432" t="s">
        <v>36</v>
      </c>
      <c r="E37" s="432" t="s">
        <v>37</v>
      </c>
      <c r="F37" s="432" t="s">
        <v>38</v>
      </c>
      <c r="G37" s="432" t="s">
        <v>51</v>
      </c>
      <c r="H37" s="432" t="s">
        <v>52</v>
      </c>
      <c r="I37" s="432" t="s">
        <v>53</v>
      </c>
      <c r="J37" s="432" t="s">
        <v>54</v>
      </c>
      <c r="K37" s="432" t="s">
        <v>55</v>
      </c>
      <c r="L37" s="432" t="s">
        <v>56</v>
      </c>
      <c r="M37" s="432" t="s">
        <v>57</v>
      </c>
      <c r="N37" s="432" t="s">
        <v>58</v>
      </c>
      <c r="O37" s="432" t="s">
        <v>59</v>
      </c>
      <c r="P37" s="432" t="s">
        <v>63</v>
      </c>
      <c r="Q37" s="899" t="s">
        <v>83</v>
      </c>
      <c r="R37" s="912"/>
      <c r="S37" s="912"/>
      <c r="T37" s="912"/>
      <c r="U37" s="912"/>
      <c r="V37" s="912"/>
      <c r="W37" s="912"/>
      <c r="X37" s="912"/>
      <c r="Y37" s="912"/>
      <c r="Z37" s="912"/>
      <c r="AA37" s="912"/>
      <c r="AB37" s="912"/>
      <c r="AC37" s="912"/>
      <c r="AD37" s="952"/>
      <c r="AG37" s="98"/>
      <c r="AH37" s="98"/>
      <c r="AI37" s="98"/>
      <c r="AJ37" s="98"/>
      <c r="AK37" s="98"/>
      <c r="AL37" s="98"/>
      <c r="AM37" s="98"/>
      <c r="AN37" s="98"/>
      <c r="AO37" s="98"/>
    </row>
    <row r="38" spans="1:41" ht="74.25" customHeight="1">
      <c r="A38" s="953" t="s">
        <v>625</v>
      </c>
      <c r="B38" s="955">
        <v>0.04</v>
      </c>
      <c r="C38" s="284" t="s">
        <v>9</v>
      </c>
      <c r="D38" s="99">
        <v>0.08</v>
      </c>
      <c r="E38" s="99">
        <v>0.08</v>
      </c>
      <c r="F38" s="99">
        <v>0.09</v>
      </c>
      <c r="G38" s="99">
        <v>0.08</v>
      </c>
      <c r="H38" s="99">
        <v>0.08</v>
      </c>
      <c r="I38" s="99">
        <v>0.09</v>
      </c>
      <c r="J38" s="99">
        <v>0.08</v>
      </c>
      <c r="K38" s="99">
        <v>0.08</v>
      </c>
      <c r="L38" s="99">
        <v>0.09</v>
      </c>
      <c r="M38" s="99">
        <v>0.08</v>
      </c>
      <c r="N38" s="99">
        <v>0.08</v>
      </c>
      <c r="O38" s="99">
        <v>0.09</v>
      </c>
      <c r="P38" s="286">
        <f aca="true" t="shared" si="1" ref="P38:P43">SUM(D38:O38)</f>
        <v>0.9999999999999998</v>
      </c>
      <c r="Q38" s="957" t="s">
        <v>890</v>
      </c>
      <c r="R38" s="958"/>
      <c r="S38" s="958"/>
      <c r="T38" s="958"/>
      <c r="U38" s="958"/>
      <c r="V38" s="958"/>
      <c r="W38" s="958"/>
      <c r="X38" s="958"/>
      <c r="Y38" s="958"/>
      <c r="Z38" s="958"/>
      <c r="AA38" s="958"/>
      <c r="AB38" s="958"/>
      <c r="AC38" s="958"/>
      <c r="AD38" s="959"/>
      <c r="AE38" s="287"/>
      <c r="AG38" s="102"/>
      <c r="AH38" s="102"/>
      <c r="AI38" s="102"/>
      <c r="AJ38" s="102"/>
      <c r="AK38" s="102"/>
      <c r="AL38" s="102"/>
      <c r="AM38" s="102"/>
      <c r="AN38" s="102"/>
      <c r="AO38" s="102"/>
    </row>
    <row r="39" spans="1:31" ht="74.25" customHeight="1">
      <c r="A39" s="954"/>
      <c r="B39" s="956"/>
      <c r="C39" s="288" t="s">
        <v>10</v>
      </c>
      <c r="D39" s="104">
        <v>0.08</v>
      </c>
      <c r="E39" s="104">
        <v>0</v>
      </c>
      <c r="F39" s="104">
        <v>0</v>
      </c>
      <c r="G39" s="104">
        <v>0</v>
      </c>
      <c r="H39" s="104">
        <v>0</v>
      </c>
      <c r="I39" s="104">
        <v>0.09</v>
      </c>
      <c r="J39" s="104"/>
      <c r="K39" s="104"/>
      <c r="L39" s="104"/>
      <c r="M39" s="104"/>
      <c r="N39" s="104"/>
      <c r="O39" s="104"/>
      <c r="P39" s="289">
        <f t="shared" si="1"/>
        <v>0.16999999999999998</v>
      </c>
      <c r="Q39" s="960"/>
      <c r="R39" s="961"/>
      <c r="S39" s="961"/>
      <c r="T39" s="961"/>
      <c r="U39" s="961"/>
      <c r="V39" s="961"/>
      <c r="W39" s="961"/>
      <c r="X39" s="961"/>
      <c r="Y39" s="961"/>
      <c r="Z39" s="961"/>
      <c r="AA39" s="961"/>
      <c r="AB39" s="961"/>
      <c r="AC39" s="961"/>
      <c r="AD39" s="962"/>
      <c r="AE39" s="287"/>
    </row>
    <row r="40" spans="1:31" ht="124.5" customHeight="1">
      <c r="A40" s="963" t="s">
        <v>626</v>
      </c>
      <c r="B40" s="965">
        <v>0.12</v>
      </c>
      <c r="C40" s="290" t="s">
        <v>9</v>
      </c>
      <c r="D40" s="107">
        <v>0.08</v>
      </c>
      <c r="E40" s="107">
        <v>0.08</v>
      </c>
      <c r="F40" s="107">
        <v>0.09</v>
      </c>
      <c r="G40" s="107">
        <v>0.08</v>
      </c>
      <c r="H40" s="107">
        <v>0.08</v>
      </c>
      <c r="I40" s="107">
        <v>0.09</v>
      </c>
      <c r="J40" s="107">
        <v>0.08</v>
      </c>
      <c r="K40" s="107">
        <v>0.08</v>
      </c>
      <c r="L40" s="107">
        <v>0.09</v>
      </c>
      <c r="M40" s="107">
        <v>0.08</v>
      </c>
      <c r="N40" s="107">
        <v>0.08</v>
      </c>
      <c r="O40" s="107">
        <v>0.09</v>
      </c>
      <c r="P40" s="289">
        <f t="shared" si="1"/>
        <v>0.9999999999999998</v>
      </c>
      <c r="Q40" s="966" t="s">
        <v>891</v>
      </c>
      <c r="R40" s="967"/>
      <c r="S40" s="967"/>
      <c r="T40" s="967"/>
      <c r="U40" s="967"/>
      <c r="V40" s="967"/>
      <c r="W40" s="967"/>
      <c r="X40" s="967"/>
      <c r="Y40" s="967"/>
      <c r="Z40" s="967"/>
      <c r="AA40" s="967"/>
      <c r="AB40" s="967"/>
      <c r="AC40" s="967"/>
      <c r="AD40" s="968"/>
      <c r="AE40" s="287"/>
    </row>
    <row r="41" spans="1:31" ht="124.5" customHeight="1">
      <c r="A41" s="964"/>
      <c r="B41" s="956"/>
      <c r="C41" s="288" t="s">
        <v>10</v>
      </c>
      <c r="D41" s="104">
        <v>0.08</v>
      </c>
      <c r="E41" s="104">
        <v>0.08</v>
      </c>
      <c r="F41" s="104">
        <v>0.09</v>
      </c>
      <c r="G41" s="104">
        <v>0.08</v>
      </c>
      <c r="H41" s="104">
        <v>0.08</v>
      </c>
      <c r="I41" s="104">
        <v>0.09</v>
      </c>
      <c r="J41" s="104"/>
      <c r="K41" s="104"/>
      <c r="L41" s="108"/>
      <c r="M41" s="108"/>
      <c r="N41" s="108"/>
      <c r="O41" s="108"/>
      <c r="P41" s="289">
        <f t="shared" si="1"/>
        <v>0.5</v>
      </c>
      <c r="Q41" s="969"/>
      <c r="R41" s="970"/>
      <c r="S41" s="970"/>
      <c r="T41" s="970"/>
      <c r="U41" s="970"/>
      <c r="V41" s="970"/>
      <c r="W41" s="970"/>
      <c r="X41" s="970"/>
      <c r="Y41" s="970"/>
      <c r="Z41" s="970"/>
      <c r="AA41" s="970"/>
      <c r="AB41" s="970"/>
      <c r="AC41" s="970"/>
      <c r="AD41" s="971"/>
      <c r="AE41" s="287"/>
    </row>
    <row r="42" spans="1:31" ht="114.75" customHeight="1">
      <c r="A42" s="954" t="s">
        <v>627</v>
      </c>
      <c r="B42" s="965">
        <v>0.05</v>
      </c>
      <c r="C42" s="290" t="s">
        <v>9</v>
      </c>
      <c r="D42" s="107">
        <v>0.08</v>
      </c>
      <c r="E42" s="107">
        <v>0.08</v>
      </c>
      <c r="F42" s="107">
        <v>0.09</v>
      </c>
      <c r="G42" s="107">
        <v>0.08</v>
      </c>
      <c r="H42" s="107">
        <v>0.08</v>
      </c>
      <c r="I42" s="107">
        <v>0.09</v>
      </c>
      <c r="J42" s="107">
        <v>0.08</v>
      </c>
      <c r="K42" s="107">
        <v>0.08</v>
      </c>
      <c r="L42" s="107">
        <v>0.09</v>
      </c>
      <c r="M42" s="107">
        <v>0.08</v>
      </c>
      <c r="N42" s="107">
        <v>0.08</v>
      </c>
      <c r="O42" s="107">
        <v>0.09</v>
      </c>
      <c r="P42" s="289">
        <f t="shared" si="1"/>
        <v>0.9999999999999998</v>
      </c>
      <c r="Q42" s="974" t="s">
        <v>892</v>
      </c>
      <c r="R42" s="975"/>
      <c r="S42" s="975"/>
      <c r="T42" s="975"/>
      <c r="U42" s="975"/>
      <c r="V42" s="975"/>
      <c r="W42" s="975"/>
      <c r="X42" s="975"/>
      <c r="Y42" s="975"/>
      <c r="Z42" s="975"/>
      <c r="AA42" s="975"/>
      <c r="AB42" s="975"/>
      <c r="AC42" s="975"/>
      <c r="AD42" s="976"/>
      <c r="AE42" s="287"/>
    </row>
    <row r="43" spans="1:31" ht="114.75" customHeight="1" thickBot="1">
      <c r="A43" s="972"/>
      <c r="B43" s="973"/>
      <c r="C43" s="285" t="s">
        <v>10</v>
      </c>
      <c r="D43" s="110">
        <v>0.08</v>
      </c>
      <c r="E43" s="110">
        <v>0.08</v>
      </c>
      <c r="F43" s="110">
        <v>0.09</v>
      </c>
      <c r="G43" s="110">
        <v>0.08</v>
      </c>
      <c r="H43" s="110">
        <v>0.08</v>
      </c>
      <c r="I43" s="110">
        <v>0.09</v>
      </c>
      <c r="J43" s="110"/>
      <c r="K43" s="110"/>
      <c r="L43" s="111"/>
      <c r="M43" s="111"/>
      <c r="N43" s="111"/>
      <c r="O43" s="111"/>
      <c r="P43" s="291">
        <f t="shared" si="1"/>
        <v>0.5</v>
      </c>
      <c r="Q43" s="977"/>
      <c r="R43" s="978"/>
      <c r="S43" s="978"/>
      <c r="T43" s="978"/>
      <c r="U43" s="978"/>
      <c r="V43" s="978"/>
      <c r="W43" s="978"/>
      <c r="X43" s="978"/>
      <c r="Y43" s="978"/>
      <c r="Z43" s="978"/>
      <c r="AA43" s="978"/>
      <c r="AB43" s="978"/>
      <c r="AC43" s="978"/>
      <c r="AD43" s="979"/>
      <c r="AE43" s="287"/>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T34 Q34 AA34 Q38:AD43">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Zareth Ivana Doncel Baracaldo</cp:lastModifiedBy>
  <cp:lastPrinted>2023-07-10T19:49:29Z</cp:lastPrinted>
  <dcterms:created xsi:type="dcterms:W3CDTF">2011-04-26T22:16:52Z</dcterms:created>
  <dcterms:modified xsi:type="dcterms:W3CDTF">2023-07-11T03:20:09Z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